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ento_zošit" defaultThemeVersion="166925"/>
  <mc:AlternateContent xmlns:mc="http://schemas.openxmlformats.org/markup-compatibility/2006">
    <mc:Choice Requires="x15">
      <x15ac:absPath xmlns:x15ac="http://schemas.microsoft.com/office/spreadsheetml/2010/11/ac" url="C:\Users\jakub.horvath\OneDrive - Hlavne mesto SR Bratislava\Pracovná plocha\_Aktívne zákazky\06_DEVÍNSKA CESTA\vysvetľovanie\"/>
    </mc:Choice>
  </mc:AlternateContent>
  <xr:revisionPtr revIDLastSave="0" documentId="8_{469F1DF7-C7A2-4D1A-BA1E-F5CD3723545A}" xr6:coauthVersionLast="47" xr6:coauthVersionMax="47" xr10:uidLastSave="{00000000-0000-0000-0000-000000000000}"/>
  <workbookProtection workbookAlgorithmName="SHA-512" workbookHashValue="4thXytvHUGUeLsuEyYqUGW/iJCA7vSvcPKiFkxTSMydUYR5ryOMPXlfR0yDGA3TFcbIn83XtjE/4N5r35Nyn8w==" workbookSaltValue="tnjiYXY+LCJWC6lOUy33qg==" workbookSpinCount="100000" lockStructure="1"/>
  <bookViews>
    <workbookView xWindow="14400" yWindow="0" windowWidth="14400" windowHeight="15600" firstSheet="35" activeTab="35" xr2:uid="{DE0AD7D1-8458-4B36-BE30-E4069124FC20}"/>
  </bookViews>
  <sheets>
    <sheet name="Zákl. nastavenie" sheetId="18" state="hidden" r:id="rId1"/>
    <sheet name="Ponuka" sheetId="12" r:id="rId2"/>
    <sheet name="Osobné postavenie" sheetId="20" r:id="rId3"/>
    <sheet name="Koneční užívatelia výhod" sheetId="5" r:id="rId4"/>
    <sheet name="Medzinárodné sankcie" sheetId="2" r:id="rId5"/>
    <sheet name="Rekapitulácia stavby ÚSEK A-D" sheetId="58" r:id="rId6"/>
    <sheet name="100.1 - SO 101.1 Úprava k..." sheetId="60" r:id="rId7"/>
    <sheet name="100.2 - SO 101.2 Úprava k..." sheetId="61" r:id="rId8"/>
    <sheet name="100.3 - SO 101.3 Úprava k..." sheetId="62" r:id="rId9"/>
    <sheet name="100.4 - SO 101.4 Úprava k..." sheetId="63" r:id="rId10"/>
    <sheet name="021 - VRN - úsek A" sheetId="64" r:id="rId11"/>
    <sheet name="024 - VRN - úsek B" sheetId="66" r:id="rId12"/>
    <sheet name="025 - VRN - úsek C" sheetId="67" r:id="rId13"/>
    <sheet name="022 - VRN - úsek D" sheetId="65" r:id="rId14"/>
    <sheet name="102.1 - SO 102.1 OM - úsek A" sheetId="59" r:id="rId15"/>
    <sheet name="102.4 - SO 102.4 OM - úsek D" sheetId="79" r:id="rId16"/>
    <sheet name="103.1 - SO 103.1 Predlzen..." sheetId="68" r:id="rId17"/>
    <sheet name="104.1 - SO 104.1 Oploteni..." sheetId="69" r:id="rId18"/>
    <sheet name="104.2 - SO 104.2 Oploteni..." sheetId="70" r:id="rId19"/>
    <sheet name="105.2 - SO 105.2 Posuvna ..." sheetId="71" r:id="rId20"/>
    <sheet name="105.3 - SO 105.3 Posuvna ..." sheetId="72" r:id="rId21"/>
    <sheet name="106.2 - SO 106.2 Vjazdova..." sheetId="73" r:id="rId22"/>
    <sheet name="2505 - SO 401  Preložka t..." sheetId="74" r:id="rId23"/>
    <sheet name="2506 - SO 402  Preložka t..." sheetId="75" r:id="rId24"/>
    <sheet name="300 - SO 300" sheetId="76" r:id="rId25"/>
    <sheet name="301 - SO 301" sheetId="77" r:id="rId26"/>
    <sheet name="302 - SO 302" sheetId="78" r:id="rId27"/>
    <sheet name="SO 200.A - Verejné osvetl..." sheetId="80" r:id="rId28"/>
    <sheet name="SO 200.B - Verejné osvetl..." sheetId="81" r:id="rId29"/>
    <sheet name="SO 200.C - Verejné osvetl..." sheetId="82" r:id="rId30"/>
    <sheet name="SO 200.D - Verejné osvetl..." sheetId="83" r:id="rId31"/>
    <sheet name="Rekapitulácia stavby - ÚSEK F " sheetId="84" r:id="rId32"/>
    <sheet name="100.5 - SO 101.5 Úprava k..." sheetId="85" r:id="rId33"/>
    <sheet name="023 - VRN - úsek F" sheetId="86" r:id="rId34"/>
    <sheet name="102.5 - SO 102.5 OM - úsek F" sheetId="87" r:id="rId35"/>
    <sheet name="200-SO 200.F - Verejné os..." sheetId="88" r:id="rId36"/>
    <sheet name="401-F - SO 401  Preložka ..." sheetId="89" r:id="rId37"/>
    <sheet name="402-F - SO 402  Preložka ..." sheetId="90" r:id="rId38"/>
  </sheets>
  <definedNames>
    <definedName name="_xlnm._FilterDatabase" localSheetId="10" hidden="1">'021 - VRN - úsek A'!$C$127:$K$145</definedName>
    <definedName name="_xlnm._FilterDatabase" localSheetId="13" hidden="1">'022 - VRN - úsek D'!$C$127:$K$145</definedName>
    <definedName name="_xlnm._FilterDatabase" localSheetId="33" hidden="1">'023 - VRN - úsek F'!$C$127:$K$145</definedName>
    <definedName name="_xlnm._FilterDatabase" localSheetId="11" hidden="1">'024 - VRN - úsek B'!$C$127:$K$145</definedName>
    <definedName name="_xlnm._FilterDatabase" localSheetId="12" hidden="1">'025 - VRN - úsek C'!$C$127:$K$145</definedName>
    <definedName name="_xlnm._FilterDatabase" localSheetId="6" hidden="1">'100.1 - SO 101.1 Úprava k...'!$C$125:$K$224</definedName>
    <definedName name="_xlnm._FilterDatabase" localSheetId="7" hidden="1">'100.2 - SO 101.2 Úprava k...'!$C$126:$K$216</definedName>
    <definedName name="_xlnm._FilterDatabase" localSheetId="8" hidden="1">'100.3 - SO 101.3 Úprava k...'!$C$126:$K$241</definedName>
    <definedName name="_xlnm._FilterDatabase" localSheetId="9" hidden="1">'100.4 - SO 101.4 Úprava k...'!$C$126:$K$213</definedName>
    <definedName name="_xlnm._FilterDatabase" localSheetId="32" hidden="1">'100.5 - SO 101.5 Úprava k...'!$C$126:$K$220</definedName>
    <definedName name="_xlnm._FilterDatabase" localSheetId="14" hidden="1">'102.1 - SO 102.1 OM - úsek A'!$C$127:$K$212</definedName>
    <definedName name="_xlnm._FilterDatabase" localSheetId="15" hidden="1">'102.4 - SO 102.4 OM - úsek D'!$C$127:$K$200</definedName>
    <definedName name="_xlnm._FilterDatabase" localSheetId="34" hidden="1">'102.5 - SO 102.5 OM - úsek F'!$C$127:$K$200</definedName>
    <definedName name="_xlnm._FilterDatabase" localSheetId="16" hidden="1">'103.1 - SO 103.1 Predlzen...'!$C$126:$K$167</definedName>
    <definedName name="_xlnm._FilterDatabase" localSheetId="17" hidden="1">'104.1 - SO 104.1 Oploteni...'!$C$127:$K$161</definedName>
    <definedName name="_xlnm._FilterDatabase" localSheetId="18" hidden="1">'104.2 - SO 104.2 Oploteni...'!$C$127:$K$178</definedName>
    <definedName name="_xlnm._FilterDatabase" localSheetId="19" hidden="1">'105.2 - SO 105.2 Posuvna ...'!$C$127:$K$165</definedName>
    <definedName name="_xlnm._FilterDatabase" localSheetId="20" hidden="1">'105.3 - SO 105.3 Posuvna ...'!$C$127:$K$165</definedName>
    <definedName name="_xlnm._FilterDatabase" localSheetId="21" hidden="1">'106.2 - SO 106.2 Vjazdova...'!$C$127:$K$164</definedName>
    <definedName name="_xlnm._FilterDatabase" localSheetId="35" hidden="1">'200-SO 200.F - Verejné os...'!$C$133:$K$226</definedName>
    <definedName name="_xlnm._FilterDatabase" localSheetId="22" hidden="1">'2505 - SO 401  Preložka t...'!$C$129:$K$215</definedName>
    <definedName name="_xlnm._FilterDatabase" localSheetId="23" hidden="1">'2506 - SO 402  Preložka t...'!$C$129:$K$189</definedName>
    <definedName name="_xlnm._FilterDatabase" localSheetId="24" hidden="1">'300 - SO 300'!$C$128:$K$198</definedName>
    <definedName name="_xlnm._FilterDatabase" localSheetId="25" hidden="1">'301 - SO 301'!$C$127:$K$190</definedName>
    <definedName name="_xlnm._FilterDatabase" localSheetId="26" hidden="1">'302 - SO 302'!$C$127:$K$183</definedName>
    <definedName name="_xlnm._FilterDatabase" localSheetId="36" hidden="1">'401-F - SO 401  Preložka ...'!$C$128:$K$184</definedName>
    <definedName name="_xlnm._FilterDatabase" localSheetId="37" hidden="1">'402-F - SO 402  Preložka ...'!$C$129:$K$184</definedName>
    <definedName name="_xlnm._FilterDatabase" localSheetId="27" hidden="1">'SO 200.A - Verejné osvetl...'!$C$133:$K$253</definedName>
    <definedName name="_xlnm._FilterDatabase" localSheetId="28" hidden="1">'SO 200.B - Verejné osvetl...'!$C$132:$K$247</definedName>
    <definedName name="_xlnm._FilterDatabase" localSheetId="29" hidden="1">'SO 200.C - Verejné osvetl...'!$C$132:$K$247</definedName>
    <definedName name="_xlnm._FilterDatabase" localSheetId="30" hidden="1">'SO 200.D - Verejné osvetl...'!$C$132:$K$245</definedName>
    <definedName name="_xlnm.Print_Titles" localSheetId="10">'021 - VRN - úsek A'!$127:$127</definedName>
    <definedName name="_xlnm.Print_Titles" localSheetId="13">'022 - VRN - úsek D'!$127:$127</definedName>
    <definedName name="_xlnm.Print_Titles" localSheetId="33">'023 - VRN - úsek F'!$127:$127</definedName>
    <definedName name="_xlnm.Print_Titles" localSheetId="11">'024 - VRN - úsek B'!$127:$127</definedName>
    <definedName name="_xlnm.Print_Titles" localSheetId="12">'025 - VRN - úsek C'!$127:$127</definedName>
    <definedName name="_xlnm.Print_Titles" localSheetId="6">'100.1 - SO 101.1 Úprava k...'!$125:$125</definedName>
    <definedName name="_xlnm.Print_Titles" localSheetId="7">'100.2 - SO 101.2 Úprava k...'!$126:$126</definedName>
    <definedName name="_xlnm.Print_Titles" localSheetId="8">'100.3 - SO 101.3 Úprava k...'!$126:$126</definedName>
    <definedName name="_xlnm.Print_Titles" localSheetId="9">'100.4 - SO 101.4 Úprava k...'!$126:$126</definedName>
    <definedName name="_xlnm.Print_Titles" localSheetId="32">'100.5 - SO 101.5 Úprava k...'!$126:$126</definedName>
    <definedName name="_xlnm.Print_Titles" localSheetId="14">'102.1 - SO 102.1 OM - úsek A'!$127:$127</definedName>
    <definedName name="_xlnm.Print_Titles" localSheetId="15">'102.4 - SO 102.4 OM - úsek D'!$127:$127</definedName>
    <definedName name="_xlnm.Print_Titles" localSheetId="34">'102.5 - SO 102.5 OM - úsek F'!$127:$127</definedName>
    <definedName name="_xlnm.Print_Titles" localSheetId="16">'103.1 - SO 103.1 Predlzen...'!$126:$126</definedName>
    <definedName name="_xlnm.Print_Titles" localSheetId="17">'104.1 - SO 104.1 Oploteni...'!$127:$127</definedName>
    <definedName name="_xlnm.Print_Titles" localSheetId="18">'104.2 - SO 104.2 Oploteni...'!$127:$127</definedName>
    <definedName name="_xlnm.Print_Titles" localSheetId="19">'105.2 - SO 105.2 Posuvna ...'!$127:$127</definedName>
    <definedName name="_xlnm.Print_Titles" localSheetId="20">'105.3 - SO 105.3 Posuvna ...'!$127:$127</definedName>
    <definedName name="_xlnm.Print_Titles" localSheetId="21">'106.2 - SO 106.2 Vjazdova...'!$127:$127</definedName>
    <definedName name="_xlnm.Print_Titles" localSheetId="35">'200-SO 200.F - Verejné os...'!$133:$133</definedName>
    <definedName name="_xlnm.Print_Titles" localSheetId="22">'2505 - SO 401  Preložka t...'!$129:$129</definedName>
    <definedName name="_xlnm.Print_Titles" localSheetId="23">'2506 - SO 402  Preložka t...'!$129:$129</definedName>
    <definedName name="_xlnm.Print_Titles" localSheetId="24">'300 - SO 300'!$128:$128</definedName>
    <definedName name="_xlnm.Print_Titles" localSheetId="25">'301 - SO 301'!$127:$127</definedName>
    <definedName name="_xlnm.Print_Titles" localSheetId="26">'302 - SO 302'!$127:$127</definedName>
    <definedName name="_xlnm.Print_Titles" localSheetId="36">'401-F - SO 401  Preložka ...'!$128:$128</definedName>
    <definedName name="_xlnm.Print_Titles" localSheetId="37">'402-F - SO 402  Preložka ...'!$129:$129</definedName>
    <definedName name="_xlnm.Print_Titles" localSheetId="31">'Rekapitulácia stavby - ÚSEK F '!$92:$92</definedName>
    <definedName name="_xlnm.Print_Titles" localSheetId="5">'Rekapitulácia stavby ÚSEK A-D'!$92:$92</definedName>
    <definedName name="_xlnm.Print_Titles" localSheetId="27">'SO 200.A - Verejné osvetl...'!$133:$133</definedName>
    <definedName name="_xlnm.Print_Titles" localSheetId="28">'SO 200.B - Verejné osvetl...'!$132:$132</definedName>
    <definedName name="_xlnm.Print_Titles" localSheetId="29">'SO 200.C - Verejné osvetl...'!$132:$132</definedName>
    <definedName name="_xlnm.Print_Titles" localSheetId="30">'SO 200.D - Verejné osvetl...'!$132:$132</definedName>
    <definedName name="_xlnm.Print_Area" localSheetId="10">'021 - VRN - úsek A'!$C$4:$J$76,'021 - VRN - úsek A'!$C$82:$J$109,'021 - VRN - úsek A'!$C$115:$J$145</definedName>
    <definedName name="_xlnm.Print_Area" localSheetId="13">'022 - VRN - úsek D'!$C$4:$J$76,'022 - VRN - úsek D'!$C$82:$J$109,'022 - VRN - úsek D'!$C$115:$J$145</definedName>
    <definedName name="_xlnm.Print_Area" localSheetId="33">'023 - VRN - úsek F'!$C$4:$J$76,'023 - VRN - úsek F'!$C$82:$J$109,'023 - VRN - úsek F'!$C$115:$J$145</definedName>
    <definedName name="_xlnm.Print_Area" localSheetId="11">'024 - VRN - úsek B'!$C$4:$J$76,'024 - VRN - úsek B'!$C$82:$J$109,'024 - VRN - úsek B'!$C$115:$J$145</definedName>
    <definedName name="_xlnm.Print_Area" localSheetId="12">'025 - VRN - úsek C'!$C$4:$J$76,'025 - VRN - úsek C'!$C$82:$J$109,'025 - VRN - úsek C'!$C$115:$J$145</definedName>
    <definedName name="_xlnm.Print_Area" localSheetId="6">'100.1 - SO 101.1 Úprava k...'!$C$4:$J$76,'100.1 - SO 101.1 Úprava k...'!$C$82:$J$107,'100.1 - SO 101.1 Úprava k...'!$C$113:$J$224</definedName>
    <definedName name="_xlnm.Print_Area" localSheetId="7">'100.2 - SO 101.2 Úprava k...'!$C$4:$J$76,'100.2 - SO 101.2 Úprava k...'!$C$82:$J$108,'100.2 - SO 101.2 Úprava k...'!$C$114:$J$216</definedName>
    <definedName name="_xlnm.Print_Area" localSheetId="8">'100.3 - SO 101.3 Úprava k...'!$C$4:$J$76,'100.3 - SO 101.3 Úprava k...'!$C$82:$J$108,'100.3 - SO 101.3 Úprava k...'!$C$114:$J$241</definedName>
    <definedName name="_xlnm.Print_Area" localSheetId="9">'100.4 - SO 101.4 Úprava k...'!$C$4:$J$76,'100.4 - SO 101.4 Úprava k...'!$C$82:$J$108,'100.4 - SO 101.4 Úprava k...'!$C$114:$J$213</definedName>
    <definedName name="_xlnm.Print_Area" localSheetId="32">'100.5 - SO 101.5 Úprava k...'!$C$4:$J$76,'100.5 - SO 101.5 Úprava k...'!$C$82:$J$108,'100.5 - SO 101.5 Úprava k...'!$C$114:$J$220</definedName>
    <definedName name="_xlnm.Print_Area" localSheetId="14">'102.1 - SO 102.1 OM - úsek A'!$C$4:$J$76,'102.1 - SO 102.1 OM - úsek A'!$C$82:$J$109,'102.1 - SO 102.1 OM - úsek A'!$C$115:$J$212</definedName>
    <definedName name="_xlnm.Print_Area" localSheetId="15">'102.4 - SO 102.4 OM - úsek D'!$C$4:$J$76,'102.4 - SO 102.4 OM - úsek D'!$C$82:$J$109,'102.4 - SO 102.4 OM - úsek D'!$C$115:$J$200</definedName>
    <definedName name="_xlnm.Print_Area" localSheetId="34">'102.5 - SO 102.5 OM - úsek F'!$C$4:$J$76,'102.5 - SO 102.5 OM - úsek F'!$C$82:$J$109,'102.5 - SO 102.5 OM - úsek F'!$C$115:$J$200</definedName>
    <definedName name="_xlnm.Print_Area" localSheetId="16">'103.1 - SO 103.1 Predlzen...'!$C$4:$J$76,'103.1 - SO 103.1 Predlzen...'!$C$82:$J$108,'103.1 - SO 103.1 Predlzen...'!$C$114:$J$167</definedName>
    <definedName name="_xlnm.Print_Area" localSheetId="17">'104.1 - SO 104.1 Oploteni...'!$C$4:$J$76,'104.1 - SO 104.1 Oploteni...'!$C$82:$J$109,'104.1 - SO 104.1 Oploteni...'!$C$115:$J$161</definedName>
    <definedName name="_xlnm.Print_Area" localSheetId="18">'104.2 - SO 104.2 Oploteni...'!$C$4:$J$76,'104.2 - SO 104.2 Oploteni...'!$C$82:$J$109,'104.2 - SO 104.2 Oploteni...'!$C$115:$J$178</definedName>
    <definedName name="_xlnm.Print_Area" localSheetId="19">'105.2 - SO 105.2 Posuvna ...'!$C$4:$J$76,'105.2 - SO 105.2 Posuvna ...'!$C$82:$J$109,'105.2 - SO 105.2 Posuvna ...'!$C$115:$J$165</definedName>
    <definedName name="_xlnm.Print_Area" localSheetId="20">'105.3 - SO 105.3 Posuvna ...'!$C$4:$J$76,'105.3 - SO 105.3 Posuvna ...'!$C$82:$J$109,'105.3 - SO 105.3 Posuvna ...'!$C$115:$J$165</definedName>
    <definedName name="_xlnm.Print_Area" localSheetId="21">'106.2 - SO 106.2 Vjazdova...'!$C$4:$J$76,'106.2 - SO 106.2 Vjazdova...'!$C$82:$J$109,'106.2 - SO 106.2 Vjazdova...'!$C$115:$J$164</definedName>
    <definedName name="_xlnm.Print_Area" localSheetId="35">'200-SO 200.F - Verejné os...'!$C$4:$J$76,'200-SO 200.F - Verejné os...'!$C$82:$J$115,'200-SO 200.F - Verejné os...'!$C$121:$J$226</definedName>
    <definedName name="_xlnm.Print_Area" localSheetId="22">'2505 - SO 401  Preložka t...'!$C$4:$J$76,'2505 - SO 401  Preložka t...'!$C$82:$J$111,'2505 - SO 401  Preložka t...'!$C$117:$J$215</definedName>
    <definedName name="_xlnm.Print_Area" localSheetId="23">'2506 - SO 402  Preložka t...'!$C$4:$J$76,'2506 - SO 402  Preložka t...'!$C$82:$J$111,'2506 - SO 402  Preložka t...'!$C$117:$J$189</definedName>
    <definedName name="_xlnm.Print_Area" localSheetId="24">'300 - SO 300'!$C$4:$J$76,'300 - SO 300'!$C$82:$J$110,'300 - SO 300'!$C$116:$J$198</definedName>
    <definedName name="_xlnm.Print_Area" localSheetId="25">'301 - SO 301'!$C$4:$J$76,'301 - SO 301'!$C$82:$J$109,'301 - SO 301'!$C$115:$J$190</definedName>
    <definedName name="_xlnm.Print_Area" localSheetId="26">'302 - SO 302'!$C$4:$J$76,'302 - SO 302'!$C$82:$J$109,'302 - SO 302'!$C$115:$J$183</definedName>
    <definedName name="_xlnm.Print_Area" localSheetId="36">'401-F - SO 401  Preložka ...'!$C$4:$J$76,'401-F - SO 401  Preložka ...'!$C$82:$J$110,'401-F - SO 401  Preložka ...'!$C$116:$J$184</definedName>
    <definedName name="_xlnm.Print_Area" localSheetId="37">'402-F - SO 402  Preložka ...'!$C$4:$J$76,'402-F - SO 402  Preložka ...'!$C$82:$J$111,'402-F - SO 402  Preložka ...'!$C$117:$J$184</definedName>
    <definedName name="_xlnm.Print_Area" localSheetId="3">'Koneční užívatelia výhod'!$B$1:$B$28</definedName>
    <definedName name="_xlnm.Print_Area" localSheetId="4">'Medzinárodné sankcie'!$B$1:$B$22</definedName>
    <definedName name="_xlnm.Print_Area" localSheetId="2">'Osobné postavenie'!$B$1:$B$19</definedName>
    <definedName name="_xlnm.Print_Area" localSheetId="1">Ponuka!$B$2:$J$167</definedName>
    <definedName name="_xlnm.Print_Area" localSheetId="31">'Rekapitulácia stavby - ÚSEK F '!$D$4:$AO$76,'Rekapitulácia stavby - ÚSEK F '!$C$82:$AQ$104</definedName>
    <definedName name="_xlnm.Print_Area" localSheetId="5">'Rekapitulácia stavby ÚSEK A-D'!$D$4:$AO$76,'Rekapitulácia stavby ÚSEK A-D'!$C$82:$AQ$123</definedName>
    <definedName name="_xlnm.Print_Area" localSheetId="27">'SO 200.A - Verejné osvetl...'!$C$4:$J$76,'SO 200.A - Verejné osvetl...'!$C$82:$J$115,'SO 200.A - Verejné osvetl...'!$C$121:$J$253</definedName>
    <definedName name="_xlnm.Print_Area" localSheetId="28">'SO 200.B - Verejné osvetl...'!$C$4:$J$76,'SO 200.B - Verejné osvetl...'!$C$82:$J$114,'SO 200.B - Verejné osvetl...'!$C$120:$J$247</definedName>
    <definedName name="_xlnm.Print_Area" localSheetId="29">'SO 200.C - Verejné osvetl...'!$C$4:$J$76,'SO 200.C - Verejné osvetl...'!$C$82:$J$114,'SO 200.C - Verejné osvetl...'!$C$120:$J$247</definedName>
    <definedName name="_xlnm.Print_Area" localSheetId="30">'SO 200.D - Verejné osvetl...'!$C$4:$J$76,'SO 200.D - Verejné osvetl...'!$C$82:$J$114,'SO 200.D - Verejné osvetl...'!$C$120:$J$245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171" i="90" l="1"/>
  <c r="J171" i="90"/>
  <c r="BK205" i="85" l="1"/>
  <c r="J205" i="85"/>
  <c r="J109" i="75"/>
  <c r="J108" i="89"/>
  <c r="J139" i="60"/>
  <c r="AN14" i="84"/>
  <c r="AN13" i="84"/>
  <c r="AN13" i="58"/>
  <c r="E14" i="84"/>
  <c r="E14" i="58"/>
  <c r="H167" i="88"/>
  <c r="H211" i="85"/>
  <c r="H142" i="83" l="1"/>
  <c r="H142" i="81"/>
  <c r="H143" i="80"/>
  <c r="H155" i="73"/>
  <c r="H162" i="73"/>
  <c r="H210" i="63"/>
  <c r="H147" i="63"/>
  <c r="H148" i="62"/>
  <c r="R112" i="12"/>
  <c r="J137" i="88" l="1"/>
  <c r="L143" i="12"/>
  <c r="H138" i="79"/>
  <c r="H157" i="73"/>
  <c r="H160" i="73"/>
  <c r="H161" i="73" s="1"/>
  <c r="AN14" i="58"/>
  <c r="H140" i="60" l="1"/>
  <c r="H142" i="60" s="1"/>
  <c r="BK184" i="90"/>
  <c r="BI184" i="90"/>
  <c r="BH184" i="90"/>
  <c r="BG184" i="90"/>
  <c r="BF184" i="90"/>
  <c r="BE184" i="90"/>
  <c r="T184" i="90"/>
  <c r="T182" i="90" s="1"/>
  <c r="R184" i="90"/>
  <c r="P184" i="90"/>
  <c r="J184" i="90"/>
  <c r="BK183" i="90"/>
  <c r="BI183" i="90"/>
  <c r="BH183" i="90"/>
  <c r="BG183" i="90"/>
  <c r="BF183" i="90"/>
  <c r="BE183" i="90"/>
  <c r="T183" i="90"/>
  <c r="R183" i="90"/>
  <c r="P183" i="90"/>
  <c r="P182" i="90" s="1"/>
  <c r="J183" i="90"/>
  <c r="BK182" i="90"/>
  <c r="J182" i="90" s="1"/>
  <c r="J105" i="90" s="1"/>
  <c r="R182" i="90"/>
  <c r="BK181" i="90"/>
  <c r="BI181" i="90"/>
  <c r="BH181" i="90"/>
  <c r="BG181" i="90"/>
  <c r="BF181" i="90"/>
  <c r="BE181" i="90"/>
  <c r="T181" i="90"/>
  <c r="R181" i="90"/>
  <c r="P181" i="90"/>
  <c r="J181" i="90"/>
  <c r="BK180" i="90"/>
  <c r="BI180" i="90"/>
  <c r="BH180" i="90"/>
  <c r="BG180" i="90"/>
  <c r="BE180" i="90"/>
  <c r="T180" i="90"/>
  <c r="R180" i="90"/>
  <c r="P180" i="90"/>
  <c r="J180" i="90"/>
  <c r="BF180" i="90" s="1"/>
  <c r="BK179" i="90"/>
  <c r="BI179" i="90"/>
  <c r="BH179" i="90"/>
  <c r="BG179" i="90"/>
  <c r="BE179" i="90"/>
  <c r="T179" i="90"/>
  <c r="R179" i="90"/>
  <c r="P179" i="90"/>
  <c r="J179" i="90"/>
  <c r="BF179" i="90" s="1"/>
  <c r="BK178" i="90"/>
  <c r="BI178" i="90"/>
  <c r="BH178" i="90"/>
  <c r="BG178" i="90"/>
  <c r="BF178" i="90"/>
  <c r="BE178" i="90"/>
  <c r="T178" i="90"/>
  <c r="R178" i="90"/>
  <c r="P178" i="90"/>
  <c r="J178" i="90"/>
  <c r="BK177" i="90"/>
  <c r="BI177" i="90"/>
  <c r="BH177" i="90"/>
  <c r="BG177" i="90"/>
  <c r="BE177" i="90"/>
  <c r="T177" i="90"/>
  <c r="R177" i="90"/>
  <c r="P177" i="90"/>
  <c r="J177" i="90"/>
  <c r="BF177" i="90" s="1"/>
  <c r="BK176" i="90"/>
  <c r="BI176" i="90"/>
  <c r="BH176" i="90"/>
  <c r="BG176" i="90"/>
  <c r="BE176" i="90"/>
  <c r="T176" i="90"/>
  <c r="R176" i="90"/>
  <c r="P176" i="90"/>
  <c r="J176" i="90"/>
  <c r="BF176" i="90" s="1"/>
  <c r="BK175" i="90"/>
  <c r="BI175" i="90"/>
  <c r="BH175" i="90"/>
  <c r="BG175" i="90"/>
  <c r="BE175" i="90"/>
  <c r="T175" i="90"/>
  <c r="R175" i="90"/>
  <c r="P175" i="90"/>
  <c r="J175" i="90"/>
  <c r="BF175" i="90" s="1"/>
  <c r="BK174" i="90"/>
  <c r="BI174" i="90"/>
  <c r="BH174" i="90"/>
  <c r="BG174" i="90"/>
  <c r="BE174" i="90"/>
  <c r="T174" i="90"/>
  <c r="R174" i="90"/>
  <c r="P174" i="90"/>
  <c r="J174" i="90"/>
  <c r="BF174" i="90" s="1"/>
  <c r="BK173" i="90"/>
  <c r="BI173" i="90"/>
  <c r="BH173" i="90"/>
  <c r="BG173" i="90"/>
  <c r="BF173" i="90"/>
  <c r="BE173" i="90"/>
  <c r="T173" i="90"/>
  <c r="R173" i="90"/>
  <c r="P173" i="90"/>
  <c r="J173" i="90"/>
  <c r="BK172" i="90"/>
  <c r="BI172" i="90"/>
  <c r="BH172" i="90"/>
  <c r="BG172" i="90"/>
  <c r="BE172" i="90"/>
  <c r="T172" i="90"/>
  <c r="R172" i="90"/>
  <c r="P172" i="90"/>
  <c r="J172" i="90"/>
  <c r="BF172" i="90" s="1"/>
  <c r="BK170" i="90"/>
  <c r="BI170" i="90"/>
  <c r="BH170" i="90"/>
  <c r="BG170" i="90"/>
  <c r="BE170" i="90"/>
  <c r="T170" i="90"/>
  <c r="R170" i="90"/>
  <c r="P170" i="90"/>
  <c r="J170" i="90"/>
  <c r="BF170" i="90" s="1"/>
  <c r="BK169" i="90"/>
  <c r="BI169" i="90"/>
  <c r="BH169" i="90"/>
  <c r="BG169" i="90"/>
  <c r="BE169" i="90"/>
  <c r="T169" i="90"/>
  <c r="R169" i="90"/>
  <c r="P169" i="90"/>
  <c r="J169" i="90"/>
  <c r="BF169" i="90" s="1"/>
  <c r="BK168" i="90"/>
  <c r="BI168" i="90"/>
  <c r="BH168" i="90"/>
  <c r="BG168" i="90"/>
  <c r="BE168" i="90"/>
  <c r="T168" i="90"/>
  <c r="R168" i="90"/>
  <c r="P168" i="90"/>
  <c r="J168" i="90"/>
  <c r="BF168" i="90" s="1"/>
  <c r="BK166" i="90"/>
  <c r="BI166" i="90"/>
  <c r="BH166" i="90"/>
  <c r="BG166" i="90"/>
  <c r="BF166" i="90"/>
  <c r="BE166" i="90"/>
  <c r="T166" i="90"/>
  <c r="R166" i="90"/>
  <c r="P166" i="90"/>
  <c r="J166" i="90"/>
  <c r="BK165" i="90"/>
  <c r="BI165" i="90"/>
  <c r="BH165" i="90"/>
  <c r="BG165" i="90"/>
  <c r="BF165" i="90"/>
  <c r="BE165" i="90"/>
  <c r="T165" i="90"/>
  <c r="R165" i="90"/>
  <c r="P165" i="90"/>
  <c r="J165" i="90"/>
  <c r="BK164" i="90"/>
  <c r="BI164" i="90"/>
  <c r="BH164" i="90"/>
  <c r="BG164" i="90"/>
  <c r="BE164" i="90"/>
  <c r="T164" i="90"/>
  <c r="R164" i="90"/>
  <c r="P164" i="90"/>
  <c r="J164" i="90"/>
  <c r="BF164" i="90" s="1"/>
  <c r="BK163" i="90"/>
  <c r="BI163" i="90"/>
  <c r="BH163" i="90"/>
  <c r="BG163" i="90"/>
  <c r="BE163" i="90"/>
  <c r="T163" i="90"/>
  <c r="R163" i="90"/>
  <c r="P163" i="90"/>
  <c r="J163" i="90"/>
  <c r="BF163" i="90" s="1"/>
  <c r="BK162" i="90"/>
  <c r="BI162" i="90"/>
  <c r="BH162" i="90"/>
  <c r="BG162" i="90"/>
  <c r="BE162" i="90"/>
  <c r="T162" i="90"/>
  <c r="R162" i="90"/>
  <c r="P162" i="90"/>
  <c r="J162" i="90"/>
  <c r="BF162" i="90" s="1"/>
  <c r="BK161" i="90"/>
  <c r="BI161" i="90"/>
  <c r="BH161" i="90"/>
  <c r="BG161" i="90"/>
  <c r="BF161" i="90"/>
  <c r="BE161" i="90"/>
  <c r="T161" i="90"/>
  <c r="R161" i="90"/>
  <c r="P161" i="90"/>
  <c r="J161" i="90"/>
  <c r="BK160" i="90"/>
  <c r="BI160" i="90"/>
  <c r="BH160" i="90"/>
  <c r="BG160" i="90"/>
  <c r="BE160" i="90"/>
  <c r="T160" i="90"/>
  <c r="R160" i="90"/>
  <c r="P160" i="90"/>
  <c r="J160" i="90"/>
  <c r="BF160" i="90" s="1"/>
  <c r="BK159" i="90"/>
  <c r="BI159" i="90"/>
  <c r="BH159" i="90"/>
  <c r="BG159" i="90"/>
  <c r="BE159" i="90"/>
  <c r="T159" i="90"/>
  <c r="R159" i="90"/>
  <c r="P159" i="90"/>
  <c r="J159" i="90"/>
  <c r="BF159" i="90" s="1"/>
  <c r="BK158" i="90"/>
  <c r="BI158" i="90"/>
  <c r="BH158" i="90"/>
  <c r="BG158" i="90"/>
  <c r="BE158" i="90"/>
  <c r="T158" i="90"/>
  <c r="R158" i="90"/>
  <c r="P158" i="90"/>
  <c r="J158" i="90"/>
  <c r="BF158" i="90" s="1"/>
  <c r="BK157" i="90"/>
  <c r="BI157" i="90"/>
  <c r="BH157" i="90"/>
  <c r="BG157" i="90"/>
  <c r="BF157" i="90"/>
  <c r="BE157" i="90"/>
  <c r="T157" i="90"/>
  <c r="R157" i="90"/>
  <c r="P157" i="90"/>
  <c r="J157" i="90"/>
  <c r="BK156" i="90"/>
  <c r="BI156" i="90"/>
  <c r="BH156" i="90"/>
  <c r="BG156" i="90"/>
  <c r="BE156" i="90"/>
  <c r="T156" i="90"/>
  <c r="R156" i="90"/>
  <c r="P156" i="90"/>
  <c r="J156" i="90"/>
  <c r="BF156" i="90" s="1"/>
  <c r="BI153" i="90"/>
  <c r="BH153" i="90"/>
  <c r="BG153" i="90"/>
  <c r="BE153" i="90"/>
  <c r="BK151" i="90"/>
  <c r="BI151" i="90"/>
  <c r="BH151" i="90"/>
  <c r="BG151" i="90"/>
  <c r="BE151" i="90"/>
  <c r="T151" i="90"/>
  <c r="R151" i="90"/>
  <c r="P151" i="90"/>
  <c r="J151" i="90"/>
  <c r="BF151" i="90" s="1"/>
  <c r="BK150" i="90"/>
  <c r="BI150" i="90"/>
  <c r="BH150" i="90"/>
  <c r="BG150" i="90"/>
  <c r="BF150" i="90"/>
  <c r="BE150" i="90"/>
  <c r="T150" i="90"/>
  <c r="R150" i="90"/>
  <c r="P150" i="90"/>
  <c r="J150" i="90"/>
  <c r="BK149" i="90"/>
  <c r="BI149" i="90"/>
  <c r="BH149" i="90"/>
  <c r="BG149" i="90"/>
  <c r="BE149" i="90"/>
  <c r="T149" i="90"/>
  <c r="R149" i="90"/>
  <c r="P149" i="90"/>
  <c r="J149" i="90"/>
  <c r="BF149" i="90" s="1"/>
  <c r="BK148" i="90"/>
  <c r="BI148" i="90"/>
  <c r="BH148" i="90"/>
  <c r="BG148" i="90"/>
  <c r="BE148" i="90"/>
  <c r="T148" i="90"/>
  <c r="R148" i="90"/>
  <c r="P148" i="90"/>
  <c r="J148" i="90"/>
  <c r="BF148" i="90" s="1"/>
  <c r="BK146" i="90"/>
  <c r="BI146" i="90"/>
  <c r="BH146" i="90"/>
  <c r="BG146" i="90"/>
  <c r="BE146" i="90"/>
  <c r="T146" i="90"/>
  <c r="R146" i="90"/>
  <c r="P146" i="90"/>
  <c r="J146" i="90"/>
  <c r="BF146" i="90" s="1"/>
  <c r="BK145" i="90"/>
  <c r="BI145" i="90"/>
  <c r="BH145" i="90"/>
  <c r="BG145" i="90"/>
  <c r="BE145" i="90"/>
  <c r="T145" i="90"/>
  <c r="R145" i="90"/>
  <c r="P145" i="90"/>
  <c r="J145" i="90"/>
  <c r="BF145" i="90" s="1"/>
  <c r="BK144" i="90"/>
  <c r="BI144" i="90"/>
  <c r="BH144" i="90"/>
  <c r="BG144" i="90"/>
  <c r="BE144" i="90"/>
  <c r="T144" i="90"/>
  <c r="R144" i="90"/>
  <c r="P144" i="90"/>
  <c r="J144" i="90"/>
  <c r="BF144" i="90" s="1"/>
  <c r="BK143" i="90"/>
  <c r="BI143" i="90"/>
  <c r="BH143" i="90"/>
  <c r="BG143" i="90"/>
  <c r="BE143" i="90"/>
  <c r="T143" i="90"/>
  <c r="R143" i="90"/>
  <c r="P143" i="90"/>
  <c r="J143" i="90"/>
  <c r="BF143" i="90" s="1"/>
  <c r="BK142" i="90"/>
  <c r="BI142" i="90"/>
  <c r="BH142" i="90"/>
  <c r="BG142" i="90"/>
  <c r="BE142" i="90"/>
  <c r="T142" i="90"/>
  <c r="R142" i="90"/>
  <c r="P142" i="90"/>
  <c r="J142" i="90"/>
  <c r="BF142" i="90" s="1"/>
  <c r="BK141" i="90"/>
  <c r="BI141" i="90"/>
  <c r="BH141" i="90"/>
  <c r="BG141" i="90"/>
  <c r="BE141" i="90"/>
  <c r="T141" i="90"/>
  <c r="R141" i="90"/>
  <c r="P141" i="90"/>
  <c r="J141" i="90"/>
  <c r="BF141" i="90" s="1"/>
  <c r="BK140" i="90"/>
  <c r="BI140" i="90"/>
  <c r="BH140" i="90"/>
  <c r="BG140" i="90"/>
  <c r="BF140" i="90"/>
  <c r="BE140" i="90"/>
  <c r="T140" i="90"/>
  <c r="R140" i="90"/>
  <c r="P140" i="90"/>
  <c r="J140" i="90"/>
  <c r="BK139" i="90"/>
  <c r="BI139" i="90"/>
  <c r="BH139" i="90"/>
  <c r="BG139" i="90"/>
  <c r="BE139" i="90"/>
  <c r="T139" i="90"/>
  <c r="R139" i="90"/>
  <c r="P139" i="90"/>
  <c r="J139" i="90"/>
  <c r="BF139" i="90" s="1"/>
  <c r="BK138" i="90"/>
  <c r="BI138" i="90"/>
  <c r="BH138" i="90"/>
  <c r="BG138" i="90"/>
  <c r="BE138" i="90"/>
  <c r="T138" i="90"/>
  <c r="R138" i="90"/>
  <c r="P138" i="90"/>
  <c r="P137" i="90" s="1"/>
  <c r="J138" i="90"/>
  <c r="BF138" i="90" s="1"/>
  <c r="BI136" i="90"/>
  <c r="BH136" i="90"/>
  <c r="BG136" i="90"/>
  <c r="BE136" i="90"/>
  <c r="BK135" i="90"/>
  <c r="BI135" i="90"/>
  <c r="BH135" i="90"/>
  <c r="BG135" i="90"/>
  <c r="BE135" i="90"/>
  <c r="T135" i="90"/>
  <c r="R135" i="90"/>
  <c r="P135" i="90"/>
  <c r="J135" i="90"/>
  <c r="BF135" i="90" s="1"/>
  <c r="BK134" i="90"/>
  <c r="BI134" i="90"/>
  <c r="BH134" i="90"/>
  <c r="BG134" i="90"/>
  <c r="BE134" i="90"/>
  <c r="T134" i="90"/>
  <c r="R134" i="90"/>
  <c r="P134" i="90"/>
  <c r="J134" i="90"/>
  <c r="BF134" i="90" s="1"/>
  <c r="BK133" i="90"/>
  <c r="BI133" i="90"/>
  <c r="BH133" i="90"/>
  <c r="BG133" i="90"/>
  <c r="BE133" i="90"/>
  <c r="T133" i="90"/>
  <c r="R133" i="90"/>
  <c r="P133" i="90"/>
  <c r="J133" i="90"/>
  <c r="BF133" i="90" s="1"/>
  <c r="J127" i="90"/>
  <c r="F124" i="90"/>
  <c r="E122" i="90"/>
  <c r="BI109" i="90"/>
  <c r="BH109" i="90"/>
  <c r="BG109" i="90"/>
  <c r="BE109" i="90"/>
  <c r="J92" i="90"/>
  <c r="F89" i="90"/>
  <c r="E87" i="90"/>
  <c r="J39" i="90"/>
  <c r="J38" i="90"/>
  <c r="AY100" i="84" s="1"/>
  <c r="J37" i="90"/>
  <c r="J21" i="90"/>
  <c r="E21" i="90"/>
  <c r="J91" i="90" s="1"/>
  <c r="J20" i="90"/>
  <c r="J18" i="90"/>
  <c r="E18" i="90"/>
  <c r="J17" i="90"/>
  <c r="J15" i="90"/>
  <c r="E15" i="90"/>
  <c r="F91" i="90" s="1"/>
  <c r="J14" i="90"/>
  <c r="J12" i="90"/>
  <c r="J89" i="90" s="1"/>
  <c r="E7" i="90"/>
  <c r="E120" i="90" s="1"/>
  <c r="BK184" i="89"/>
  <c r="BI184" i="89"/>
  <c r="BH184" i="89"/>
  <c r="BG184" i="89"/>
  <c r="BE184" i="89"/>
  <c r="T184" i="89"/>
  <c r="R184" i="89"/>
  <c r="P184" i="89"/>
  <c r="J184" i="89"/>
  <c r="BF184" i="89" s="1"/>
  <c r="BK183" i="89"/>
  <c r="BK182" i="89" s="1"/>
  <c r="J182" i="89" s="1"/>
  <c r="J104" i="89" s="1"/>
  <c r="BI183" i="89"/>
  <c r="BH183" i="89"/>
  <c r="BG183" i="89"/>
  <c r="BF183" i="89"/>
  <c r="BE183" i="89"/>
  <c r="T183" i="89"/>
  <c r="T182" i="89" s="1"/>
  <c r="R183" i="89"/>
  <c r="R182" i="89" s="1"/>
  <c r="P183" i="89"/>
  <c r="P182" i="89" s="1"/>
  <c r="J183" i="89"/>
  <c r="BK181" i="89"/>
  <c r="BI181" i="89"/>
  <c r="BH181" i="89"/>
  <c r="BG181" i="89"/>
  <c r="BE181" i="89"/>
  <c r="T181" i="89"/>
  <c r="R181" i="89"/>
  <c r="P181" i="89"/>
  <c r="J181" i="89"/>
  <c r="BF181" i="89" s="1"/>
  <c r="BK180" i="89"/>
  <c r="BI180" i="89"/>
  <c r="BH180" i="89"/>
  <c r="BG180" i="89"/>
  <c r="BE180" i="89"/>
  <c r="T180" i="89"/>
  <c r="R180" i="89"/>
  <c r="P180" i="89"/>
  <c r="J180" i="89"/>
  <c r="BF180" i="89" s="1"/>
  <c r="BK179" i="89"/>
  <c r="BI179" i="89"/>
  <c r="BH179" i="89"/>
  <c r="BG179" i="89"/>
  <c r="BF179" i="89"/>
  <c r="BE179" i="89"/>
  <c r="T179" i="89"/>
  <c r="R179" i="89"/>
  <c r="P179" i="89"/>
  <c r="J179" i="89"/>
  <c r="BK178" i="89"/>
  <c r="BI178" i="89"/>
  <c r="BH178" i="89"/>
  <c r="BG178" i="89"/>
  <c r="BE178" i="89"/>
  <c r="T178" i="89"/>
  <c r="R178" i="89"/>
  <c r="P178" i="89"/>
  <c r="J178" i="89"/>
  <c r="BF178" i="89" s="1"/>
  <c r="BK177" i="89"/>
  <c r="BI177" i="89"/>
  <c r="BH177" i="89"/>
  <c r="BG177" i="89"/>
  <c r="BE177" i="89"/>
  <c r="T177" i="89"/>
  <c r="R177" i="89"/>
  <c r="P177" i="89"/>
  <c r="J177" i="89"/>
  <c r="BF177" i="89" s="1"/>
  <c r="BK176" i="89"/>
  <c r="BI176" i="89"/>
  <c r="BH176" i="89"/>
  <c r="BG176" i="89"/>
  <c r="BE176" i="89"/>
  <c r="T176" i="89"/>
  <c r="R176" i="89"/>
  <c r="P176" i="89"/>
  <c r="J176" i="89"/>
  <c r="BF176" i="89" s="1"/>
  <c r="BK175" i="89"/>
  <c r="BI175" i="89"/>
  <c r="BH175" i="89"/>
  <c r="BG175" i="89"/>
  <c r="BE175" i="89"/>
  <c r="T175" i="89"/>
  <c r="R175" i="89"/>
  <c r="P175" i="89"/>
  <c r="J175" i="89"/>
  <c r="BF175" i="89" s="1"/>
  <c r="BK174" i="89"/>
  <c r="BI174" i="89"/>
  <c r="BH174" i="89"/>
  <c r="BG174" i="89"/>
  <c r="BE174" i="89"/>
  <c r="T174" i="89"/>
  <c r="R174" i="89"/>
  <c r="P174" i="89"/>
  <c r="J174" i="89"/>
  <c r="BF174" i="89" s="1"/>
  <c r="BK173" i="89"/>
  <c r="BI173" i="89"/>
  <c r="BH173" i="89"/>
  <c r="BG173" i="89"/>
  <c r="BE173" i="89"/>
  <c r="T173" i="89"/>
  <c r="R173" i="89"/>
  <c r="P173" i="89"/>
  <c r="J173" i="89"/>
  <c r="BF173" i="89" s="1"/>
  <c r="BK172" i="89"/>
  <c r="BI172" i="89"/>
  <c r="BH172" i="89"/>
  <c r="BG172" i="89"/>
  <c r="BE172" i="89"/>
  <c r="T172" i="89"/>
  <c r="R172" i="89"/>
  <c r="P172" i="89"/>
  <c r="J172" i="89"/>
  <c r="BF172" i="89" s="1"/>
  <c r="BK170" i="89"/>
  <c r="BI170" i="89"/>
  <c r="BH170" i="89"/>
  <c r="BG170" i="89"/>
  <c r="BE170" i="89"/>
  <c r="T170" i="89"/>
  <c r="R170" i="89"/>
  <c r="P170" i="89"/>
  <c r="J170" i="89"/>
  <c r="BF170" i="89" s="1"/>
  <c r="BK169" i="89"/>
  <c r="BI169" i="89"/>
  <c r="BH169" i="89"/>
  <c r="BG169" i="89"/>
  <c r="BF169" i="89"/>
  <c r="BE169" i="89"/>
  <c r="T169" i="89"/>
  <c r="R169" i="89"/>
  <c r="P169" i="89"/>
  <c r="J169" i="89"/>
  <c r="BK168" i="89"/>
  <c r="BI168" i="89"/>
  <c r="BH168" i="89"/>
  <c r="BG168" i="89"/>
  <c r="BE168" i="89"/>
  <c r="T168" i="89"/>
  <c r="R168" i="89"/>
  <c r="P168" i="89"/>
  <c r="J168" i="89"/>
  <c r="BF168" i="89" s="1"/>
  <c r="BK167" i="89"/>
  <c r="BI167" i="89"/>
  <c r="BH167" i="89"/>
  <c r="BG167" i="89"/>
  <c r="BE167" i="89"/>
  <c r="T167" i="89"/>
  <c r="R167" i="89"/>
  <c r="P167" i="89"/>
  <c r="J167" i="89"/>
  <c r="BF167" i="89" s="1"/>
  <c r="BK166" i="89"/>
  <c r="BI166" i="89"/>
  <c r="BH166" i="89"/>
  <c r="BG166" i="89"/>
  <c r="BE166" i="89"/>
  <c r="T166" i="89"/>
  <c r="R166" i="89"/>
  <c r="P166" i="89"/>
  <c r="J166" i="89"/>
  <c r="BF166" i="89" s="1"/>
  <c r="BK165" i="89"/>
  <c r="BI165" i="89"/>
  <c r="BH165" i="89"/>
  <c r="BG165" i="89"/>
  <c r="BF165" i="89"/>
  <c r="BE165" i="89"/>
  <c r="T165" i="89"/>
  <c r="R165" i="89"/>
  <c r="P165" i="89"/>
  <c r="J165" i="89"/>
  <c r="BK164" i="89"/>
  <c r="BI164" i="89"/>
  <c r="BH164" i="89"/>
  <c r="BG164" i="89"/>
  <c r="BF164" i="89"/>
  <c r="BE164" i="89"/>
  <c r="T164" i="89"/>
  <c r="R164" i="89"/>
  <c r="P164" i="89"/>
  <c r="J164" i="89"/>
  <c r="BK163" i="89"/>
  <c r="BI163" i="89"/>
  <c r="BH163" i="89"/>
  <c r="BG163" i="89"/>
  <c r="BE163" i="89"/>
  <c r="T163" i="89"/>
  <c r="R163" i="89"/>
  <c r="P163" i="89"/>
  <c r="J163" i="89"/>
  <c r="BF163" i="89" s="1"/>
  <c r="BK162" i="89"/>
  <c r="BI162" i="89"/>
  <c r="BH162" i="89"/>
  <c r="BG162" i="89"/>
  <c r="BE162" i="89"/>
  <c r="T162" i="89"/>
  <c r="R162" i="89"/>
  <c r="P162" i="89"/>
  <c r="J162" i="89"/>
  <c r="BF162" i="89" s="1"/>
  <c r="BK161" i="89"/>
  <c r="BI161" i="89"/>
  <c r="BH161" i="89"/>
  <c r="BG161" i="89"/>
  <c r="BE161" i="89"/>
  <c r="T161" i="89"/>
  <c r="R161" i="89"/>
  <c r="P161" i="89"/>
  <c r="J161" i="89"/>
  <c r="BF161" i="89" s="1"/>
  <c r="BK160" i="89"/>
  <c r="BI160" i="89"/>
  <c r="BH160" i="89"/>
  <c r="BG160" i="89"/>
  <c r="BF160" i="89"/>
  <c r="BE160" i="89"/>
  <c r="T160" i="89"/>
  <c r="R160" i="89"/>
  <c r="P160" i="89"/>
  <c r="J160" i="89"/>
  <c r="BK159" i="89"/>
  <c r="BI159" i="89"/>
  <c r="BH159" i="89"/>
  <c r="BG159" i="89"/>
  <c r="BE159" i="89"/>
  <c r="T159" i="89"/>
  <c r="R159" i="89"/>
  <c r="P159" i="89"/>
  <c r="J159" i="89"/>
  <c r="BF159" i="89" s="1"/>
  <c r="BK158" i="89"/>
  <c r="BI158" i="89"/>
  <c r="BH158" i="89"/>
  <c r="BG158" i="89"/>
  <c r="BE158" i="89"/>
  <c r="T158" i="89"/>
  <c r="R158" i="89"/>
  <c r="P158" i="89"/>
  <c r="J158" i="89"/>
  <c r="BF158" i="89" s="1"/>
  <c r="BK157" i="89"/>
  <c r="BI157" i="89"/>
  <c r="BH157" i="89"/>
  <c r="BG157" i="89"/>
  <c r="BE157" i="89"/>
  <c r="T157" i="89"/>
  <c r="R157" i="89"/>
  <c r="P157" i="89"/>
  <c r="J157" i="89"/>
  <c r="BF157" i="89" s="1"/>
  <c r="BK156" i="89"/>
  <c r="BI156" i="89"/>
  <c r="BH156" i="89"/>
  <c r="BG156" i="89"/>
  <c r="BE156" i="89"/>
  <c r="T156" i="89"/>
  <c r="R156" i="89"/>
  <c r="P156" i="89"/>
  <c r="J156" i="89"/>
  <c r="BF156" i="89" s="1"/>
  <c r="BK155" i="89"/>
  <c r="BI155" i="89"/>
  <c r="BH155" i="89"/>
  <c r="BG155" i="89"/>
  <c r="BE155" i="89"/>
  <c r="T155" i="89"/>
  <c r="R155" i="89"/>
  <c r="P155" i="89"/>
  <c r="J155" i="89"/>
  <c r="BF155" i="89" s="1"/>
  <c r="BK154" i="89"/>
  <c r="BI154" i="89"/>
  <c r="BH154" i="89"/>
  <c r="BG154" i="89"/>
  <c r="BE154" i="89"/>
  <c r="T154" i="89"/>
  <c r="R154" i="89"/>
  <c r="P154" i="89"/>
  <c r="P152" i="89" s="1"/>
  <c r="J154" i="89"/>
  <c r="BF154" i="89" s="1"/>
  <c r="BK153" i="89"/>
  <c r="BI153" i="89"/>
  <c r="BH153" i="89"/>
  <c r="BG153" i="89"/>
  <c r="BF153" i="89"/>
  <c r="BE153" i="89"/>
  <c r="T153" i="89"/>
  <c r="T152" i="89" s="1"/>
  <c r="R153" i="89"/>
  <c r="P153" i="89"/>
  <c r="J153" i="89"/>
  <c r="BI150" i="89"/>
  <c r="BH150" i="89"/>
  <c r="BG150" i="89"/>
  <c r="BE150" i="89"/>
  <c r="BK148" i="89"/>
  <c r="BI148" i="89"/>
  <c r="BH148" i="89"/>
  <c r="BG148" i="89"/>
  <c r="BE148" i="89"/>
  <c r="T148" i="89"/>
  <c r="R148" i="89"/>
  <c r="P148" i="89"/>
  <c r="J148" i="89"/>
  <c r="BF148" i="89" s="1"/>
  <c r="BK147" i="89"/>
  <c r="BI147" i="89"/>
  <c r="BH147" i="89"/>
  <c r="BG147" i="89"/>
  <c r="BE147" i="89"/>
  <c r="T147" i="89"/>
  <c r="R147" i="89"/>
  <c r="P147" i="89"/>
  <c r="J147" i="89"/>
  <c r="BF147" i="89" s="1"/>
  <c r="BK146" i="89"/>
  <c r="BI146" i="89"/>
  <c r="BH146" i="89"/>
  <c r="BG146" i="89"/>
  <c r="BE146" i="89"/>
  <c r="T146" i="89"/>
  <c r="R146" i="89"/>
  <c r="P146" i="89"/>
  <c r="J146" i="89"/>
  <c r="BF146" i="89" s="1"/>
  <c r="BK145" i="89"/>
  <c r="BI145" i="89"/>
  <c r="BH145" i="89"/>
  <c r="BG145" i="89"/>
  <c r="BF145" i="89"/>
  <c r="BE145" i="89"/>
  <c r="T145" i="89"/>
  <c r="R145" i="89"/>
  <c r="P145" i="89"/>
  <c r="J145" i="89"/>
  <c r="BK144" i="89"/>
  <c r="BI144" i="89"/>
  <c r="BH144" i="89"/>
  <c r="BG144" i="89"/>
  <c r="BE144" i="89"/>
  <c r="T144" i="89"/>
  <c r="R144" i="89"/>
  <c r="P144" i="89"/>
  <c r="J144" i="89"/>
  <c r="BF144" i="89" s="1"/>
  <c r="BK143" i="89"/>
  <c r="BI143" i="89"/>
  <c r="BH143" i="89"/>
  <c r="BG143" i="89"/>
  <c r="BE143" i="89"/>
  <c r="T143" i="89"/>
  <c r="R143" i="89"/>
  <c r="P143" i="89"/>
  <c r="J143" i="89"/>
  <c r="BF143" i="89" s="1"/>
  <c r="BK142" i="89"/>
  <c r="BI142" i="89"/>
  <c r="BH142" i="89"/>
  <c r="BG142" i="89"/>
  <c r="BE142" i="89"/>
  <c r="T142" i="89"/>
  <c r="R142" i="89"/>
  <c r="P142" i="89"/>
  <c r="J142" i="89"/>
  <c r="BF142" i="89" s="1"/>
  <c r="BK141" i="89"/>
  <c r="BI141" i="89"/>
  <c r="BH141" i="89"/>
  <c r="BG141" i="89"/>
  <c r="BF141" i="89"/>
  <c r="BE141" i="89"/>
  <c r="T141" i="89"/>
  <c r="R141" i="89"/>
  <c r="P141" i="89"/>
  <c r="J141" i="89"/>
  <c r="BK140" i="89"/>
  <c r="BI140" i="89"/>
  <c r="BH140" i="89"/>
  <c r="BG140" i="89"/>
  <c r="BE140" i="89"/>
  <c r="T140" i="89"/>
  <c r="R140" i="89"/>
  <c r="P140" i="89"/>
  <c r="J140" i="89"/>
  <c r="BF140" i="89" s="1"/>
  <c r="BK139" i="89"/>
  <c r="BI139" i="89"/>
  <c r="BH139" i="89"/>
  <c r="BG139" i="89"/>
  <c r="BE139" i="89"/>
  <c r="T139" i="89"/>
  <c r="R139" i="89"/>
  <c r="P139" i="89"/>
  <c r="P136" i="89" s="1"/>
  <c r="J139" i="89"/>
  <c r="BF139" i="89" s="1"/>
  <c r="BK138" i="89"/>
  <c r="BI138" i="89"/>
  <c r="BH138" i="89"/>
  <c r="BG138" i="89"/>
  <c r="BE138" i="89"/>
  <c r="T138" i="89"/>
  <c r="R138" i="89"/>
  <c r="P138" i="89"/>
  <c r="J138" i="89"/>
  <c r="BF138" i="89" s="1"/>
  <c r="BK137" i="89"/>
  <c r="BI137" i="89"/>
  <c r="BH137" i="89"/>
  <c r="BG137" i="89"/>
  <c r="BE137" i="89"/>
  <c r="T137" i="89"/>
  <c r="R137" i="89"/>
  <c r="P137" i="89"/>
  <c r="J137" i="89"/>
  <c r="BF137" i="89" s="1"/>
  <c r="R136" i="89"/>
  <c r="BI135" i="89"/>
  <c r="BH135" i="89"/>
  <c r="BG135" i="89"/>
  <c r="BE135" i="89"/>
  <c r="BK134" i="89"/>
  <c r="BI134" i="89"/>
  <c r="BH134" i="89"/>
  <c r="BG134" i="89"/>
  <c r="BE134" i="89"/>
  <c r="T134" i="89"/>
  <c r="R134" i="89"/>
  <c r="P134" i="89"/>
  <c r="J134" i="89"/>
  <c r="BF134" i="89" s="1"/>
  <c r="BK133" i="89"/>
  <c r="BI133" i="89"/>
  <c r="BH133" i="89"/>
  <c r="BG133" i="89"/>
  <c r="BE133" i="89"/>
  <c r="T133" i="89"/>
  <c r="R133" i="89"/>
  <c r="P133" i="89"/>
  <c r="J133" i="89"/>
  <c r="BF133" i="89" s="1"/>
  <c r="BK132" i="89"/>
  <c r="BI132" i="89"/>
  <c r="BH132" i="89"/>
  <c r="BG132" i="89"/>
  <c r="BE132" i="89"/>
  <c r="T132" i="89"/>
  <c r="R132" i="89"/>
  <c r="P132" i="89"/>
  <c r="J132" i="89"/>
  <c r="BF132" i="89" s="1"/>
  <c r="J126" i="89"/>
  <c r="F123" i="89"/>
  <c r="E121" i="89"/>
  <c r="E119" i="89"/>
  <c r="BI108" i="89"/>
  <c r="BH108" i="89"/>
  <c r="BG108" i="89"/>
  <c r="BF108" i="89"/>
  <c r="BE108" i="89"/>
  <c r="J107" i="89"/>
  <c r="J31" i="89" s="1"/>
  <c r="J92" i="89"/>
  <c r="F89" i="89"/>
  <c r="E87" i="89"/>
  <c r="E85" i="89"/>
  <c r="J39" i="89"/>
  <c r="J38" i="89"/>
  <c r="J37" i="89"/>
  <c r="J21" i="89"/>
  <c r="E21" i="89"/>
  <c r="J20" i="89"/>
  <c r="J18" i="89"/>
  <c r="E18" i="89"/>
  <c r="F126" i="89" s="1"/>
  <c r="J17" i="89"/>
  <c r="J15" i="89"/>
  <c r="E15" i="89"/>
  <c r="F125" i="89" s="1"/>
  <c r="J14" i="89"/>
  <c r="J12" i="89"/>
  <c r="E7" i="89"/>
  <c r="BK226" i="88"/>
  <c r="BI226" i="88"/>
  <c r="BH226" i="88"/>
  <c r="BG226" i="88"/>
  <c r="BE226" i="88"/>
  <c r="T226" i="88"/>
  <c r="T223" i="88" s="1"/>
  <c r="R226" i="88"/>
  <c r="P226" i="88"/>
  <c r="J226" i="88"/>
  <c r="BF226" i="88" s="1"/>
  <c r="BK225" i="88"/>
  <c r="BI225" i="88"/>
  <c r="BH225" i="88"/>
  <c r="BG225" i="88"/>
  <c r="BE225" i="88"/>
  <c r="T225" i="88"/>
  <c r="R225" i="88"/>
  <c r="P225" i="88"/>
  <c r="J225" i="88"/>
  <c r="BF225" i="88" s="1"/>
  <c r="BK224" i="88"/>
  <c r="BK223" i="88" s="1"/>
  <c r="J223" i="88" s="1"/>
  <c r="J110" i="88" s="1"/>
  <c r="BI224" i="88"/>
  <c r="BH224" i="88"/>
  <c r="BG224" i="88"/>
  <c r="BE224" i="88"/>
  <c r="T224" i="88"/>
  <c r="R224" i="88"/>
  <c r="P224" i="88"/>
  <c r="P223" i="88" s="1"/>
  <c r="J224" i="88"/>
  <c r="BF224" i="88" s="1"/>
  <c r="R223" i="88"/>
  <c r="BK222" i="88"/>
  <c r="BI222" i="88"/>
  <c r="BH222" i="88"/>
  <c r="BG222" i="88"/>
  <c r="BE222" i="88"/>
  <c r="T222" i="88"/>
  <c r="R222" i="88"/>
  <c r="P222" i="88"/>
  <c r="J222" i="88"/>
  <c r="BF222" i="88" s="1"/>
  <c r="BK221" i="88"/>
  <c r="BI221" i="88"/>
  <c r="BH221" i="88"/>
  <c r="BG221" i="88"/>
  <c r="BE221" i="88"/>
  <c r="T221" i="88"/>
  <c r="R221" i="88"/>
  <c r="P221" i="88"/>
  <c r="J221" i="88"/>
  <c r="BF221" i="88" s="1"/>
  <c r="BK220" i="88"/>
  <c r="BI220" i="88"/>
  <c r="BH220" i="88"/>
  <c r="BG220" i="88"/>
  <c r="BE220" i="88"/>
  <c r="T220" i="88"/>
  <c r="R220" i="88"/>
  <c r="P220" i="88"/>
  <c r="J220" i="88"/>
  <c r="BF220" i="88" s="1"/>
  <c r="BK219" i="88"/>
  <c r="BI219" i="88"/>
  <c r="BH219" i="88"/>
  <c r="BG219" i="88"/>
  <c r="BE219" i="88"/>
  <c r="T219" i="88"/>
  <c r="R219" i="88"/>
  <c r="P219" i="88"/>
  <c r="J219" i="88"/>
  <c r="BF219" i="88" s="1"/>
  <c r="BK218" i="88"/>
  <c r="BI218" i="88"/>
  <c r="BH218" i="88"/>
  <c r="BG218" i="88"/>
  <c r="BE218" i="88"/>
  <c r="T218" i="88"/>
  <c r="R218" i="88"/>
  <c r="P218" i="88"/>
  <c r="J218" i="88"/>
  <c r="BF218" i="88" s="1"/>
  <c r="BK217" i="88"/>
  <c r="BI217" i="88"/>
  <c r="BH217" i="88"/>
  <c r="BG217" i="88"/>
  <c r="BE217" i="88"/>
  <c r="T217" i="88"/>
  <c r="R217" i="88"/>
  <c r="P217" i="88"/>
  <c r="P213" i="88" s="1"/>
  <c r="J217" i="88"/>
  <c r="BF217" i="88" s="1"/>
  <c r="BK216" i="88"/>
  <c r="BI216" i="88"/>
  <c r="BH216" i="88"/>
  <c r="BG216" i="88"/>
  <c r="BE216" i="88"/>
  <c r="T216" i="88"/>
  <c r="R216" i="88"/>
  <c r="R213" i="88" s="1"/>
  <c r="P216" i="88"/>
  <c r="J216" i="88"/>
  <c r="BF216" i="88" s="1"/>
  <c r="BK215" i="88"/>
  <c r="BI215" i="88"/>
  <c r="BH215" i="88"/>
  <c r="BG215" i="88"/>
  <c r="BE215" i="88"/>
  <c r="T215" i="88"/>
  <c r="R215" i="88"/>
  <c r="P215" i="88"/>
  <c r="J215" i="88"/>
  <c r="BF215" i="88" s="1"/>
  <c r="BK214" i="88"/>
  <c r="BI214" i="88"/>
  <c r="BH214" i="88"/>
  <c r="BG214" i="88"/>
  <c r="BE214" i="88"/>
  <c r="T214" i="88"/>
  <c r="R214" i="88"/>
  <c r="P214" i="88"/>
  <c r="J214" i="88"/>
  <c r="BF214" i="88" s="1"/>
  <c r="BK213" i="88"/>
  <c r="J213" i="88" s="1"/>
  <c r="J109" i="88" s="1"/>
  <c r="T213" i="88"/>
  <c r="BK212" i="88"/>
  <c r="BI212" i="88"/>
  <c r="BH212" i="88"/>
  <c r="BG212" i="88"/>
  <c r="BF212" i="88"/>
  <c r="BE212" i="88"/>
  <c r="T212" i="88"/>
  <c r="R212" i="88"/>
  <c r="P212" i="88"/>
  <c r="J212" i="88"/>
  <c r="BK211" i="88"/>
  <c r="BI211" i="88"/>
  <c r="BH211" i="88"/>
  <c r="BG211" i="88"/>
  <c r="BE211" i="88"/>
  <c r="T211" i="88"/>
  <c r="R211" i="88"/>
  <c r="P211" i="88"/>
  <c r="J211" i="88"/>
  <c r="BF211" i="88" s="1"/>
  <c r="BK210" i="88"/>
  <c r="BI210" i="88"/>
  <c r="BH210" i="88"/>
  <c r="BG210" i="88"/>
  <c r="BE210" i="88"/>
  <c r="T210" i="88"/>
  <c r="R210" i="88"/>
  <c r="P210" i="88"/>
  <c r="J210" i="88"/>
  <c r="BF210" i="88" s="1"/>
  <c r="BK209" i="88"/>
  <c r="BI209" i="88"/>
  <c r="BH209" i="88"/>
  <c r="BG209" i="88"/>
  <c r="BE209" i="88"/>
  <c r="T209" i="88"/>
  <c r="R209" i="88"/>
  <c r="P209" i="88"/>
  <c r="J209" i="88"/>
  <c r="BF209" i="88" s="1"/>
  <c r="BK208" i="88"/>
  <c r="BI208" i="88"/>
  <c r="BH208" i="88"/>
  <c r="BG208" i="88"/>
  <c r="BE208" i="88"/>
  <c r="T208" i="88"/>
  <c r="R208" i="88"/>
  <c r="P208" i="88"/>
  <c r="J208" i="88"/>
  <c r="BF208" i="88" s="1"/>
  <c r="BK207" i="88"/>
  <c r="BI207" i="88"/>
  <c r="BH207" i="88"/>
  <c r="BG207" i="88"/>
  <c r="BE207" i="88"/>
  <c r="T207" i="88"/>
  <c r="R207" i="88"/>
  <c r="P207" i="88"/>
  <c r="J207" i="88"/>
  <c r="BF207" i="88" s="1"/>
  <c r="BK206" i="88"/>
  <c r="BI206" i="88"/>
  <c r="BH206" i="88"/>
  <c r="BG206" i="88"/>
  <c r="BE206" i="88"/>
  <c r="T206" i="88"/>
  <c r="R206" i="88"/>
  <c r="P206" i="88"/>
  <c r="J206" i="88"/>
  <c r="BF206" i="88" s="1"/>
  <c r="BK205" i="88"/>
  <c r="BI205" i="88"/>
  <c r="BH205" i="88"/>
  <c r="BG205" i="88"/>
  <c r="BF205" i="88"/>
  <c r="BE205" i="88"/>
  <c r="T205" i="88"/>
  <c r="R205" i="88"/>
  <c r="P205" i="88"/>
  <c r="J205" i="88"/>
  <c r="BK204" i="88"/>
  <c r="BI204" i="88"/>
  <c r="BH204" i="88"/>
  <c r="BG204" i="88"/>
  <c r="BE204" i="88"/>
  <c r="T204" i="88"/>
  <c r="R204" i="88"/>
  <c r="P204" i="88"/>
  <c r="J204" i="88"/>
  <c r="BF204" i="88" s="1"/>
  <c r="BK203" i="88"/>
  <c r="BI203" i="88"/>
  <c r="BH203" i="88"/>
  <c r="BG203" i="88"/>
  <c r="BE203" i="88"/>
  <c r="T203" i="88"/>
  <c r="R203" i="88"/>
  <c r="P203" i="88"/>
  <c r="J203" i="88"/>
  <c r="BF203" i="88" s="1"/>
  <c r="BK202" i="88"/>
  <c r="BI202" i="88"/>
  <c r="BH202" i="88"/>
  <c r="BG202" i="88"/>
  <c r="BE202" i="88"/>
  <c r="T202" i="88"/>
  <c r="R202" i="88"/>
  <c r="P202" i="88"/>
  <c r="J202" i="88"/>
  <c r="BF202" i="88" s="1"/>
  <c r="BK201" i="88"/>
  <c r="BI201" i="88"/>
  <c r="BH201" i="88"/>
  <c r="BG201" i="88"/>
  <c r="BF201" i="88"/>
  <c r="BE201" i="88"/>
  <c r="T201" i="88"/>
  <c r="R201" i="88"/>
  <c r="P201" i="88"/>
  <c r="J201" i="88"/>
  <c r="BK200" i="88"/>
  <c r="BI200" i="88"/>
  <c r="BH200" i="88"/>
  <c r="BG200" i="88"/>
  <c r="BF200" i="88"/>
  <c r="BE200" i="88"/>
  <c r="T200" i="88"/>
  <c r="R200" i="88"/>
  <c r="P200" i="88"/>
  <c r="J200" i="88"/>
  <c r="BK199" i="88"/>
  <c r="BI199" i="88"/>
  <c r="BH199" i="88"/>
  <c r="BG199" i="88"/>
  <c r="BE199" i="88"/>
  <c r="T199" i="88"/>
  <c r="R199" i="88"/>
  <c r="P199" i="88"/>
  <c r="J199" i="88"/>
  <c r="BF199" i="88" s="1"/>
  <c r="BK198" i="88"/>
  <c r="BI198" i="88"/>
  <c r="BH198" i="88"/>
  <c r="BG198" i="88"/>
  <c r="BE198" i="88"/>
  <c r="T198" i="88"/>
  <c r="R198" i="88"/>
  <c r="P198" i="88"/>
  <c r="J198" i="88"/>
  <c r="BF198" i="88" s="1"/>
  <c r="BK197" i="88"/>
  <c r="BI197" i="88"/>
  <c r="BH197" i="88"/>
  <c r="BG197" i="88"/>
  <c r="BE197" i="88"/>
  <c r="T197" i="88"/>
  <c r="R197" i="88"/>
  <c r="P197" i="88"/>
  <c r="J197" i="88"/>
  <c r="BF197" i="88" s="1"/>
  <c r="BK196" i="88"/>
  <c r="BI196" i="88"/>
  <c r="BH196" i="88"/>
  <c r="BG196" i="88"/>
  <c r="BF196" i="88"/>
  <c r="BE196" i="88"/>
  <c r="T196" i="88"/>
  <c r="R196" i="88"/>
  <c r="P196" i="88"/>
  <c r="J196" i="88"/>
  <c r="BK195" i="88"/>
  <c r="BI195" i="88"/>
  <c r="BH195" i="88"/>
  <c r="BG195" i="88"/>
  <c r="BE195" i="88"/>
  <c r="T195" i="88"/>
  <c r="R195" i="88"/>
  <c r="P195" i="88"/>
  <c r="J195" i="88"/>
  <c r="BF195" i="88" s="1"/>
  <c r="BK194" i="88"/>
  <c r="BI194" i="88"/>
  <c r="BH194" i="88"/>
  <c r="BG194" i="88"/>
  <c r="BE194" i="88"/>
  <c r="T194" i="88"/>
  <c r="R194" i="88"/>
  <c r="P194" i="88"/>
  <c r="J194" i="88"/>
  <c r="BF194" i="88" s="1"/>
  <c r="BK193" i="88"/>
  <c r="BI193" i="88"/>
  <c r="BH193" i="88"/>
  <c r="BG193" i="88"/>
  <c r="BE193" i="88"/>
  <c r="T193" i="88"/>
  <c r="R193" i="88"/>
  <c r="P193" i="88"/>
  <c r="J193" i="88"/>
  <c r="BF193" i="88" s="1"/>
  <c r="BK192" i="88"/>
  <c r="BI192" i="88"/>
  <c r="BH192" i="88"/>
  <c r="BG192" i="88"/>
  <c r="BE192" i="88"/>
  <c r="T192" i="88"/>
  <c r="R192" i="88"/>
  <c r="P192" i="88"/>
  <c r="J192" i="88"/>
  <c r="BF192" i="88" s="1"/>
  <c r="BK191" i="88"/>
  <c r="BI191" i="88"/>
  <c r="BH191" i="88"/>
  <c r="BG191" i="88"/>
  <c r="BE191" i="88"/>
  <c r="T191" i="88"/>
  <c r="R191" i="88"/>
  <c r="P191" i="88"/>
  <c r="J191" i="88"/>
  <c r="BF191" i="88" s="1"/>
  <c r="BK190" i="88"/>
  <c r="BI190" i="88"/>
  <c r="BH190" i="88"/>
  <c r="BG190" i="88"/>
  <c r="BE190" i="88"/>
  <c r="T190" i="88"/>
  <c r="R190" i="88"/>
  <c r="P190" i="88"/>
  <c r="J190" i="88"/>
  <c r="BF190" i="88" s="1"/>
  <c r="BK189" i="88"/>
  <c r="BI189" i="88"/>
  <c r="BH189" i="88"/>
  <c r="BG189" i="88"/>
  <c r="BF189" i="88"/>
  <c r="BE189" i="88"/>
  <c r="T189" i="88"/>
  <c r="R189" i="88"/>
  <c r="P189" i="88"/>
  <c r="J189" i="88"/>
  <c r="BK188" i="88"/>
  <c r="BI188" i="88"/>
  <c r="BH188" i="88"/>
  <c r="BG188" i="88"/>
  <c r="BE188" i="88"/>
  <c r="T188" i="88"/>
  <c r="R188" i="88"/>
  <c r="P188" i="88"/>
  <c r="J188" i="88"/>
  <c r="BF188" i="88" s="1"/>
  <c r="BK187" i="88"/>
  <c r="BI187" i="88"/>
  <c r="BH187" i="88"/>
  <c r="BG187" i="88"/>
  <c r="BE187" i="88"/>
  <c r="T187" i="88"/>
  <c r="R187" i="88"/>
  <c r="P187" i="88"/>
  <c r="J187" i="88"/>
  <c r="BF187" i="88" s="1"/>
  <c r="BK186" i="88"/>
  <c r="BI186" i="88"/>
  <c r="BH186" i="88"/>
  <c r="BG186" i="88"/>
  <c r="BE186" i="88"/>
  <c r="T186" i="88"/>
  <c r="R186" i="88"/>
  <c r="P186" i="88"/>
  <c r="J186" i="88"/>
  <c r="BF186" i="88" s="1"/>
  <c r="BK185" i="88"/>
  <c r="BI185" i="88"/>
  <c r="BH185" i="88"/>
  <c r="BG185" i="88"/>
  <c r="BF185" i="88"/>
  <c r="BE185" i="88"/>
  <c r="T185" i="88"/>
  <c r="T182" i="88" s="1"/>
  <c r="R185" i="88"/>
  <c r="P185" i="88"/>
  <c r="J185" i="88"/>
  <c r="BK184" i="88"/>
  <c r="BI184" i="88"/>
  <c r="BH184" i="88"/>
  <c r="BG184" i="88"/>
  <c r="BF184" i="88"/>
  <c r="BE184" i="88"/>
  <c r="T184" i="88"/>
  <c r="R184" i="88"/>
  <c r="P184" i="88"/>
  <c r="J184" i="88"/>
  <c r="BK183" i="88"/>
  <c r="BI183" i="88"/>
  <c r="BH183" i="88"/>
  <c r="BG183" i="88"/>
  <c r="BE183" i="88"/>
  <c r="T183" i="88"/>
  <c r="R183" i="88"/>
  <c r="P183" i="88"/>
  <c r="J183" i="88"/>
  <c r="BF183" i="88" s="1"/>
  <c r="BK180" i="88"/>
  <c r="BI180" i="88"/>
  <c r="BH180" i="88"/>
  <c r="BG180" i="88"/>
  <c r="BE180" i="88"/>
  <c r="T180" i="88"/>
  <c r="T174" i="88" s="1"/>
  <c r="T173" i="88" s="1"/>
  <c r="R180" i="88"/>
  <c r="P180" i="88"/>
  <c r="J180" i="88"/>
  <c r="BF180" i="88" s="1"/>
  <c r="BK179" i="88"/>
  <c r="BI179" i="88"/>
  <c r="BH179" i="88"/>
  <c r="BG179" i="88"/>
  <c r="BF179" i="88"/>
  <c r="BE179" i="88"/>
  <c r="T179" i="88"/>
  <c r="R179" i="88"/>
  <c r="P179" i="88"/>
  <c r="J179" i="88"/>
  <c r="BK178" i="88"/>
  <c r="BI178" i="88"/>
  <c r="BH178" i="88"/>
  <c r="BG178" i="88"/>
  <c r="BE178" i="88"/>
  <c r="T178" i="88"/>
  <c r="R178" i="88"/>
  <c r="P178" i="88"/>
  <c r="J178" i="88"/>
  <c r="BF178" i="88" s="1"/>
  <c r="BK177" i="88"/>
  <c r="BI177" i="88"/>
  <c r="BH177" i="88"/>
  <c r="BG177" i="88"/>
  <c r="BE177" i="88"/>
  <c r="T177" i="88"/>
  <c r="R177" i="88"/>
  <c r="P177" i="88"/>
  <c r="P174" i="88" s="1"/>
  <c r="P173" i="88" s="1"/>
  <c r="J177" i="88"/>
  <c r="BF177" i="88" s="1"/>
  <c r="BK176" i="88"/>
  <c r="BI176" i="88"/>
  <c r="BH176" i="88"/>
  <c r="BG176" i="88"/>
  <c r="BE176" i="88"/>
  <c r="T176" i="88"/>
  <c r="R176" i="88"/>
  <c r="P176" i="88"/>
  <c r="J176" i="88"/>
  <c r="BF176" i="88" s="1"/>
  <c r="BK175" i="88"/>
  <c r="BI175" i="88"/>
  <c r="BH175" i="88"/>
  <c r="BG175" i="88"/>
  <c r="BE175" i="88"/>
  <c r="T175" i="88"/>
  <c r="R175" i="88"/>
  <c r="P175" i="88"/>
  <c r="J175" i="88"/>
  <c r="BF175" i="88" s="1"/>
  <c r="R174" i="88"/>
  <c r="R173" i="88" s="1"/>
  <c r="BI172" i="88"/>
  <c r="BH172" i="88"/>
  <c r="BG172" i="88"/>
  <c r="BE172" i="88"/>
  <c r="BI171" i="88"/>
  <c r="BH171" i="88"/>
  <c r="BG171" i="88"/>
  <c r="BE171" i="88"/>
  <c r="BI170" i="88"/>
  <c r="BH170" i="88"/>
  <c r="BG170" i="88"/>
  <c r="BE170" i="88"/>
  <c r="BI169" i="88"/>
  <c r="BH169" i="88"/>
  <c r="BG169" i="88"/>
  <c r="BE169" i="88"/>
  <c r="BK167" i="88"/>
  <c r="BI167" i="88"/>
  <c r="BH167" i="88"/>
  <c r="BG167" i="88"/>
  <c r="BE167" i="88"/>
  <c r="T167" i="88"/>
  <c r="T165" i="88" s="1"/>
  <c r="R167" i="88"/>
  <c r="P167" i="88"/>
  <c r="J167" i="88"/>
  <c r="BF167" i="88" s="1"/>
  <c r="BK166" i="88"/>
  <c r="BK165" i="88" s="1"/>
  <c r="J165" i="88" s="1"/>
  <c r="J103" i="88" s="1"/>
  <c r="BI166" i="88"/>
  <c r="BH166" i="88"/>
  <c r="BG166" i="88"/>
  <c r="BE166" i="88"/>
  <c r="T166" i="88"/>
  <c r="R166" i="88"/>
  <c r="R165" i="88" s="1"/>
  <c r="P166" i="88"/>
  <c r="P165" i="88" s="1"/>
  <c r="J166" i="88"/>
  <c r="BF166" i="88" s="1"/>
  <c r="BK164" i="88"/>
  <c r="BI164" i="88"/>
  <c r="BH164" i="88"/>
  <c r="BG164" i="88"/>
  <c r="BE164" i="88"/>
  <c r="T164" i="88"/>
  <c r="R164" i="88"/>
  <c r="P164" i="88"/>
  <c r="J164" i="88"/>
  <c r="BF164" i="88" s="1"/>
  <c r="BK163" i="88"/>
  <c r="BI163" i="88"/>
  <c r="BH163" i="88"/>
  <c r="BG163" i="88"/>
  <c r="BE163" i="88"/>
  <c r="T163" i="88"/>
  <c r="R163" i="88"/>
  <c r="R161" i="88" s="1"/>
  <c r="P163" i="88"/>
  <c r="P161" i="88" s="1"/>
  <c r="J163" i="88"/>
  <c r="BF163" i="88" s="1"/>
  <c r="BK162" i="88"/>
  <c r="BI162" i="88"/>
  <c r="BH162" i="88"/>
  <c r="BG162" i="88"/>
  <c r="BE162" i="88"/>
  <c r="T162" i="88"/>
  <c r="T161" i="88" s="1"/>
  <c r="R162" i="88"/>
  <c r="P162" i="88"/>
  <c r="J162" i="88"/>
  <c r="BF162" i="88" s="1"/>
  <c r="BK160" i="88"/>
  <c r="BI160" i="88"/>
  <c r="BH160" i="88"/>
  <c r="BG160" i="88"/>
  <c r="BE160" i="88"/>
  <c r="T160" i="88"/>
  <c r="T159" i="88" s="1"/>
  <c r="R160" i="88"/>
  <c r="R159" i="88" s="1"/>
  <c r="P160" i="88"/>
  <c r="J160" i="88"/>
  <c r="BF160" i="88" s="1"/>
  <c r="BK159" i="88"/>
  <c r="P159" i="88"/>
  <c r="J159" i="88"/>
  <c r="J101" i="88" s="1"/>
  <c r="BK158" i="88"/>
  <c r="BI158" i="88"/>
  <c r="BH158" i="88"/>
  <c r="BG158" i="88"/>
  <c r="BE158" i="88"/>
  <c r="T158" i="88"/>
  <c r="R158" i="88"/>
  <c r="P158" i="88"/>
  <c r="J158" i="88"/>
  <c r="BF158" i="88" s="1"/>
  <c r="BK157" i="88"/>
  <c r="BI157" i="88"/>
  <c r="BH157" i="88"/>
  <c r="BG157" i="88"/>
  <c r="BE157" i="88"/>
  <c r="T157" i="88"/>
  <c r="R157" i="88"/>
  <c r="P157" i="88"/>
  <c r="J157" i="88"/>
  <c r="BF157" i="88" s="1"/>
  <c r="BK156" i="88"/>
  <c r="BI156" i="88"/>
  <c r="BH156" i="88"/>
  <c r="BG156" i="88"/>
  <c r="BF156" i="88"/>
  <c r="BE156" i="88"/>
  <c r="T156" i="88"/>
  <c r="R156" i="88"/>
  <c r="P156" i="88"/>
  <c r="J156" i="88"/>
  <c r="BK155" i="88"/>
  <c r="BI155" i="88"/>
  <c r="BH155" i="88"/>
  <c r="BG155" i="88"/>
  <c r="BE155" i="88"/>
  <c r="T155" i="88"/>
  <c r="R155" i="88"/>
  <c r="P155" i="88"/>
  <c r="J155" i="88"/>
  <c r="BF155" i="88" s="1"/>
  <c r="BK154" i="88"/>
  <c r="BI154" i="88"/>
  <c r="BH154" i="88"/>
  <c r="BG154" i="88"/>
  <c r="BE154" i="88"/>
  <c r="T154" i="88"/>
  <c r="R154" i="88"/>
  <c r="P154" i="88"/>
  <c r="J154" i="88"/>
  <c r="BF154" i="88" s="1"/>
  <c r="BK153" i="88"/>
  <c r="BI153" i="88"/>
  <c r="BH153" i="88"/>
  <c r="BG153" i="88"/>
  <c r="BE153" i="88"/>
  <c r="T153" i="88"/>
  <c r="R153" i="88"/>
  <c r="P153" i="88"/>
  <c r="J153" i="88"/>
  <c r="BF153" i="88" s="1"/>
  <c r="BK152" i="88"/>
  <c r="BI152" i="88"/>
  <c r="BH152" i="88"/>
  <c r="BG152" i="88"/>
  <c r="BE152" i="88"/>
  <c r="T152" i="88"/>
  <c r="R152" i="88"/>
  <c r="P152" i="88"/>
  <c r="J152" i="88"/>
  <c r="BF152" i="88" s="1"/>
  <c r="BK151" i="88"/>
  <c r="BI151" i="88"/>
  <c r="BH151" i="88"/>
  <c r="BG151" i="88"/>
  <c r="BE151" i="88"/>
  <c r="T151" i="88"/>
  <c r="R151" i="88"/>
  <c r="P151" i="88"/>
  <c r="J151" i="88"/>
  <c r="BF151" i="88" s="1"/>
  <c r="BK150" i="88"/>
  <c r="BI150" i="88"/>
  <c r="BH150" i="88"/>
  <c r="BG150" i="88"/>
  <c r="BE150" i="88"/>
  <c r="T150" i="88"/>
  <c r="R150" i="88"/>
  <c r="P150" i="88"/>
  <c r="P148" i="88" s="1"/>
  <c r="J150" i="88"/>
  <c r="BF150" i="88" s="1"/>
  <c r="BK149" i="88"/>
  <c r="BI149" i="88"/>
  <c r="BH149" i="88"/>
  <c r="BG149" i="88"/>
  <c r="BF149" i="88"/>
  <c r="BE149" i="88"/>
  <c r="T149" i="88"/>
  <c r="R149" i="88"/>
  <c r="P149" i="88"/>
  <c r="J149" i="88"/>
  <c r="BK147" i="88"/>
  <c r="BI147" i="88"/>
  <c r="BH147" i="88"/>
  <c r="BG147" i="88"/>
  <c r="BE147" i="88"/>
  <c r="T147" i="88"/>
  <c r="T143" i="88" s="1"/>
  <c r="R147" i="88"/>
  <c r="P147" i="88"/>
  <c r="J147" i="88"/>
  <c r="BF147" i="88" s="1"/>
  <c r="BK146" i="88"/>
  <c r="BI146" i="88"/>
  <c r="BH146" i="88"/>
  <c r="BG146" i="88"/>
  <c r="BE146" i="88"/>
  <c r="T146" i="88"/>
  <c r="R146" i="88"/>
  <c r="P146" i="88"/>
  <c r="J146" i="88"/>
  <c r="BF146" i="88" s="1"/>
  <c r="BK145" i="88"/>
  <c r="BI145" i="88"/>
  <c r="BH145" i="88"/>
  <c r="BG145" i="88"/>
  <c r="BE145" i="88"/>
  <c r="T145" i="88"/>
  <c r="R145" i="88"/>
  <c r="P145" i="88"/>
  <c r="J145" i="88"/>
  <c r="BF145" i="88" s="1"/>
  <c r="BK144" i="88"/>
  <c r="BI144" i="88"/>
  <c r="BH144" i="88"/>
  <c r="BG144" i="88"/>
  <c r="BE144" i="88"/>
  <c r="T144" i="88"/>
  <c r="R144" i="88"/>
  <c r="R143" i="88" s="1"/>
  <c r="P144" i="88"/>
  <c r="P143" i="88" s="1"/>
  <c r="J144" i="88"/>
  <c r="BF144" i="88" s="1"/>
  <c r="BI142" i="88"/>
  <c r="BH142" i="88"/>
  <c r="BG142" i="88"/>
  <c r="BE142" i="88"/>
  <c r="BK141" i="88"/>
  <c r="BI141" i="88"/>
  <c r="BH141" i="88"/>
  <c r="BG141" i="88"/>
  <c r="BE141" i="88"/>
  <c r="T141" i="88"/>
  <c r="R141" i="88"/>
  <c r="P141" i="88"/>
  <c r="J141" i="88"/>
  <c r="BF141" i="88" s="1"/>
  <c r="BK140" i="88"/>
  <c r="BI140" i="88"/>
  <c r="BH140" i="88"/>
  <c r="BG140" i="88"/>
  <c r="BE140" i="88"/>
  <c r="T140" i="88"/>
  <c r="R140" i="88"/>
  <c r="P140" i="88"/>
  <c r="J140" i="88"/>
  <c r="BF140" i="88" s="1"/>
  <c r="BK139" i="88"/>
  <c r="BI139" i="88"/>
  <c r="BH139" i="88"/>
  <c r="BG139" i="88"/>
  <c r="BF139" i="88"/>
  <c r="BE139" i="88"/>
  <c r="T139" i="88"/>
  <c r="R139" i="88"/>
  <c r="P139" i="88"/>
  <c r="J139" i="88"/>
  <c r="BK138" i="88"/>
  <c r="BI138" i="88"/>
  <c r="BH138" i="88"/>
  <c r="BG138" i="88"/>
  <c r="BE138" i="88"/>
  <c r="T138" i="88"/>
  <c r="R138" i="88"/>
  <c r="P138" i="88"/>
  <c r="J138" i="88"/>
  <c r="BF138" i="88" s="1"/>
  <c r="BK137" i="88"/>
  <c r="BI137" i="88"/>
  <c r="BH137" i="88"/>
  <c r="BG137" i="88"/>
  <c r="BE137" i="88"/>
  <c r="T137" i="88"/>
  <c r="R137" i="88"/>
  <c r="P137" i="88"/>
  <c r="BF137" i="88"/>
  <c r="J131" i="88"/>
  <c r="F131" i="88"/>
  <c r="J130" i="88"/>
  <c r="F130" i="88"/>
  <c r="F128" i="88"/>
  <c r="E126" i="88"/>
  <c r="J92" i="88"/>
  <c r="F92" i="88"/>
  <c r="J91" i="88"/>
  <c r="F91" i="88"/>
  <c r="F89" i="88"/>
  <c r="E87" i="88"/>
  <c r="J39" i="88"/>
  <c r="J38" i="88"/>
  <c r="J37" i="88"/>
  <c r="J31" i="88"/>
  <c r="J12" i="88"/>
  <c r="E7" i="88"/>
  <c r="E124" i="88" s="1"/>
  <c r="BK200" i="87"/>
  <c r="BI200" i="87"/>
  <c r="BH200" i="87"/>
  <c r="BG200" i="87"/>
  <c r="BE200" i="87"/>
  <c r="T200" i="87"/>
  <c r="R200" i="87"/>
  <c r="R197" i="87" s="1"/>
  <c r="P200" i="87"/>
  <c r="J200" i="87"/>
  <c r="BF200" i="87" s="1"/>
  <c r="BK199" i="87"/>
  <c r="BI199" i="87"/>
  <c r="BH199" i="87"/>
  <c r="BG199" i="87"/>
  <c r="BF199" i="87"/>
  <c r="BE199" i="87"/>
  <c r="T199" i="87"/>
  <c r="R199" i="87"/>
  <c r="P199" i="87"/>
  <c r="J199" i="87"/>
  <c r="BK198" i="87"/>
  <c r="BK197" i="87" s="1"/>
  <c r="BI198" i="87"/>
  <c r="BH198" i="87"/>
  <c r="BG198" i="87"/>
  <c r="BE198" i="87"/>
  <c r="T198" i="87"/>
  <c r="R198" i="87"/>
  <c r="P198" i="87"/>
  <c r="P197" i="87" s="1"/>
  <c r="P195" i="87" s="1"/>
  <c r="J198" i="87"/>
  <c r="BF198" i="87" s="1"/>
  <c r="T197" i="87"/>
  <c r="BK196" i="87"/>
  <c r="BI196" i="87"/>
  <c r="BH196" i="87"/>
  <c r="BG196" i="87"/>
  <c r="BE196" i="87"/>
  <c r="T196" i="87"/>
  <c r="R196" i="87"/>
  <c r="P196" i="87"/>
  <c r="J196" i="87"/>
  <c r="BF196" i="87" s="1"/>
  <c r="T195" i="87"/>
  <c r="R195" i="87"/>
  <c r="BI194" i="87"/>
  <c r="BH194" i="87"/>
  <c r="BG194" i="87"/>
  <c r="BE194" i="87"/>
  <c r="BI193" i="87"/>
  <c r="BH193" i="87"/>
  <c r="BG193" i="87"/>
  <c r="BE193" i="87"/>
  <c r="BI192" i="87"/>
  <c r="BH192" i="87"/>
  <c r="BG192" i="87"/>
  <c r="BE192" i="87"/>
  <c r="BK190" i="87"/>
  <c r="BI190" i="87"/>
  <c r="BH190" i="87"/>
  <c r="BG190" i="87"/>
  <c r="BE190" i="87"/>
  <c r="T190" i="87"/>
  <c r="R190" i="87"/>
  <c r="P190" i="87"/>
  <c r="J190" i="87"/>
  <c r="BF190" i="87" s="1"/>
  <c r="BI189" i="87"/>
  <c r="BH189" i="87"/>
  <c r="BG189" i="87"/>
  <c r="BE189" i="87"/>
  <c r="BI188" i="87"/>
  <c r="BH188" i="87"/>
  <c r="BG188" i="87"/>
  <c r="BE188" i="87"/>
  <c r="BI187" i="87"/>
  <c r="BH187" i="87"/>
  <c r="BG187" i="87"/>
  <c r="BE187" i="87"/>
  <c r="BK185" i="87"/>
  <c r="BI185" i="87"/>
  <c r="BH185" i="87"/>
  <c r="BG185" i="87"/>
  <c r="BF185" i="87"/>
  <c r="BE185" i="87"/>
  <c r="T185" i="87"/>
  <c r="R185" i="87"/>
  <c r="P185" i="87"/>
  <c r="J185" i="87"/>
  <c r="BK184" i="87"/>
  <c r="BI184" i="87"/>
  <c r="BH184" i="87"/>
  <c r="BG184" i="87"/>
  <c r="BE184" i="87"/>
  <c r="T184" i="87"/>
  <c r="R184" i="87"/>
  <c r="P184" i="87"/>
  <c r="J184" i="87"/>
  <c r="BF184" i="87" s="1"/>
  <c r="BK183" i="87"/>
  <c r="BI183" i="87"/>
  <c r="BH183" i="87"/>
  <c r="BG183" i="87"/>
  <c r="BE183" i="87"/>
  <c r="T183" i="87"/>
  <c r="R183" i="87"/>
  <c r="P183" i="87"/>
  <c r="J183" i="87"/>
  <c r="BF183" i="87" s="1"/>
  <c r="BK182" i="87"/>
  <c r="BI182" i="87"/>
  <c r="BH182" i="87"/>
  <c r="BG182" i="87"/>
  <c r="BE182" i="87"/>
  <c r="T182" i="87"/>
  <c r="R182" i="87"/>
  <c r="P182" i="87"/>
  <c r="J182" i="87"/>
  <c r="BF182" i="87" s="1"/>
  <c r="BK181" i="87"/>
  <c r="BI181" i="87"/>
  <c r="BH181" i="87"/>
  <c r="BG181" i="87"/>
  <c r="BE181" i="87"/>
  <c r="T181" i="87"/>
  <c r="R181" i="87"/>
  <c r="P181" i="87"/>
  <c r="J181" i="87"/>
  <c r="BF181" i="87" s="1"/>
  <c r="BK180" i="87"/>
  <c r="BI180" i="87"/>
  <c r="BH180" i="87"/>
  <c r="BG180" i="87"/>
  <c r="BE180" i="87"/>
  <c r="T180" i="87"/>
  <c r="R180" i="87"/>
  <c r="P180" i="87"/>
  <c r="J180" i="87"/>
  <c r="BF180" i="87" s="1"/>
  <c r="BK179" i="87"/>
  <c r="BI179" i="87"/>
  <c r="BH179" i="87"/>
  <c r="BG179" i="87"/>
  <c r="BE179" i="87"/>
  <c r="T179" i="87"/>
  <c r="R179" i="87"/>
  <c r="P179" i="87"/>
  <c r="J179" i="87"/>
  <c r="BF179" i="87" s="1"/>
  <c r="BK178" i="87"/>
  <c r="BI178" i="87"/>
  <c r="BH178" i="87"/>
  <c r="BG178" i="87"/>
  <c r="BE178" i="87"/>
  <c r="T178" i="87"/>
  <c r="R178" i="87"/>
  <c r="P178" i="87"/>
  <c r="J178" i="87"/>
  <c r="BF178" i="87" s="1"/>
  <c r="BK177" i="87"/>
  <c r="BI177" i="87"/>
  <c r="BH177" i="87"/>
  <c r="BG177" i="87"/>
  <c r="BE177" i="87"/>
  <c r="T177" i="87"/>
  <c r="R177" i="87"/>
  <c r="P177" i="87"/>
  <c r="J177" i="87"/>
  <c r="BF177" i="87" s="1"/>
  <c r="BK176" i="87"/>
  <c r="BI176" i="87"/>
  <c r="BH176" i="87"/>
  <c r="BG176" i="87"/>
  <c r="BE176" i="87"/>
  <c r="T176" i="87"/>
  <c r="R176" i="87"/>
  <c r="P176" i="87"/>
  <c r="J176" i="87"/>
  <c r="BF176" i="87" s="1"/>
  <c r="BK175" i="87"/>
  <c r="BI175" i="87"/>
  <c r="BH175" i="87"/>
  <c r="BG175" i="87"/>
  <c r="BE175" i="87"/>
  <c r="T175" i="87"/>
  <c r="R175" i="87"/>
  <c r="P175" i="87"/>
  <c r="J175" i="87"/>
  <c r="BF175" i="87" s="1"/>
  <c r="BK174" i="87"/>
  <c r="BI174" i="87"/>
  <c r="BH174" i="87"/>
  <c r="BG174" i="87"/>
  <c r="BE174" i="87"/>
  <c r="T174" i="87"/>
  <c r="R174" i="87"/>
  <c r="P174" i="87"/>
  <c r="J174" i="87"/>
  <c r="BF174" i="87" s="1"/>
  <c r="BK173" i="87"/>
  <c r="BI173" i="87"/>
  <c r="BH173" i="87"/>
  <c r="BG173" i="87"/>
  <c r="BF173" i="87"/>
  <c r="BE173" i="87"/>
  <c r="T173" i="87"/>
  <c r="R173" i="87"/>
  <c r="P173" i="87"/>
  <c r="J173" i="87"/>
  <c r="BK172" i="87"/>
  <c r="BI172" i="87"/>
  <c r="BH172" i="87"/>
  <c r="BG172" i="87"/>
  <c r="BE172" i="87"/>
  <c r="T172" i="87"/>
  <c r="R172" i="87"/>
  <c r="P172" i="87"/>
  <c r="J172" i="87"/>
  <c r="BF172" i="87" s="1"/>
  <c r="BK171" i="87"/>
  <c r="BI171" i="87"/>
  <c r="BH171" i="87"/>
  <c r="BG171" i="87"/>
  <c r="BE171" i="87"/>
  <c r="T171" i="87"/>
  <c r="R171" i="87"/>
  <c r="P171" i="87"/>
  <c r="J171" i="87"/>
  <c r="BF171" i="87" s="1"/>
  <c r="BK170" i="87"/>
  <c r="BI170" i="87"/>
  <c r="BH170" i="87"/>
  <c r="BG170" i="87"/>
  <c r="BE170" i="87"/>
  <c r="T170" i="87"/>
  <c r="R170" i="87"/>
  <c r="P170" i="87"/>
  <c r="J170" i="87"/>
  <c r="BF170" i="87" s="1"/>
  <c r="BK169" i="87"/>
  <c r="BI169" i="87"/>
  <c r="BH169" i="87"/>
  <c r="BG169" i="87"/>
  <c r="BE169" i="87"/>
  <c r="T169" i="87"/>
  <c r="R169" i="87"/>
  <c r="P169" i="87"/>
  <c r="J169" i="87"/>
  <c r="BF169" i="87" s="1"/>
  <c r="BK168" i="87"/>
  <c r="BI168" i="87"/>
  <c r="BH168" i="87"/>
  <c r="BG168" i="87"/>
  <c r="BE168" i="87"/>
  <c r="T168" i="87"/>
  <c r="R168" i="87"/>
  <c r="P168" i="87"/>
  <c r="J168" i="87"/>
  <c r="BF168" i="87" s="1"/>
  <c r="BK167" i="87"/>
  <c r="BI167" i="87"/>
  <c r="BH167" i="87"/>
  <c r="BG167" i="87"/>
  <c r="BE167" i="87"/>
  <c r="T167" i="87"/>
  <c r="R167" i="87"/>
  <c r="P167" i="87"/>
  <c r="J167" i="87"/>
  <c r="BF167" i="87" s="1"/>
  <c r="BK166" i="87"/>
  <c r="BI166" i="87"/>
  <c r="BH166" i="87"/>
  <c r="BG166" i="87"/>
  <c r="BE166" i="87"/>
  <c r="T166" i="87"/>
  <c r="R166" i="87"/>
  <c r="P166" i="87"/>
  <c r="J166" i="87"/>
  <c r="BF166" i="87" s="1"/>
  <c r="BK165" i="87"/>
  <c r="BI165" i="87"/>
  <c r="BH165" i="87"/>
  <c r="BG165" i="87"/>
  <c r="BF165" i="87"/>
  <c r="BE165" i="87"/>
  <c r="T165" i="87"/>
  <c r="R165" i="87"/>
  <c r="P165" i="87"/>
  <c r="J165" i="87"/>
  <c r="BK164" i="87"/>
  <c r="BI164" i="87"/>
  <c r="BH164" i="87"/>
  <c r="BG164" i="87"/>
  <c r="BE164" i="87"/>
  <c r="T164" i="87"/>
  <c r="R164" i="87"/>
  <c r="P164" i="87"/>
  <c r="J164" i="87"/>
  <c r="BF164" i="87" s="1"/>
  <c r="BK163" i="87"/>
  <c r="BI163" i="87"/>
  <c r="BH163" i="87"/>
  <c r="BG163" i="87"/>
  <c r="BE163" i="87"/>
  <c r="T163" i="87"/>
  <c r="R163" i="87"/>
  <c r="P163" i="87"/>
  <c r="P160" i="87" s="1"/>
  <c r="J163" i="87"/>
  <c r="BF163" i="87" s="1"/>
  <c r="BK162" i="87"/>
  <c r="BI162" i="87"/>
  <c r="BH162" i="87"/>
  <c r="BG162" i="87"/>
  <c r="BE162" i="87"/>
  <c r="T162" i="87"/>
  <c r="R162" i="87"/>
  <c r="R160" i="87" s="1"/>
  <c r="P162" i="87"/>
  <c r="J162" i="87"/>
  <c r="BF162" i="87" s="1"/>
  <c r="BK161" i="87"/>
  <c r="BI161" i="87"/>
  <c r="BH161" i="87"/>
  <c r="BG161" i="87"/>
  <c r="BF161" i="87"/>
  <c r="BE161" i="87"/>
  <c r="T161" i="87"/>
  <c r="R161" i="87"/>
  <c r="P161" i="87"/>
  <c r="J161" i="87"/>
  <c r="BK159" i="87"/>
  <c r="BI159" i="87"/>
  <c r="BH159" i="87"/>
  <c r="BG159" i="87"/>
  <c r="BE159" i="87"/>
  <c r="T159" i="87"/>
  <c r="R159" i="87"/>
  <c r="P159" i="87"/>
  <c r="J159" i="87"/>
  <c r="BF159" i="87" s="1"/>
  <c r="BK158" i="87"/>
  <c r="BI158" i="87"/>
  <c r="BH158" i="87"/>
  <c r="BG158" i="87"/>
  <c r="BF158" i="87"/>
  <c r="BE158" i="87"/>
  <c r="T158" i="87"/>
  <c r="R158" i="87"/>
  <c r="P158" i="87"/>
  <c r="J158" i="87"/>
  <c r="BK157" i="87"/>
  <c r="BI157" i="87"/>
  <c r="BH157" i="87"/>
  <c r="BG157" i="87"/>
  <c r="BE157" i="87"/>
  <c r="T157" i="87"/>
  <c r="R157" i="87"/>
  <c r="P157" i="87"/>
  <c r="J157" i="87"/>
  <c r="BF157" i="87" s="1"/>
  <c r="BK156" i="87"/>
  <c r="BI156" i="87"/>
  <c r="BH156" i="87"/>
  <c r="BG156" i="87"/>
  <c r="BE156" i="87"/>
  <c r="T156" i="87"/>
  <c r="R156" i="87"/>
  <c r="P156" i="87"/>
  <c r="J156" i="87"/>
  <c r="BF156" i="87" s="1"/>
  <c r="BK155" i="87"/>
  <c r="BI155" i="87"/>
  <c r="BH155" i="87"/>
  <c r="BG155" i="87"/>
  <c r="BE155" i="87"/>
  <c r="T155" i="87"/>
  <c r="R155" i="87"/>
  <c r="P155" i="87"/>
  <c r="J155" i="87"/>
  <c r="BF155" i="87" s="1"/>
  <c r="BK154" i="87"/>
  <c r="BI154" i="87"/>
  <c r="BH154" i="87"/>
  <c r="BG154" i="87"/>
  <c r="BF154" i="87"/>
  <c r="BE154" i="87"/>
  <c r="T154" i="87"/>
  <c r="R154" i="87"/>
  <c r="P154" i="87"/>
  <c r="J154" i="87"/>
  <c r="BK153" i="87"/>
  <c r="BI153" i="87"/>
  <c r="BH153" i="87"/>
  <c r="BG153" i="87"/>
  <c r="BE153" i="87"/>
  <c r="T153" i="87"/>
  <c r="R153" i="87"/>
  <c r="P153" i="87"/>
  <c r="J153" i="87"/>
  <c r="BF153" i="87" s="1"/>
  <c r="BK152" i="87"/>
  <c r="BI152" i="87"/>
  <c r="BH152" i="87"/>
  <c r="BG152" i="87"/>
  <c r="BF152" i="87"/>
  <c r="BE152" i="87"/>
  <c r="T152" i="87"/>
  <c r="R152" i="87"/>
  <c r="P152" i="87"/>
  <c r="P148" i="87" s="1"/>
  <c r="J152" i="87"/>
  <c r="BK151" i="87"/>
  <c r="BI151" i="87"/>
  <c r="BH151" i="87"/>
  <c r="BG151" i="87"/>
  <c r="BE151" i="87"/>
  <c r="T151" i="87"/>
  <c r="T148" i="87" s="1"/>
  <c r="R151" i="87"/>
  <c r="P151" i="87"/>
  <c r="J151" i="87"/>
  <c r="BF151" i="87" s="1"/>
  <c r="BK150" i="87"/>
  <c r="BI150" i="87"/>
  <c r="BH150" i="87"/>
  <c r="BG150" i="87"/>
  <c r="BE150" i="87"/>
  <c r="T150" i="87"/>
  <c r="R150" i="87"/>
  <c r="P150" i="87"/>
  <c r="J150" i="87"/>
  <c r="BF150" i="87" s="1"/>
  <c r="BK149" i="87"/>
  <c r="BI149" i="87"/>
  <c r="BH149" i="87"/>
  <c r="BG149" i="87"/>
  <c r="BE149" i="87"/>
  <c r="T149" i="87"/>
  <c r="R149" i="87"/>
  <c r="P149" i="87"/>
  <c r="J149" i="87"/>
  <c r="BF149" i="87" s="1"/>
  <c r="BK147" i="87"/>
  <c r="BI147" i="87"/>
  <c r="BH147" i="87"/>
  <c r="BG147" i="87"/>
  <c r="BE147" i="87"/>
  <c r="T147" i="87"/>
  <c r="R147" i="87"/>
  <c r="P147" i="87"/>
  <c r="J147" i="87"/>
  <c r="BF147" i="87" s="1"/>
  <c r="BK146" i="87"/>
  <c r="BI146" i="87"/>
  <c r="BH146" i="87"/>
  <c r="BG146" i="87"/>
  <c r="BE146" i="87"/>
  <c r="T146" i="87"/>
  <c r="R146" i="87"/>
  <c r="P146" i="87"/>
  <c r="J146" i="87"/>
  <c r="BF146" i="87" s="1"/>
  <c r="BK145" i="87"/>
  <c r="BI145" i="87"/>
  <c r="BH145" i="87"/>
  <c r="BG145" i="87"/>
  <c r="BE145" i="87"/>
  <c r="T145" i="87"/>
  <c r="R145" i="87"/>
  <c r="P145" i="87"/>
  <c r="J145" i="87"/>
  <c r="BF145" i="87" s="1"/>
  <c r="BK144" i="87"/>
  <c r="BI144" i="87"/>
  <c r="BH144" i="87"/>
  <c r="BG144" i="87"/>
  <c r="BE144" i="87"/>
  <c r="T144" i="87"/>
  <c r="R144" i="87"/>
  <c r="P144" i="87"/>
  <c r="J144" i="87"/>
  <c r="BF144" i="87" s="1"/>
  <c r="BK143" i="87"/>
  <c r="BI143" i="87"/>
  <c r="BH143" i="87"/>
  <c r="BG143" i="87"/>
  <c r="BE143" i="87"/>
  <c r="T143" i="87"/>
  <c r="R143" i="87"/>
  <c r="P143" i="87"/>
  <c r="J143" i="87"/>
  <c r="BF143" i="87" s="1"/>
  <c r="BK142" i="87"/>
  <c r="BI142" i="87"/>
  <c r="BH142" i="87"/>
  <c r="BG142" i="87"/>
  <c r="BE142" i="87"/>
  <c r="T142" i="87"/>
  <c r="R142" i="87"/>
  <c r="P142" i="87"/>
  <c r="J142" i="87"/>
  <c r="BF142" i="87" s="1"/>
  <c r="BK141" i="87"/>
  <c r="BI141" i="87"/>
  <c r="BH141" i="87"/>
  <c r="BG141" i="87"/>
  <c r="BE141" i="87"/>
  <c r="T141" i="87"/>
  <c r="R141" i="87"/>
  <c r="P141" i="87"/>
  <c r="J141" i="87"/>
  <c r="BF141" i="87" s="1"/>
  <c r="BK140" i="87"/>
  <c r="BI140" i="87"/>
  <c r="BH140" i="87"/>
  <c r="BG140" i="87"/>
  <c r="BF140" i="87"/>
  <c r="BE140" i="87"/>
  <c r="T140" i="87"/>
  <c r="R140" i="87"/>
  <c r="P140" i="87"/>
  <c r="J140" i="87"/>
  <c r="BI139" i="87"/>
  <c r="BH139" i="87"/>
  <c r="BG139" i="87"/>
  <c r="BE139" i="87"/>
  <c r="BK138" i="87"/>
  <c r="BI138" i="87"/>
  <c r="BH138" i="87"/>
  <c r="BG138" i="87"/>
  <c r="BE138" i="87"/>
  <c r="T138" i="87"/>
  <c r="R138" i="87"/>
  <c r="P138" i="87"/>
  <c r="J138" i="87"/>
  <c r="BF138" i="87" s="1"/>
  <c r="BK137" i="87"/>
  <c r="BI137" i="87"/>
  <c r="BH137" i="87"/>
  <c r="BG137" i="87"/>
  <c r="BE137" i="87"/>
  <c r="T137" i="87"/>
  <c r="R137" i="87"/>
  <c r="P137" i="87"/>
  <c r="J137" i="87"/>
  <c r="BF137" i="87" s="1"/>
  <c r="BK136" i="87"/>
  <c r="BI136" i="87"/>
  <c r="BH136" i="87"/>
  <c r="BG136" i="87"/>
  <c r="BF136" i="87"/>
  <c r="BE136" i="87"/>
  <c r="T136" i="87"/>
  <c r="R136" i="87"/>
  <c r="P136" i="87"/>
  <c r="J136" i="87"/>
  <c r="BK135" i="87"/>
  <c r="BI135" i="87"/>
  <c r="BH135" i="87"/>
  <c r="BG135" i="87"/>
  <c r="BE135" i="87"/>
  <c r="T135" i="87"/>
  <c r="R135" i="87"/>
  <c r="P135" i="87"/>
  <c r="J135" i="87"/>
  <c r="BF135" i="87" s="1"/>
  <c r="BK134" i="87"/>
  <c r="BI134" i="87"/>
  <c r="BH134" i="87"/>
  <c r="BG134" i="87"/>
  <c r="BE134" i="87"/>
  <c r="T134" i="87"/>
  <c r="R134" i="87"/>
  <c r="P134" i="87"/>
  <c r="J134" i="87"/>
  <c r="BF134" i="87" s="1"/>
  <c r="BK133" i="87"/>
  <c r="BI133" i="87"/>
  <c r="BH133" i="87"/>
  <c r="BG133" i="87"/>
  <c r="BE133" i="87"/>
  <c r="T133" i="87"/>
  <c r="R133" i="87"/>
  <c r="P133" i="87"/>
  <c r="J133" i="87"/>
  <c r="BF133" i="87" s="1"/>
  <c r="BK132" i="87"/>
  <c r="BI132" i="87"/>
  <c r="BH132" i="87"/>
  <c r="BG132" i="87"/>
  <c r="BE132" i="87"/>
  <c r="T132" i="87"/>
  <c r="R132" i="87"/>
  <c r="P132" i="87"/>
  <c r="J132" i="87"/>
  <c r="BF132" i="87" s="1"/>
  <c r="BK131" i="87"/>
  <c r="BI131" i="87"/>
  <c r="BH131" i="87"/>
  <c r="BG131" i="87"/>
  <c r="BE131" i="87"/>
  <c r="T131" i="87"/>
  <c r="R131" i="87"/>
  <c r="P131" i="87"/>
  <c r="J131" i="87"/>
  <c r="BF131" i="87" s="1"/>
  <c r="F122" i="87"/>
  <c r="E120" i="87"/>
  <c r="F89" i="87"/>
  <c r="E87" i="87"/>
  <c r="E85" i="87"/>
  <c r="J39" i="87"/>
  <c r="J38" i="87"/>
  <c r="J37" i="87"/>
  <c r="J31" i="87"/>
  <c r="J24" i="87"/>
  <c r="E24" i="87"/>
  <c r="J125" i="87" s="1"/>
  <c r="J23" i="87"/>
  <c r="J21" i="87"/>
  <c r="E21" i="87"/>
  <c r="J91" i="87" s="1"/>
  <c r="J20" i="87"/>
  <c r="J18" i="87"/>
  <c r="E18" i="87"/>
  <c r="F92" i="87" s="1"/>
  <c r="J17" i="87"/>
  <c r="J15" i="87"/>
  <c r="E15" i="87"/>
  <c r="J14" i="87"/>
  <c r="J12" i="87"/>
  <c r="J122" i="87" s="1"/>
  <c r="E7" i="87"/>
  <c r="E118" i="87" s="1"/>
  <c r="J145" i="86"/>
  <c r="BK144" i="86"/>
  <c r="BI144" i="86"/>
  <c r="BH144" i="86"/>
  <c r="BG144" i="86"/>
  <c r="BE144" i="86"/>
  <c r="T144" i="86"/>
  <c r="T142" i="86" s="1"/>
  <c r="R144" i="86"/>
  <c r="P144" i="86"/>
  <c r="J144" i="86"/>
  <c r="BF144" i="86" s="1"/>
  <c r="BK143" i="86"/>
  <c r="BK142" i="86" s="1"/>
  <c r="J142" i="86" s="1"/>
  <c r="J103" i="86" s="1"/>
  <c r="BI143" i="86"/>
  <c r="BH143" i="86"/>
  <c r="BG143" i="86"/>
  <c r="BE143" i="86"/>
  <c r="T143" i="86"/>
  <c r="R143" i="86"/>
  <c r="P143" i="86"/>
  <c r="J143" i="86"/>
  <c r="BF143" i="86" s="1"/>
  <c r="R142" i="86"/>
  <c r="BK141" i="86"/>
  <c r="BI141" i="86"/>
  <c r="BH141" i="86"/>
  <c r="BG141" i="86"/>
  <c r="BE141" i="86"/>
  <c r="T141" i="86"/>
  <c r="R141" i="86"/>
  <c r="P141" i="86"/>
  <c r="J141" i="86"/>
  <c r="BF141" i="86" s="1"/>
  <c r="BK140" i="86"/>
  <c r="BK139" i="86" s="1"/>
  <c r="J139" i="86" s="1"/>
  <c r="J102" i="86" s="1"/>
  <c r="BI140" i="86"/>
  <c r="BH140" i="86"/>
  <c r="BG140" i="86"/>
  <c r="BE140" i="86"/>
  <c r="T140" i="86"/>
  <c r="T139" i="86" s="1"/>
  <c r="R140" i="86"/>
  <c r="R139" i="86" s="1"/>
  <c r="P140" i="86"/>
  <c r="J140" i="86"/>
  <c r="BF140" i="86" s="1"/>
  <c r="BK138" i="86"/>
  <c r="BI138" i="86"/>
  <c r="BH138" i="86"/>
  <c r="BG138" i="86"/>
  <c r="BE138" i="86"/>
  <c r="T138" i="86"/>
  <c r="R138" i="86"/>
  <c r="P138" i="86"/>
  <c r="J138" i="86"/>
  <c r="BF138" i="86" s="1"/>
  <c r="BK137" i="86"/>
  <c r="BI137" i="86"/>
  <c r="BH137" i="86"/>
  <c r="BG137" i="86"/>
  <c r="BE137" i="86"/>
  <c r="T137" i="86"/>
  <c r="R137" i="86"/>
  <c r="P137" i="86"/>
  <c r="P136" i="86" s="1"/>
  <c r="J137" i="86"/>
  <c r="BF137" i="86" s="1"/>
  <c r="BK135" i="86"/>
  <c r="BK134" i="86" s="1"/>
  <c r="J134" i="86" s="1"/>
  <c r="J100" i="86" s="1"/>
  <c r="BI135" i="86"/>
  <c r="BH135" i="86"/>
  <c r="BG135" i="86"/>
  <c r="BE135" i="86"/>
  <c r="T135" i="86"/>
  <c r="R135" i="86"/>
  <c r="R134" i="86" s="1"/>
  <c r="P135" i="86"/>
  <c r="P134" i="86" s="1"/>
  <c r="J135" i="86"/>
  <c r="BF135" i="86" s="1"/>
  <c r="T134" i="86"/>
  <c r="BK133" i="86"/>
  <c r="BK132" i="86" s="1"/>
  <c r="J132" i="86" s="1"/>
  <c r="J99" i="86" s="1"/>
  <c r="BI133" i="86"/>
  <c r="BH133" i="86"/>
  <c r="BG133" i="86"/>
  <c r="BE133" i="86"/>
  <c r="T133" i="86"/>
  <c r="T132" i="86" s="1"/>
  <c r="R133" i="86"/>
  <c r="R132" i="86" s="1"/>
  <c r="P133" i="86"/>
  <c r="P132" i="86" s="1"/>
  <c r="J133" i="86"/>
  <c r="BF133" i="86" s="1"/>
  <c r="BK131" i="86"/>
  <c r="BI131" i="86"/>
  <c r="BH131" i="86"/>
  <c r="BG131" i="86"/>
  <c r="BE131" i="86"/>
  <c r="T131" i="86"/>
  <c r="T130" i="86" s="1"/>
  <c r="R131" i="86"/>
  <c r="P131" i="86"/>
  <c r="J131" i="86"/>
  <c r="BF131" i="86" s="1"/>
  <c r="BK130" i="86"/>
  <c r="R130" i="86"/>
  <c r="P130" i="86"/>
  <c r="F122" i="86"/>
  <c r="E120" i="86"/>
  <c r="J104" i="86"/>
  <c r="F89" i="86"/>
  <c r="E87" i="86"/>
  <c r="E85" i="86"/>
  <c r="J39" i="86"/>
  <c r="J38" i="86"/>
  <c r="J37" i="86"/>
  <c r="J31" i="86"/>
  <c r="J24" i="86"/>
  <c r="E24" i="86"/>
  <c r="J92" i="86" s="1"/>
  <c r="J23" i="86"/>
  <c r="J21" i="86"/>
  <c r="E21" i="86"/>
  <c r="J91" i="86" s="1"/>
  <c r="J20" i="86"/>
  <c r="J18" i="86"/>
  <c r="E18" i="86"/>
  <c r="F92" i="86" s="1"/>
  <c r="J17" i="86"/>
  <c r="J15" i="86"/>
  <c r="E15" i="86"/>
  <c r="F124" i="86" s="1"/>
  <c r="J14" i="86"/>
  <c r="J12" i="86"/>
  <c r="J122" i="86" s="1"/>
  <c r="E7" i="86"/>
  <c r="E118" i="86" s="1"/>
  <c r="J220" i="85"/>
  <c r="BI219" i="85"/>
  <c r="BH219" i="85"/>
  <c r="BG219" i="85"/>
  <c r="BE219" i="85"/>
  <c r="BI218" i="85"/>
  <c r="BH218" i="85"/>
  <c r="BG218" i="85"/>
  <c r="BE218" i="85"/>
  <c r="BK217" i="85"/>
  <c r="BI217" i="85"/>
  <c r="BH217" i="85"/>
  <c r="BG217" i="85"/>
  <c r="BE217" i="85"/>
  <c r="T217" i="85"/>
  <c r="R217" i="85"/>
  <c r="P217" i="85"/>
  <c r="J217" i="85"/>
  <c r="BF217" i="85" s="1"/>
  <c r="BI216" i="85"/>
  <c r="BH216" i="85"/>
  <c r="BG216" i="85"/>
  <c r="BE216" i="85"/>
  <c r="BI215" i="85"/>
  <c r="BH215" i="85"/>
  <c r="BG215" i="85"/>
  <c r="BE215" i="85"/>
  <c r="BI213" i="85"/>
  <c r="BH213" i="85"/>
  <c r="BG213" i="85"/>
  <c r="BE213" i="85"/>
  <c r="BI212" i="85"/>
  <c r="BH212" i="85"/>
  <c r="BG212" i="85"/>
  <c r="BE212" i="85"/>
  <c r="BK211" i="85"/>
  <c r="BI211" i="85"/>
  <c r="BH211" i="85"/>
  <c r="BG211" i="85"/>
  <c r="BE211" i="85"/>
  <c r="T211" i="85"/>
  <c r="R211" i="85"/>
  <c r="P211" i="85"/>
  <c r="J211" i="85"/>
  <c r="BF211" i="85" s="1"/>
  <c r="BI210" i="85"/>
  <c r="BH210" i="85"/>
  <c r="BG210" i="85"/>
  <c r="BE210" i="85"/>
  <c r="BI209" i="85"/>
  <c r="BH209" i="85"/>
  <c r="BG209" i="85"/>
  <c r="BE209" i="85"/>
  <c r="BK208" i="85"/>
  <c r="BI208" i="85"/>
  <c r="BH208" i="85"/>
  <c r="BG208" i="85"/>
  <c r="BE208" i="85"/>
  <c r="T208" i="85"/>
  <c r="R208" i="85"/>
  <c r="P208" i="85"/>
  <c r="J208" i="85"/>
  <c r="BF208" i="85" s="1"/>
  <c r="BK207" i="85"/>
  <c r="BI207" i="85"/>
  <c r="BH207" i="85"/>
  <c r="BG207" i="85"/>
  <c r="BE207" i="85"/>
  <c r="T207" i="85"/>
  <c r="R207" i="85"/>
  <c r="P207" i="85"/>
  <c r="J207" i="85"/>
  <c r="BF207" i="85" s="1"/>
  <c r="BK206" i="85"/>
  <c r="BI206" i="85"/>
  <c r="BH206" i="85"/>
  <c r="BG206" i="85"/>
  <c r="BF206" i="85"/>
  <c r="BE206" i="85"/>
  <c r="T206" i="85"/>
  <c r="R206" i="85"/>
  <c r="P206" i="85"/>
  <c r="J206" i="85"/>
  <c r="BK204" i="85"/>
  <c r="BI204" i="85"/>
  <c r="BH204" i="85"/>
  <c r="BG204" i="85"/>
  <c r="BE204" i="85"/>
  <c r="T204" i="85"/>
  <c r="R204" i="85"/>
  <c r="P204" i="85"/>
  <c r="J204" i="85"/>
  <c r="BF204" i="85" s="1"/>
  <c r="BK203" i="85"/>
  <c r="BI203" i="85"/>
  <c r="BH203" i="85"/>
  <c r="BG203" i="85"/>
  <c r="BE203" i="85"/>
  <c r="T203" i="85"/>
  <c r="R203" i="85"/>
  <c r="P203" i="85"/>
  <c r="J203" i="85"/>
  <c r="BF203" i="85" s="1"/>
  <c r="BK202" i="85"/>
  <c r="BI202" i="85"/>
  <c r="BH202" i="85"/>
  <c r="BG202" i="85"/>
  <c r="BE202" i="85"/>
  <c r="T202" i="85"/>
  <c r="R202" i="85"/>
  <c r="P202" i="85"/>
  <c r="J202" i="85"/>
  <c r="BF202" i="85" s="1"/>
  <c r="BK201" i="85"/>
  <c r="BI201" i="85"/>
  <c r="BH201" i="85"/>
  <c r="BG201" i="85"/>
  <c r="BE201" i="85"/>
  <c r="T201" i="85"/>
  <c r="R201" i="85"/>
  <c r="P201" i="85"/>
  <c r="J201" i="85"/>
  <c r="BF201" i="85" s="1"/>
  <c r="BK200" i="85"/>
  <c r="BI200" i="85"/>
  <c r="BH200" i="85"/>
  <c r="BG200" i="85"/>
  <c r="BE200" i="85"/>
  <c r="T200" i="85"/>
  <c r="R200" i="85"/>
  <c r="P200" i="85"/>
  <c r="J200" i="85"/>
  <c r="BF200" i="85" s="1"/>
  <c r="BK199" i="85"/>
  <c r="BI199" i="85"/>
  <c r="BH199" i="85"/>
  <c r="BG199" i="85"/>
  <c r="BF199" i="85"/>
  <c r="BE199" i="85"/>
  <c r="T199" i="85"/>
  <c r="R199" i="85"/>
  <c r="P199" i="85"/>
  <c r="J199" i="85"/>
  <c r="BK198" i="85"/>
  <c r="BI198" i="85"/>
  <c r="BH198" i="85"/>
  <c r="BG198" i="85"/>
  <c r="BE198" i="85"/>
  <c r="T198" i="85"/>
  <c r="R198" i="85"/>
  <c r="P198" i="85"/>
  <c r="J198" i="85"/>
  <c r="BF198" i="85" s="1"/>
  <c r="BK197" i="85"/>
  <c r="BI197" i="85"/>
  <c r="BH197" i="85"/>
  <c r="BG197" i="85"/>
  <c r="BE197" i="85"/>
  <c r="T197" i="85"/>
  <c r="R197" i="85"/>
  <c r="P197" i="85"/>
  <c r="J197" i="85"/>
  <c r="BF197" i="85" s="1"/>
  <c r="BK196" i="85"/>
  <c r="BI196" i="85"/>
  <c r="BH196" i="85"/>
  <c r="BG196" i="85"/>
  <c r="BE196" i="85"/>
  <c r="T196" i="85"/>
  <c r="R196" i="85"/>
  <c r="P196" i="85"/>
  <c r="J196" i="85"/>
  <c r="BF196" i="85" s="1"/>
  <c r="BK195" i="85"/>
  <c r="BI195" i="85"/>
  <c r="BH195" i="85"/>
  <c r="BG195" i="85"/>
  <c r="BE195" i="85"/>
  <c r="T195" i="85"/>
  <c r="R195" i="85"/>
  <c r="P195" i="85"/>
  <c r="J195" i="85"/>
  <c r="BF195" i="85" s="1"/>
  <c r="BK194" i="85"/>
  <c r="BI194" i="85"/>
  <c r="BH194" i="85"/>
  <c r="BG194" i="85"/>
  <c r="BF194" i="85"/>
  <c r="BE194" i="85"/>
  <c r="T194" i="85"/>
  <c r="R194" i="85"/>
  <c r="P194" i="85"/>
  <c r="J194" i="85"/>
  <c r="BK193" i="85"/>
  <c r="BI193" i="85"/>
  <c r="BH193" i="85"/>
  <c r="BG193" i="85"/>
  <c r="BE193" i="85"/>
  <c r="T193" i="85"/>
  <c r="R193" i="85"/>
  <c r="P193" i="85"/>
  <c r="J193" i="85"/>
  <c r="BF193" i="85" s="1"/>
  <c r="BK192" i="85"/>
  <c r="BI192" i="85"/>
  <c r="BH192" i="85"/>
  <c r="BG192" i="85"/>
  <c r="BE192" i="85"/>
  <c r="T192" i="85"/>
  <c r="R192" i="85"/>
  <c r="P192" i="85"/>
  <c r="J192" i="85"/>
  <c r="BF192" i="85" s="1"/>
  <c r="BK191" i="85"/>
  <c r="BI191" i="85"/>
  <c r="BH191" i="85"/>
  <c r="BG191" i="85"/>
  <c r="BE191" i="85"/>
  <c r="T191" i="85"/>
  <c r="R191" i="85"/>
  <c r="P191" i="85"/>
  <c r="J191" i="85"/>
  <c r="BF191" i="85" s="1"/>
  <c r="BK190" i="85"/>
  <c r="BI190" i="85"/>
  <c r="BH190" i="85"/>
  <c r="BG190" i="85"/>
  <c r="BE190" i="85"/>
  <c r="T190" i="85"/>
  <c r="R190" i="85"/>
  <c r="P190" i="85"/>
  <c r="J190" i="85"/>
  <c r="BF190" i="85" s="1"/>
  <c r="BK189" i="85"/>
  <c r="BI189" i="85"/>
  <c r="BH189" i="85"/>
  <c r="BG189" i="85"/>
  <c r="BE189" i="85"/>
  <c r="T189" i="85"/>
  <c r="R189" i="85"/>
  <c r="P189" i="85"/>
  <c r="J189" i="85"/>
  <c r="BF189" i="85" s="1"/>
  <c r="BK188" i="85"/>
  <c r="BI188" i="85"/>
  <c r="BH188" i="85"/>
  <c r="BG188" i="85"/>
  <c r="BE188" i="85"/>
  <c r="T188" i="85"/>
  <c r="R188" i="85"/>
  <c r="P188" i="85"/>
  <c r="J188" i="85"/>
  <c r="BF188" i="85" s="1"/>
  <c r="BK187" i="85"/>
  <c r="BI187" i="85"/>
  <c r="BH187" i="85"/>
  <c r="BG187" i="85"/>
  <c r="BF187" i="85"/>
  <c r="BE187" i="85"/>
  <c r="T187" i="85"/>
  <c r="R187" i="85"/>
  <c r="P187" i="85"/>
  <c r="J187" i="85"/>
  <c r="BK186" i="85"/>
  <c r="BI186" i="85"/>
  <c r="BH186" i="85"/>
  <c r="BG186" i="85"/>
  <c r="BE186" i="85"/>
  <c r="T186" i="85"/>
  <c r="R186" i="85"/>
  <c r="P186" i="85"/>
  <c r="J186" i="85"/>
  <c r="BF186" i="85" s="1"/>
  <c r="BK185" i="85"/>
  <c r="BI185" i="85"/>
  <c r="BH185" i="85"/>
  <c r="BG185" i="85"/>
  <c r="BE185" i="85"/>
  <c r="T185" i="85"/>
  <c r="R185" i="85"/>
  <c r="P185" i="85"/>
  <c r="J185" i="85"/>
  <c r="BF185" i="85" s="1"/>
  <c r="BK184" i="85"/>
  <c r="BI184" i="85"/>
  <c r="BH184" i="85"/>
  <c r="BG184" i="85"/>
  <c r="BF184" i="85"/>
  <c r="BE184" i="85"/>
  <c r="T184" i="85"/>
  <c r="R184" i="85"/>
  <c r="P184" i="85"/>
  <c r="J184" i="85"/>
  <c r="BK183" i="85"/>
  <c r="BI183" i="85"/>
  <c r="BH183" i="85"/>
  <c r="BG183" i="85"/>
  <c r="BE183" i="85"/>
  <c r="T183" i="85"/>
  <c r="R183" i="85"/>
  <c r="P183" i="85"/>
  <c r="J183" i="85"/>
  <c r="BF183" i="85" s="1"/>
  <c r="BK182" i="85"/>
  <c r="BI182" i="85"/>
  <c r="BH182" i="85"/>
  <c r="BG182" i="85"/>
  <c r="BE182" i="85"/>
  <c r="T182" i="85"/>
  <c r="R182" i="85"/>
  <c r="P182" i="85"/>
  <c r="J182" i="85"/>
  <c r="BF182" i="85" s="1"/>
  <c r="BK181" i="85"/>
  <c r="BI181" i="85"/>
  <c r="BH181" i="85"/>
  <c r="BG181" i="85"/>
  <c r="BE181" i="85"/>
  <c r="T181" i="85"/>
  <c r="R181" i="85"/>
  <c r="P181" i="85"/>
  <c r="J181" i="85"/>
  <c r="BF181" i="85" s="1"/>
  <c r="BK180" i="85"/>
  <c r="BI180" i="85"/>
  <c r="BH180" i="85"/>
  <c r="BG180" i="85"/>
  <c r="BE180" i="85"/>
  <c r="T180" i="85"/>
  <c r="R180" i="85"/>
  <c r="P180" i="85"/>
  <c r="J180" i="85"/>
  <c r="BF180" i="85" s="1"/>
  <c r="BK178" i="85"/>
  <c r="BI178" i="85"/>
  <c r="BH178" i="85"/>
  <c r="BG178" i="85"/>
  <c r="BE178" i="85"/>
  <c r="T178" i="85"/>
  <c r="R178" i="85"/>
  <c r="P178" i="85"/>
  <c r="J178" i="85"/>
  <c r="BF178" i="85" s="1"/>
  <c r="BK177" i="85"/>
  <c r="BI177" i="85"/>
  <c r="BH177" i="85"/>
  <c r="BG177" i="85"/>
  <c r="BE177" i="85"/>
  <c r="T177" i="85"/>
  <c r="R177" i="85"/>
  <c r="P177" i="85"/>
  <c r="J177" i="85"/>
  <c r="BF177" i="85" s="1"/>
  <c r="BK176" i="85"/>
  <c r="BI176" i="85"/>
  <c r="BH176" i="85"/>
  <c r="BG176" i="85"/>
  <c r="BF176" i="85"/>
  <c r="BE176" i="85"/>
  <c r="T176" i="85"/>
  <c r="R176" i="85"/>
  <c r="P176" i="85"/>
  <c r="J176" i="85"/>
  <c r="BK175" i="85"/>
  <c r="BI175" i="85"/>
  <c r="BH175" i="85"/>
  <c r="BG175" i="85"/>
  <c r="BE175" i="85"/>
  <c r="T175" i="85"/>
  <c r="R175" i="85"/>
  <c r="P175" i="85"/>
  <c r="J175" i="85"/>
  <c r="BF175" i="85" s="1"/>
  <c r="BK174" i="85"/>
  <c r="BI174" i="85"/>
  <c r="BH174" i="85"/>
  <c r="BG174" i="85"/>
  <c r="BE174" i="85"/>
  <c r="T174" i="85"/>
  <c r="R174" i="85"/>
  <c r="P174" i="85"/>
  <c r="J174" i="85"/>
  <c r="BF174" i="85" s="1"/>
  <c r="BK173" i="85"/>
  <c r="BI173" i="85"/>
  <c r="BH173" i="85"/>
  <c r="BG173" i="85"/>
  <c r="BF173" i="85"/>
  <c r="BE173" i="85"/>
  <c r="T173" i="85"/>
  <c r="R173" i="85"/>
  <c r="P173" i="85"/>
  <c r="J173" i="85"/>
  <c r="BK172" i="85"/>
  <c r="BI172" i="85"/>
  <c r="BH172" i="85"/>
  <c r="BG172" i="85"/>
  <c r="BE172" i="85"/>
  <c r="T172" i="85"/>
  <c r="R172" i="85"/>
  <c r="P172" i="85"/>
  <c r="J172" i="85"/>
  <c r="BF172" i="85" s="1"/>
  <c r="BK171" i="85"/>
  <c r="BI171" i="85"/>
  <c r="BH171" i="85"/>
  <c r="BG171" i="85"/>
  <c r="BE171" i="85"/>
  <c r="T171" i="85"/>
  <c r="R171" i="85"/>
  <c r="P171" i="85"/>
  <c r="J171" i="85"/>
  <c r="BF171" i="85" s="1"/>
  <c r="BK170" i="85"/>
  <c r="BI170" i="85"/>
  <c r="BH170" i="85"/>
  <c r="BG170" i="85"/>
  <c r="BE170" i="85"/>
  <c r="T170" i="85"/>
  <c r="R170" i="85"/>
  <c r="P170" i="85"/>
  <c r="J170" i="85"/>
  <c r="BF170" i="85" s="1"/>
  <c r="BK169" i="85"/>
  <c r="BI169" i="85"/>
  <c r="BH169" i="85"/>
  <c r="BG169" i="85"/>
  <c r="BE169" i="85"/>
  <c r="T169" i="85"/>
  <c r="R169" i="85"/>
  <c r="P169" i="85"/>
  <c r="J169" i="85"/>
  <c r="BF169" i="85" s="1"/>
  <c r="BK168" i="85"/>
  <c r="BI168" i="85"/>
  <c r="BH168" i="85"/>
  <c r="BG168" i="85"/>
  <c r="BF168" i="85"/>
  <c r="BE168" i="85"/>
  <c r="T168" i="85"/>
  <c r="R168" i="85"/>
  <c r="P168" i="85"/>
  <c r="J168" i="85"/>
  <c r="BK167" i="85"/>
  <c r="BI167" i="85"/>
  <c r="BH167" i="85"/>
  <c r="BG167" i="85"/>
  <c r="BE167" i="85"/>
  <c r="T167" i="85"/>
  <c r="R167" i="85"/>
  <c r="P167" i="85"/>
  <c r="J167" i="85"/>
  <c r="BF167" i="85" s="1"/>
  <c r="BK166" i="85"/>
  <c r="BI166" i="85"/>
  <c r="BH166" i="85"/>
  <c r="BG166" i="85"/>
  <c r="BE166" i="85"/>
  <c r="T166" i="85"/>
  <c r="R166" i="85"/>
  <c r="P166" i="85"/>
  <c r="J166" i="85"/>
  <c r="BF166" i="85" s="1"/>
  <c r="BK165" i="85"/>
  <c r="BI165" i="85"/>
  <c r="BH165" i="85"/>
  <c r="BG165" i="85"/>
  <c r="BF165" i="85"/>
  <c r="BE165" i="85"/>
  <c r="T165" i="85"/>
  <c r="R165" i="85"/>
  <c r="P165" i="85"/>
  <c r="J165" i="85"/>
  <c r="BK164" i="85"/>
  <c r="BI164" i="85"/>
  <c r="BH164" i="85"/>
  <c r="BG164" i="85"/>
  <c r="BE164" i="85"/>
  <c r="T164" i="85"/>
  <c r="R164" i="85"/>
  <c r="P164" i="85"/>
  <c r="J164" i="85"/>
  <c r="BF164" i="85" s="1"/>
  <c r="BK163" i="85"/>
  <c r="BI163" i="85"/>
  <c r="BH163" i="85"/>
  <c r="BG163" i="85"/>
  <c r="BE163" i="85"/>
  <c r="T163" i="85"/>
  <c r="R163" i="85"/>
  <c r="P163" i="85"/>
  <c r="J163" i="85"/>
  <c r="BF163" i="85" s="1"/>
  <c r="BK162" i="85"/>
  <c r="BI162" i="85"/>
  <c r="BH162" i="85"/>
  <c r="BG162" i="85"/>
  <c r="BE162" i="85"/>
  <c r="T162" i="85"/>
  <c r="R162" i="85"/>
  <c r="P162" i="85"/>
  <c r="J162" i="85"/>
  <c r="BF162" i="85" s="1"/>
  <c r="BK161" i="85"/>
  <c r="BI161" i="85"/>
  <c r="BH161" i="85"/>
  <c r="BG161" i="85"/>
  <c r="BE161" i="85"/>
  <c r="T161" i="85"/>
  <c r="R161" i="85"/>
  <c r="P161" i="85"/>
  <c r="J161" i="85"/>
  <c r="BF161" i="85" s="1"/>
  <c r="BK160" i="85"/>
  <c r="BI160" i="85"/>
  <c r="BH160" i="85"/>
  <c r="BG160" i="85"/>
  <c r="BF160" i="85"/>
  <c r="BE160" i="85"/>
  <c r="T160" i="85"/>
  <c r="R160" i="85"/>
  <c r="P160" i="85"/>
  <c r="J160" i="85"/>
  <c r="BK159" i="85"/>
  <c r="BI159" i="85"/>
  <c r="BH159" i="85"/>
  <c r="BG159" i="85"/>
  <c r="BE159" i="85"/>
  <c r="T159" i="85"/>
  <c r="R159" i="85"/>
  <c r="P159" i="85"/>
  <c r="J159" i="85"/>
  <c r="BF159" i="85" s="1"/>
  <c r="BK158" i="85"/>
  <c r="BI158" i="85"/>
  <c r="BH158" i="85"/>
  <c r="BG158" i="85"/>
  <c r="BE158" i="85"/>
  <c r="T158" i="85"/>
  <c r="R158" i="85"/>
  <c r="P158" i="85"/>
  <c r="J158" i="85"/>
  <c r="BF158" i="85" s="1"/>
  <c r="BK157" i="85"/>
  <c r="BI157" i="85"/>
  <c r="BH157" i="85"/>
  <c r="BG157" i="85"/>
  <c r="BF157" i="85"/>
  <c r="BE157" i="85"/>
  <c r="T157" i="85"/>
  <c r="R157" i="85"/>
  <c r="P157" i="85"/>
  <c r="J157" i="85"/>
  <c r="BK156" i="85"/>
  <c r="BI156" i="85"/>
  <c r="BH156" i="85"/>
  <c r="BG156" i="85"/>
  <c r="BE156" i="85"/>
  <c r="T156" i="85"/>
  <c r="R156" i="85"/>
  <c r="P156" i="85"/>
  <c r="J156" i="85"/>
  <c r="BF156" i="85" s="1"/>
  <c r="BK155" i="85"/>
  <c r="BI155" i="85"/>
  <c r="BH155" i="85"/>
  <c r="BG155" i="85"/>
  <c r="BE155" i="85"/>
  <c r="T155" i="85"/>
  <c r="R155" i="85"/>
  <c r="P155" i="85"/>
  <c r="J155" i="85"/>
  <c r="BF155" i="85" s="1"/>
  <c r="BK154" i="85"/>
  <c r="BI154" i="85"/>
  <c r="BH154" i="85"/>
  <c r="BG154" i="85"/>
  <c r="BE154" i="85"/>
  <c r="T154" i="85"/>
  <c r="R154" i="85"/>
  <c r="P154" i="85"/>
  <c r="J154" i="85"/>
  <c r="BF154" i="85" s="1"/>
  <c r="BK153" i="85"/>
  <c r="BI153" i="85"/>
  <c r="BH153" i="85"/>
  <c r="BG153" i="85"/>
  <c r="BE153" i="85"/>
  <c r="T153" i="85"/>
  <c r="R153" i="85"/>
  <c r="P153" i="85"/>
  <c r="J153" i="85"/>
  <c r="BF153" i="85" s="1"/>
  <c r="BK152" i="85"/>
  <c r="BK151" i="85" s="1"/>
  <c r="J151" i="85" s="1"/>
  <c r="J100" i="85" s="1"/>
  <c r="BI152" i="85"/>
  <c r="BH152" i="85"/>
  <c r="BG152" i="85"/>
  <c r="BF152" i="85"/>
  <c r="BE152" i="85"/>
  <c r="T152" i="85"/>
  <c r="R152" i="85"/>
  <c r="P152" i="85"/>
  <c r="P151" i="85" s="1"/>
  <c r="J152" i="85"/>
  <c r="BK150" i="85"/>
  <c r="BK149" i="85" s="1"/>
  <c r="J149" i="85" s="1"/>
  <c r="J99" i="85" s="1"/>
  <c r="BI150" i="85"/>
  <c r="BH150" i="85"/>
  <c r="BG150" i="85"/>
  <c r="BE150" i="85"/>
  <c r="T150" i="85"/>
  <c r="T149" i="85" s="1"/>
  <c r="R150" i="85"/>
  <c r="R149" i="85" s="1"/>
  <c r="P150" i="85"/>
  <c r="J150" i="85"/>
  <c r="BF150" i="85" s="1"/>
  <c r="P149" i="85"/>
  <c r="BK148" i="85"/>
  <c r="BI148" i="85"/>
  <c r="BH148" i="85"/>
  <c r="BG148" i="85"/>
  <c r="BE148" i="85"/>
  <c r="T148" i="85"/>
  <c r="R148" i="85"/>
  <c r="P148" i="85"/>
  <c r="J148" i="85"/>
  <c r="BF148" i="85" s="1"/>
  <c r="BK147" i="85"/>
  <c r="BI147" i="85"/>
  <c r="BH147" i="85"/>
  <c r="BG147" i="85"/>
  <c r="BF147" i="85"/>
  <c r="BE147" i="85"/>
  <c r="T147" i="85"/>
  <c r="R147" i="85"/>
  <c r="P147" i="85"/>
  <c r="J147" i="85"/>
  <c r="BK146" i="85"/>
  <c r="BI146" i="85"/>
  <c r="BH146" i="85"/>
  <c r="BG146" i="85"/>
  <c r="BE146" i="85"/>
  <c r="T146" i="85"/>
  <c r="R146" i="85"/>
  <c r="P146" i="85"/>
  <c r="J146" i="85"/>
  <c r="BF146" i="85" s="1"/>
  <c r="BK145" i="85"/>
  <c r="BI145" i="85"/>
  <c r="BH145" i="85"/>
  <c r="BG145" i="85"/>
  <c r="BE145" i="85"/>
  <c r="T145" i="85"/>
  <c r="R145" i="85"/>
  <c r="P145" i="85"/>
  <c r="J145" i="85"/>
  <c r="BF145" i="85" s="1"/>
  <c r="BK144" i="85"/>
  <c r="BI144" i="85"/>
  <c r="BH144" i="85"/>
  <c r="BG144" i="85"/>
  <c r="BE144" i="85"/>
  <c r="T144" i="85"/>
  <c r="R144" i="85"/>
  <c r="P144" i="85"/>
  <c r="J144" i="85"/>
  <c r="BF144" i="85" s="1"/>
  <c r="BK143" i="85"/>
  <c r="BI143" i="85"/>
  <c r="BH143" i="85"/>
  <c r="BG143" i="85"/>
  <c r="BE143" i="85"/>
  <c r="T143" i="85"/>
  <c r="R143" i="85"/>
  <c r="P143" i="85"/>
  <c r="J143" i="85"/>
  <c r="BF143" i="85" s="1"/>
  <c r="BI142" i="85"/>
  <c r="BH142" i="85"/>
  <c r="BG142" i="85"/>
  <c r="BE142" i="85"/>
  <c r="BK141" i="85"/>
  <c r="BI141" i="85"/>
  <c r="BH141" i="85"/>
  <c r="BG141" i="85"/>
  <c r="BE141" i="85"/>
  <c r="T141" i="85"/>
  <c r="R141" i="85"/>
  <c r="P141" i="85"/>
  <c r="J141" i="85"/>
  <c r="BF141" i="85" s="1"/>
  <c r="BK140" i="85"/>
  <c r="BI140" i="85"/>
  <c r="BH140" i="85"/>
  <c r="BG140" i="85"/>
  <c r="BE140" i="85"/>
  <c r="T140" i="85"/>
  <c r="R140" i="85"/>
  <c r="P140" i="85"/>
  <c r="J140" i="85"/>
  <c r="BF140" i="85" s="1"/>
  <c r="BK139" i="85"/>
  <c r="BI139" i="85"/>
  <c r="BH139" i="85"/>
  <c r="BG139" i="85"/>
  <c r="BF139" i="85"/>
  <c r="BE139" i="85"/>
  <c r="T139" i="85"/>
  <c r="R139" i="85"/>
  <c r="P139" i="85"/>
  <c r="J139" i="85"/>
  <c r="BK138" i="85"/>
  <c r="BI138" i="85"/>
  <c r="BH138" i="85"/>
  <c r="BG138" i="85"/>
  <c r="BE138" i="85"/>
  <c r="T138" i="85"/>
  <c r="R138" i="85"/>
  <c r="P138" i="85"/>
  <c r="J138" i="85"/>
  <c r="BF138" i="85" s="1"/>
  <c r="BK137" i="85"/>
  <c r="BI137" i="85"/>
  <c r="BH137" i="85"/>
  <c r="BG137" i="85"/>
  <c r="BE137" i="85"/>
  <c r="T137" i="85"/>
  <c r="R137" i="85"/>
  <c r="P137" i="85"/>
  <c r="J137" i="85"/>
  <c r="BF137" i="85" s="1"/>
  <c r="BK136" i="85"/>
  <c r="BI136" i="85"/>
  <c r="BH136" i="85"/>
  <c r="BG136" i="85"/>
  <c r="BF136" i="85"/>
  <c r="BE136" i="85"/>
  <c r="T136" i="85"/>
  <c r="R136" i="85"/>
  <c r="P136" i="85"/>
  <c r="J136" i="85"/>
  <c r="BK135" i="85"/>
  <c r="BI135" i="85"/>
  <c r="BH135" i="85"/>
  <c r="BG135" i="85"/>
  <c r="BE135" i="85"/>
  <c r="T135" i="85"/>
  <c r="R135" i="85"/>
  <c r="P135" i="85"/>
  <c r="J135" i="85"/>
  <c r="BF135" i="85" s="1"/>
  <c r="BK134" i="85"/>
  <c r="BI134" i="85"/>
  <c r="BH134" i="85"/>
  <c r="BG134" i="85"/>
  <c r="BE134" i="85"/>
  <c r="T134" i="85"/>
  <c r="R134" i="85"/>
  <c r="P134" i="85"/>
  <c r="J134" i="85"/>
  <c r="BF134" i="85" s="1"/>
  <c r="BK133" i="85"/>
  <c r="BI133" i="85"/>
  <c r="BH133" i="85"/>
  <c r="BG133" i="85"/>
  <c r="BE133" i="85"/>
  <c r="T133" i="85"/>
  <c r="R133" i="85"/>
  <c r="P133" i="85"/>
  <c r="J133" i="85"/>
  <c r="BF133" i="85" s="1"/>
  <c r="BK132" i="85"/>
  <c r="BI132" i="85"/>
  <c r="BH132" i="85"/>
  <c r="BG132" i="85"/>
  <c r="BE132" i="85"/>
  <c r="T132" i="85"/>
  <c r="R132" i="85"/>
  <c r="P132" i="85"/>
  <c r="J132" i="85"/>
  <c r="BF132" i="85" s="1"/>
  <c r="BK131" i="85"/>
  <c r="BI131" i="85"/>
  <c r="BH131" i="85"/>
  <c r="BG131" i="85"/>
  <c r="BE131" i="85"/>
  <c r="T131" i="85"/>
  <c r="R131" i="85"/>
  <c r="P131" i="85"/>
  <c r="J131" i="85"/>
  <c r="BF131" i="85" s="1"/>
  <c r="BK130" i="85"/>
  <c r="BI130" i="85"/>
  <c r="BH130" i="85"/>
  <c r="BG130" i="85"/>
  <c r="BE130" i="85"/>
  <c r="T130" i="85"/>
  <c r="R130" i="85"/>
  <c r="P130" i="85"/>
  <c r="J130" i="85"/>
  <c r="BF130" i="85" s="1"/>
  <c r="F121" i="85"/>
  <c r="E119" i="85"/>
  <c r="E117" i="85"/>
  <c r="J103" i="85"/>
  <c r="F89" i="85"/>
  <c r="E87" i="85"/>
  <c r="E85" i="85"/>
  <c r="J39" i="85"/>
  <c r="J38" i="85"/>
  <c r="J37" i="85"/>
  <c r="J31" i="85"/>
  <c r="J24" i="85"/>
  <c r="E24" i="85"/>
  <c r="J124" i="85" s="1"/>
  <c r="J23" i="85"/>
  <c r="J21" i="85"/>
  <c r="E21" i="85"/>
  <c r="J91" i="85" s="1"/>
  <c r="J20" i="85"/>
  <c r="J18" i="85"/>
  <c r="E18" i="85"/>
  <c r="F124" i="85" s="1"/>
  <c r="J17" i="85"/>
  <c r="J15" i="85"/>
  <c r="E15" i="85"/>
  <c r="F123" i="85" s="1"/>
  <c r="J14" i="85"/>
  <c r="J12" i="85"/>
  <c r="J121" i="85" s="1"/>
  <c r="E7" i="85"/>
  <c r="AX100" i="84"/>
  <c r="AY99" i="84"/>
  <c r="AX99" i="84"/>
  <c r="AY98" i="84"/>
  <c r="AX98" i="84"/>
  <c r="AY97" i="84"/>
  <c r="AX97" i="84"/>
  <c r="AY96" i="84"/>
  <c r="AX96" i="84"/>
  <c r="AY95" i="84"/>
  <c r="AX95" i="84"/>
  <c r="AS94" i="84"/>
  <c r="AM90" i="84"/>
  <c r="L90" i="84"/>
  <c r="AM89" i="84"/>
  <c r="L89" i="84"/>
  <c r="AM87" i="84"/>
  <c r="L87" i="84"/>
  <c r="L85" i="84"/>
  <c r="L84" i="84"/>
  <c r="AK27" i="84"/>
  <c r="P147" i="90" l="1"/>
  <c r="R147" i="90"/>
  <c r="BK167" i="90"/>
  <c r="J167" i="90" s="1"/>
  <c r="J104" i="90" s="1"/>
  <c r="R167" i="90"/>
  <c r="P167" i="90"/>
  <c r="T147" i="90"/>
  <c r="BK137" i="90"/>
  <c r="J137" i="90" s="1"/>
  <c r="J99" i="90" s="1"/>
  <c r="J123" i="85"/>
  <c r="F92" i="85"/>
  <c r="R151" i="85"/>
  <c r="T151" i="85"/>
  <c r="F37" i="89"/>
  <c r="BB99" i="84" s="1"/>
  <c r="J124" i="87"/>
  <c r="J125" i="86"/>
  <c r="J92" i="85"/>
  <c r="J92" i="87"/>
  <c r="J126" i="90"/>
  <c r="F125" i="87"/>
  <c r="F125" i="86"/>
  <c r="F126" i="90"/>
  <c r="J35" i="86"/>
  <c r="AV96" i="84" s="1"/>
  <c r="F37" i="86"/>
  <c r="BB96" i="84" s="1"/>
  <c r="P142" i="86"/>
  <c r="R136" i="86"/>
  <c r="R129" i="86" s="1"/>
  <c r="R128" i="86" s="1"/>
  <c r="T136" i="86"/>
  <c r="T129" i="86" s="1"/>
  <c r="T128" i="86" s="1"/>
  <c r="P139" i="86"/>
  <c r="P129" i="86" s="1"/>
  <c r="P128" i="86" s="1"/>
  <c r="AU96" i="84" s="1"/>
  <c r="F35" i="86"/>
  <c r="AZ96" i="84" s="1"/>
  <c r="BK136" i="86"/>
  <c r="J136" i="86" s="1"/>
  <c r="J101" i="86" s="1"/>
  <c r="F36" i="86"/>
  <c r="BA96" i="84" s="1"/>
  <c r="BK155" i="90"/>
  <c r="BK154" i="90" s="1"/>
  <c r="J154" i="90" s="1"/>
  <c r="J102" i="90" s="1"/>
  <c r="BK147" i="90"/>
  <c r="J147" i="90" s="1"/>
  <c r="J100" i="90" s="1"/>
  <c r="F39" i="90"/>
  <c r="BD100" i="84" s="1"/>
  <c r="BK152" i="89"/>
  <c r="J152" i="89" s="1"/>
  <c r="J102" i="89" s="1"/>
  <c r="BK174" i="88"/>
  <c r="BK161" i="88"/>
  <c r="J161" i="88" s="1"/>
  <c r="J102" i="88" s="1"/>
  <c r="BK143" i="88"/>
  <c r="J143" i="88" s="1"/>
  <c r="J99" i="88" s="1"/>
  <c r="BK182" i="88"/>
  <c r="BK148" i="87"/>
  <c r="J148" i="87" s="1"/>
  <c r="J99" i="87" s="1"/>
  <c r="F39" i="88"/>
  <c r="BD98" i="84" s="1"/>
  <c r="F37" i="88"/>
  <c r="BB98" i="84" s="1"/>
  <c r="F38" i="89"/>
  <c r="BC99" i="84" s="1"/>
  <c r="J124" i="90"/>
  <c r="J89" i="85"/>
  <c r="F35" i="90"/>
  <c r="AZ100" i="84" s="1"/>
  <c r="F39" i="87"/>
  <c r="BD97" i="84" s="1"/>
  <c r="J35" i="85"/>
  <c r="AV95" i="84" s="1"/>
  <c r="F37" i="85"/>
  <c r="BB95" i="84" s="1"/>
  <c r="F38" i="85"/>
  <c r="BC95" i="84" s="1"/>
  <c r="F39" i="85"/>
  <c r="BD95" i="84" s="1"/>
  <c r="F35" i="85"/>
  <c r="AZ95" i="84" s="1"/>
  <c r="H141" i="60"/>
  <c r="J155" i="90"/>
  <c r="J103" i="90" s="1"/>
  <c r="P151" i="89"/>
  <c r="J182" i="88"/>
  <c r="J108" i="88" s="1"/>
  <c r="BK181" i="88"/>
  <c r="J181" i="88" s="1"/>
  <c r="J107" i="88" s="1"/>
  <c r="F38" i="87"/>
  <c r="BC97" i="84" s="1"/>
  <c r="J128" i="88"/>
  <c r="J89" i="88"/>
  <c r="T148" i="88"/>
  <c r="BK171" i="89"/>
  <c r="J171" i="89" s="1"/>
  <c r="J103" i="89" s="1"/>
  <c r="J35" i="88"/>
  <c r="AV98" i="84" s="1"/>
  <c r="F35" i="88"/>
  <c r="AZ98" i="84" s="1"/>
  <c r="F37" i="87"/>
  <c r="BB97" i="84" s="1"/>
  <c r="R152" i="89"/>
  <c r="R151" i="89" s="1"/>
  <c r="F91" i="87"/>
  <c r="F124" i="87"/>
  <c r="R148" i="88"/>
  <c r="P182" i="88"/>
  <c r="P181" i="88" s="1"/>
  <c r="J35" i="89"/>
  <c r="AV99" i="84" s="1"/>
  <c r="R171" i="89"/>
  <c r="P171" i="89"/>
  <c r="R137" i="90"/>
  <c r="T167" i="90"/>
  <c r="F39" i="89"/>
  <c r="BD99" i="84" s="1"/>
  <c r="E85" i="88"/>
  <c r="R182" i="88"/>
  <c r="R181" i="88" s="1"/>
  <c r="BK160" i="87"/>
  <c r="J160" i="87" s="1"/>
  <c r="J100" i="87" s="1"/>
  <c r="J197" i="87"/>
  <c r="J104" i="87" s="1"/>
  <c r="BK195" i="87"/>
  <c r="J195" i="87" s="1"/>
  <c r="J103" i="87" s="1"/>
  <c r="J123" i="89"/>
  <c r="J89" i="89"/>
  <c r="J125" i="89"/>
  <c r="J91" i="89"/>
  <c r="T171" i="89"/>
  <c r="T151" i="89" s="1"/>
  <c r="P155" i="90"/>
  <c r="P154" i="90" s="1"/>
  <c r="T181" i="88"/>
  <c r="F35" i="87"/>
  <c r="AZ97" i="84" s="1"/>
  <c r="J35" i="87"/>
  <c r="AV97" i="84" s="1"/>
  <c r="J174" i="88"/>
  <c r="J106" i="88" s="1"/>
  <c r="BK173" i="88"/>
  <c r="J173" i="88" s="1"/>
  <c r="J105" i="88" s="1"/>
  <c r="BK136" i="89"/>
  <c r="T155" i="90"/>
  <c r="F91" i="85"/>
  <c r="F38" i="86"/>
  <c r="BC96" i="84" s="1"/>
  <c r="R148" i="87"/>
  <c r="T136" i="89"/>
  <c r="F37" i="90"/>
  <c r="BB100" i="84" s="1"/>
  <c r="F127" i="90"/>
  <c r="F92" i="90"/>
  <c r="T160" i="87"/>
  <c r="J36" i="86"/>
  <c r="AW96" i="84" s="1"/>
  <c r="BK148" i="88"/>
  <c r="J148" i="88" s="1"/>
  <c r="J100" i="88" s="1"/>
  <c r="J130" i="86"/>
  <c r="J98" i="86" s="1"/>
  <c r="BK129" i="86"/>
  <c r="F39" i="86"/>
  <c r="BD96" i="84" s="1"/>
  <c r="F38" i="88"/>
  <c r="BC98" i="84" s="1"/>
  <c r="F38" i="90"/>
  <c r="BC100" i="84" s="1"/>
  <c r="J35" i="90"/>
  <c r="AV100" i="84" s="1"/>
  <c r="T137" i="90"/>
  <c r="R155" i="90"/>
  <c r="R154" i="90" s="1"/>
  <c r="J124" i="86"/>
  <c r="J89" i="86"/>
  <c r="F91" i="86"/>
  <c r="J89" i="87"/>
  <c r="F91" i="89"/>
  <c r="E85" i="90"/>
  <c r="F35" i="89"/>
  <c r="AZ99" i="84" s="1"/>
  <c r="F92" i="89"/>
  <c r="AT96" i="84" l="1"/>
  <c r="BK151" i="89"/>
  <c r="J151" i="89" s="1"/>
  <c r="J101" i="89" s="1"/>
  <c r="AZ94" i="84"/>
  <c r="AV94" i="84" s="1"/>
  <c r="BB94" i="84"/>
  <c r="AX94" i="84" s="1"/>
  <c r="BD94" i="84"/>
  <c r="W36" i="84" s="1"/>
  <c r="BC94" i="84"/>
  <c r="W35" i="84" s="1"/>
  <c r="T154" i="90"/>
  <c r="BK128" i="86"/>
  <c r="J128" i="86" s="1"/>
  <c r="J96" i="86" s="1"/>
  <c r="J129" i="86"/>
  <c r="J97" i="86" s="1"/>
  <c r="J136" i="89"/>
  <c r="J99" i="89" s="1"/>
  <c r="W32" i="84" l="1"/>
  <c r="W34" i="84"/>
  <c r="AY94" i="84"/>
  <c r="J30" i="86"/>
  <c r="J32" i="86" s="1"/>
  <c r="J109" i="86"/>
  <c r="AK32" i="84"/>
  <c r="J41" i="86" l="1"/>
  <c r="AG96" i="84"/>
  <c r="AN96" i="84" s="1"/>
  <c r="BK245" i="83" l="1"/>
  <c r="BI245" i="83"/>
  <c r="BH245" i="83"/>
  <c r="BG245" i="83"/>
  <c r="BE245" i="83"/>
  <c r="T245" i="83"/>
  <c r="R245" i="83"/>
  <c r="R242" i="83" s="1"/>
  <c r="P245" i="83"/>
  <c r="J245" i="83"/>
  <c r="BF245" i="83" s="1"/>
  <c r="BK244" i="83"/>
  <c r="BI244" i="83"/>
  <c r="BH244" i="83"/>
  <c r="BG244" i="83"/>
  <c r="BE244" i="83"/>
  <c r="T244" i="83"/>
  <c r="R244" i="83"/>
  <c r="P244" i="83"/>
  <c r="J244" i="83"/>
  <c r="BF244" i="83" s="1"/>
  <c r="BK243" i="83"/>
  <c r="BI243" i="83"/>
  <c r="BH243" i="83"/>
  <c r="BG243" i="83"/>
  <c r="BF243" i="83"/>
  <c r="BE243" i="83"/>
  <c r="T243" i="83"/>
  <c r="R243" i="83"/>
  <c r="P243" i="83"/>
  <c r="J243" i="83"/>
  <c r="T242" i="83"/>
  <c r="P242" i="83"/>
  <c r="BK241" i="83"/>
  <c r="BI241" i="83"/>
  <c r="BH241" i="83"/>
  <c r="BG241" i="83"/>
  <c r="BE241" i="83"/>
  <c r="T241" i="83"/>
  <c r="R241" i="83"/>
  <c r="P241" i="83"/>
  <c r="J241" i="83"/>
  <c r="BF241" i="83" s="1"/>
  <c r="BK240" i="83"/>
  <c r="BI240" i="83"/>
  <c r="BH240" i="83"/>
  <c r="BG240" i="83"/>
  <c r="BE240" i="83"/>
  <c r="T240" i="83"/>
  <c r="R240" i="83"/>
  <c r="P240" i="83"/>
  <c r="J240" i="83"/>
  <c r="BF240" i="83" s="1"/>
  <c r="BK239" i="83"/>
  <c r="BI239" i="83"/>
  <c r="BH239" i="83"/>
  <c r="BG239" i="83"/>
  <c r="BE239" i="83"/>
  <c r="T239" i="83"/>
  <c r="R239" i="83"/>
  <c r="P239" i="83"/>
  <c r="J239" i="83"/>
  <c r="BF239" i="83" s="1"/>
  <c r="BK238" i="83"/>
  <c r="BI238" i="83"/>
  <c r="BH238" i="83"/>
  <c r="BG238" i="83"/>
  <c r="BE238" i="83"/>
  <c r="T238" i="83"/>
  <c r="R238" i="83"/>
  <c r="P238" i="83"/>
  <c r="J238" i="83"/>
  <c r="BF238" i="83" s="1"/>
  <c r="BK237" i="83"/>
  <c r="BI237" i="83"/>
  <c r="BH237" i="83"/>
  <c r="BG237" i="83"/>
  <c r="BE237" i="83"/>
  <c r="T237" i="83"/>
  <c r="R237" i="83"/>
  <c r="P237" i="83"/>
  <c r="J237" i="83"/>
  <c r="BF237" i="83" s="1"/>
  <c r="BK236" i="83"/>
  <c r="BI236" i="83"/>
  <c r="BH236" i="83"/>
  <c r="BG236" i="83"/>
  <c r="BE236" i="83"/>
  <c r="T236" i="83"/>
  <c r="R236" i="83"/>
  <c r="P236" i="83"/>
  <c r="J236" i="83"/>
  <c r="BF236" i="83" s="1"/>
  <c r="BK235" i="83"/>
  <c r="BI235" i="83"/>
  <c r="BH235" i="83"/>
  <c r="BG235" i="83"/>
  <c r="BE235" i="83"/>
  <c r="T235" i="83"/>
  <c r="R235" i="83"/>
  <c r="P235" i="83"/>
  <c r="J235" i="83"/>
  <c r="BF235" i="83" s="1"/>
  <c r="BK234" i="83"/>
  <c r="BI234" i="83"/>
  <c r="BH234" i="83"/>
  <c r="BG234" i="83"/>
  <c r="BE234" i="83"/>
  <c r="T234" i="83"/>
  <c r="R234" i="83"/>
  <c r="P234" i="83"/>
  <c r="J234" i="83"/>
  <c r="BF234" i="83" s="1"/>
  <c r="BK233" i="83"/>
  <c r="BI233" i="83"/>
  <c r="BH233" i="83"/>
  <c r="BG233" i="83"/>
  <c r="BF233" i="83"/>
  <c r="BE233" i="83"/>
  <c r="T233" i="83"/>
  <c r="R233" i="83"/>
  <c r="P233" i="83"/>
  <c r="J233" i="83"/>
  <c r="BK232" i="83"/>
  <c r="BI232" i="83"/>
  <c r="BH232" i="83"/>
  <c r="BG232" i="83"/>
  <c r="BE232" i="83"/>
  <c r="T232" i="83"/>
  <c r="R232" i="83"/>
  <c r="P232" i="83"/>
  <c r="J232" i="83"/>
  <c r="BF232" i="83" s="1"/>
  <c r="BK231" i="83"/>
  <c r="BK228" i="83" s="1"/>
  <c r="J228" i="83" s="1"/>
  <c r="J108" i="83" s="1"/>
  <c r="BI231" i="83"/>
  <c r="BH231" i="83"/>
  <c r="BG231" i="83"/>
  <c r="BE231" i="83"/>
  <c r="T231" i="83"/>
  <c r="R231" i="83"/>
  <c r="P231" i="83"/>
  <c r="J231" i="83"/>
  <c r="BF231" i="83" s="1"/>
  <c r="BK230" i="83"/>
  <c r="BI230" i="83"/>
  <c r="BH230" i="83"/>
  <c r="BG230" i="83"/>
  <c r="BE230" i="83"/>
  <c r="T230" i="83"/>
  <c r="R230" i="83"/>
  <c r="P230" i="83"/>
  <c r="J230" i="83"/>
  <c r="BF230" i="83" s="1"/>
  <c r="BK229" i="83"/>
  <c r="BI229" i="83"/>
  <c r="BH229" i="83"/>
  <c r="BG229" i="83"/>
  <c r="BE229" i="83"/>
  <c r="T229" i="83"/>
  <c r="T228" i="83" s="1"/>
  <c r="R229" i="83"/>
  <c r="P229" i="83"/>
  <c r="J229" i="83"/>
  <c r="BF229" i="83" s="1"/>
  <c r="R228" i="83"/>
  <c r="BK227" i="83"/>
  <c r="BI227" i="83"/>
  <c r="BH227" i="83"/>
  <c r="BG227" i="83"/>
  <c r="BE227" i="83"/>
  <c r="T227" i="83"/>
  <c r="R227" i="83"/>
  <c r="P227" i="83"/>
  <c r="J227" i="83"/>
  <c r="BF227" i="83" s="1"/>
  <c r="BK226" i="83"/>
  <c r="BI226" i="83"/>
  <c r="BH226" i="83"/>
  <c r="BG226" i="83"/>
  <c r="BE226" i="83"/>
  <c r="T226" i="83"/>
  <c r="R226" i="83"/>
  <c r="P226" i="83"/>
  <c r="J226" i="83"/>
  <c r="BF226" i="83" s="1"/>
  <c r="BK225" i="83"/>
  <c r="BI225" i="83"/>
  <c r="BH225" i="83"/>
  <c r="BG225" i="83"/>
  <c r="BE225" i="83"/>
  <c r="T225" i="83"/>
  <c r="R225" i="83"/>
  <c r="P225" i="83"/>
  <c r="J225" i="83"/>
  <c r="BF225" i="83" s="1"/>
  <c r="BK224" i="83"/>
  <c r="BI224" i="83"/>
  <c r="BH224" i="83"/>
  <c r="BG224" i="83"/>
  <c r="BE224" i="83"/>
  <c r="T224" i="83"/>
  <c r="R224" i="83"/>
  <c r="P224" i="83"/>
  <c r="J224" i="83"/>
  <c r="BF224" i="83" s="1"/>
  <c r="BK223" i="83"/>
  <c r="BI223" i="83"/>
  <c r="BH223" i="83"/>
  <c r="BG223" i="83"/>
  <c r="BE223" i="83"/>
  <c r="T223" i="83"/>
  <c r="R223" i="83"/>
  <c r="P223" i="83"/>
  <c r="J223" i="83"/>
  <c r="BF223" i="83" s="1"/>
  <c r="BK222" i="83"/>
  <c r="BI222" i="83"/>
  <c r="BH222" i="83"/>
  <c r="BG222" i="83"/>
  <c r="BE222" i="83"/>
  <c r="T222" i="83"/>
  <c r="R222" i="83"/>
  <c r="P222" i="83"/>
  <c r="J222" i="83"/>
  <c r="BF222" i="83" s="1"/>
  <c r="BK221" i="83"/>
  <c r="BI221" i="83"/>
  <c r="BH221" i="83"/>
  <c r="BG221" i="83"/>
  <c r="BE221" i="83"/>
  <c r="T221" i="83"/>
  <c r="R221" i="83"/>
  <c r="P221" i="83"/>
  <c r="J221" i="83"/>
  <c r="BF221" i="83" s="1"/>
  <c r="BK220" i="83"/>
  <c r="BI220" i="83"/>
  <c r="BH220" i="83"/>
  <c r="BG220" i="83"/>
  <c r="BE220" i="83"/>
  <c r="T220" i="83"/>
  <c r="R220" i="83"/>
  <c r="P220" i="83"/>
  <c r="J220" i="83"/>
  <c r="BF220" i="83" s="1"/>
  <c r="BK219" i="83"/>
  <c r="BI219" i="83"/>
  <c r="BH219" i="83"/>
  <c r="BG219" i="83"/>
  <c r="BE219" i="83"/>
  <c r="T219" i="83"/>
  <c r="R219" i="83"/>
  <c r="P219" i="83"/>
  <c r="J219" i="83"/>
  <c r="BF219" i="83" s="1"/>
  <c r="BK218" i="83"/>
  <c r="BI218" i="83"/>
  <c r="BH218" i="83"/>
  <c r="BG218" i="83"/>
  <c r="BE218" i="83"/>
  <c r="T218" i="83"/>
  <c r="R218" i="83"/>
  <c r="P218" i="83"/>
  <c r="J218" i="83"/>
  <c r="BF218" i="83" s="1"/>
  <c r="BK217" i="83"/>
  <c r="BI217" i="83"/>
  <c r="BH217" i="83"/>
  <c r="BG217" i="83"/>
  <c r="BE217" i="83"/>
  <c r="T217" i="83"/>
  <c r="R217" i="83"/>
  <c r="P217" i="83"/>
  <c r="J217" i="83"/>
  <c r="BF217" i="83" s="1"/>
  <c r="BK216" i="83"/>
  <c r="BI216" i="83"/>
  <c r="BH216" i="83"/>
  <c r="BG216" i="83"/>
  <c r="BE216" i="83"/>
  <c r="T216" i="83"/>
  <c r="R216" i="83"/>
  <c r="P216" i="83"/>
  <c r="J216" i="83"/>
  <c r="BF216" i="83" s="1"/>
  <c r="BK215" i="83"/>
  <c r="BI215" i="83"/>
  <c r="BH215" i="83"/>
  <c r="BG215" i="83"/>
  <c r="BE215" i="83"/>
  <c r="T215" i="83"/>
  <c r="R215" i="83"/>
  <c r="P215" i="83"/>
  <c r="J215" i="83"/>
  <c r="BF215" i="83" s="1"/>
  <c r="BK214" i="83"/>
  <c r="BI214" i="83"/>
  <c r="BH214" i="83"/>
  <c r="BG214" i="83"/>
  <c r="BE214" i="83"/>
  <c r="T214" i="83"/>
  <c r="R214" i="83"/>
  <c r="P214" i="83"/>
  <c r="J214" i="83"/>
  <c r="BF214" i="83" s="1"/>
  <c r="BK213" i="83"/>
  <c r="BI213" i="83"/>
  <c r="BH213" i="83"/>
  <c r="BG213" i="83"/>
  <c r="BE213" i="83"/>
  <c r="T213" i="83"/>
  <c r="R213" i="83"/>
  <c r="P213" i="83"/>
  <c r="J213" i="83"/>
  <c r="BF213" i="83" s="1"/>
  <c r="BK212" i="83"/>
  <c r="BI212" i="83"/>
  <c r="BH212" i="83"/>
  <c r="BG212" i="83"/>
  <c r="BE212" i="83"/>
  <c r="T212" i="83"/>
  <c r="R212" i="83"/>
  <c r="P212" i="83"/>
  <c r="J212" i="83"/>
  <c r="BF212" i="83" s="1"/>
  <c r="BK211" i="83"/>
  <c r="BI211" i="83"/>
  <c r="BH211" i="83"/>
  <c r="BG211" i="83"/>
  <c r="BE211" i="83"/>
  <c r="T211" i="83"/>
  <c r="R211" i="83"/>
  <c r="P211" i="83"/>
  <c r="J211" i="83"/>
  <c r="BF211" i="83" s="1"/>
  <c r="BK210" i="83"/>
  <c r="BI210" i="83"/>
  <c r="BH210" i="83"/>
  <c r="BG210" i="83"/>
  <c r="BE210" i="83"/>
  <c r="T210" i="83"/>
  <c r="R210" i="83"/>
  <c r="P210" i="83"/>
  <c r="J210" i="83"/>
  <c r="BF210" i="83" s="1"/>
  <c r="BK209" i="83"/>
  <c r="BI209" i="83"/>
  <c r="BH209" i="83"/>
  <c r="BG209" i="83"/>
  <c r="BE209" i="83"/>
  <c r="T209" i="83"/>
  <c r="R209" i="83"/>
  <c r="P209" i="83"/>
  <c r="J209" i="83"/>
  <c r="BF209" i="83" s="1"/>
  <c r="BK208" i="83"/>
  <c r="BI208" i="83"/>
  <c r="BH208" i="83"/>
  <c r="BG208" i="83"/>
  <c r="BE208" i="83"/>
  <c r="T208" i="83"/>
  <c r="R208" i="83"/>
  <c r="P208" i="83"/>
  <c r="J208" i="83"/>
  <c r="BF208" i="83" s="1"/>
  <c r="BK207" i="83"/>
  <c r="BI207" i="83"/>
  <c r="BH207" i="83"/>
  <c r="BG207" i="83"/>
  <c r="BE207" i="83"/>
  <c r="T207" i="83"/>
  <c r="R207" i="83"/>
  <c r="P207" i="83"/>
  <c r="J207" i="83"/>
  <c r="BF207" i="83" s="1"/>
  <c r="BK206" i="83"/>
  <c r="BI206" i="83"/>
  <c r="BH206" i="83"/>
  <c r="BG206" i="83"/>
  <c r="BE206" i="83"/>
  <c r="T206" i="83"/>
  <c r="R206" i="83"/>
  <c r="P206" i="83"/>
  <c r="J206" i="83"/>
  <c r="BF206" i="83" s="1"/>
  <c r="BK205" i="83"/>
  <c r="BI205" i="83"/>
  <c r="BH205" i="83"/>
  <c r="BG205" i="83"/>
  <c r="BE205" i="83"/>
  <c r="T205" i="83"/>
  <c r="R205" i="83"/>
  <c r="P205" i="83"/>
  <c r="J205" i="83"/>
  <c r="BF205" i="83" s="1"/>
  <c r="BK204" i="83"/>
  <c r="BI204" i="83"/>
  <c r="BH204" i="83"/>
  <c r="BG204" i="83"/>
  <c r="BE204" i="83"/>
  <c r="T204" i="83"/>
  <c r="R204" i="83"/>
  <c r="P204" i="83"/>
  <c r="J204" i="83"/>
  <c r="BF204" i="83" s="1"/>
  <c r="BK203" i="83"/>
  <c r="BI203" i="83"/>
  <c r="BH203" i="83"/>
  <c r="BG203" i="83"/>
  <c r="BE203" i="83"/>
  <c r="T203" i="83"/>
  <c r="R203" i="83"/>
  <c r="P203" i="83"/>
  <c r="J203" i="83"/>
  <c r="BF203" i="83" s="1"/>
  <c r="BK202" i="83"/>
  <c r="BI202" i="83"/>
  <c r="BH202" i="83"/>
  <c r="BG202" i="83"/>
  <c r="BE202" i="83"/>
  <c r="T202" i="83"/>
  <c r="R202" i="83"/>
  <c r="P202" i="83"/>
  <c r="J202" i="83"/>
  <c r="BF202" i="83" s="1"/>
  <c r="BK201" i="83"/>
  <c r="BI201" i="83"/>
  <c r="BH201" i="83"/>
  <c r="BG201" i="83"/>
  <c r="BE201" i="83"/>
  <c r="T201" i="83"/>
  <c r="R201" i="83"/>
  <c r="P201" i="83"/>
  <c r="J201" i="83"/>
  <c r="BF201" i="83" s="1"/>
  <c r="BK200" i="83"/>
  <c r="BI200" i="83"/>
  <c r="BH200" i="83"/>
  <c r="BG200" i="83"/>
  <c r="BE200" i="83"/>
  <c r="T200" i="83"/>
  <c r="R200" i="83"/>
  <c r="P200" i="83"/>
  <c r="J200" i="83"/>
  <c r="BF200" i="83" s="1"/>
  <c r="BK199" i="83"/>
  <c r="BI199" i="83"/>
  <c r="BH199" i="83"/>
  <c r="BG199" i="83"/>
  <c r="BE199" i="83"/>
  <c r="T199" i="83"/>
  <c r="R199" i="83"/>
  <c r="P199" i="83"/>
  <c r="J199" i="83"/>
  <c r="BF199" i="83" s="1"/>
  <c r="BK198" i="83"/>
  <c r="BI198" i="83"/>
  <c r="BH198" i="83"/>
  <c r="BG198" i="83"/>
  <c r="BE198" i="83"/>
  <c r="T198" i="83"/>
  <c r="R198" i="83"/>
  <c r="P198" i="83"/>
  <c r="J198" i="83"/>
  <c r="BF198" i="83" s="1"/>
  <c r="BK197" i="83"/>
  <c r="BI197" i="83"/>
  <c r="BH197" i="83"/>
  <c r="BG197" i="83"/>
  <c r="BE197" i="83"/>
  <c r="T197" i="83"/>
  <c r="R197" i="83"/>
  <c r="P197" i="83"/>
  <c r="J197" i="83"/>
  <c r="BF197" i="83" s="1"/>
  <c r="BK196" i="83"/>
  <c r="BI196" i="83"/>
  <c r="BH196" i="83"/>
  <c r="BG196" i="83"/>
  <c r="BE196" i="83"/>
  <c r="T196" i="83"/>
  <c r="R196" i="83"/>
  <c r="P196" i="83"/>
  <c r="J196" i="83"/>
  <c r="BF196" i="83" s="1"/>
  <c r="BK195" i="83"/>
  <c r="BI195" i="83"/>
  <c r="BH195" i="83"/>
  <c r="BG195" i="83"/>
  <c r="BE195" i="83"/>
  <c r="T195" i="83"/>
  <c r="R195" i="83"/>
  <c r="P195" i="83"/>
  <c r="J195" i="83"/>
  <c r="BF195" i="83" s="1"/>
  <c r="BK194" i="83"/>
  <c r="BI194" i="83"/>
  <c r="BH194" i="83"/>
  <c r="BG194" i="83"/>
  <c r="BE194" i="83"/>
  <c r="T194" i="83"/>
  <c r="R194" i="83"/>
  <c r="P194" i="83"/>
  <c r="J194" i="83"/>
  <c r="BF194" i="83" s="1"/>
  <c r="BK193" i="83"/>
  <c r="BI193" i="83"/>
  <c r="BH193" i="83"/>
  <c r="BG193" i="83"/>
  <c r="BE193" i="83"/>
  <c r="T193" i="83"/>
  <c r="R193" i="83"/>
  <c r="P193" i="83"/>
  <c r="J193" i="83"/>
  <c r="BF193" i="83" s="1"/>
  <c r="BK192" i="83"/>
  <c r="BI192" i="83"/>
  <c r="BH192" i="83"/>
  <c r="BG192" i="83"/>
  <c r="BE192" i="83"/>
  <c r="T192" i="83"/>
  <c r="R192" i="83"/>
  <c r="P192" i="83"/>
  <c r="J192" i="83"/>
  <c r="BF192" i="83" s="1"/>
  <c r="BK191" i="83"/>
  <c r="BK190" i="83" s="1"/>
  <c r="J190" i="83" s="1"/>
  <c r="J107" i="83" s="1"/>
  <c r="BI191" i="83"/>
  <c r="BH191" i="83"/>
  <c r="BG191" i="83"/>
  <c r="BE191" i="83"/>
  <c r="T191" i="83"/>
  <c r="T190" i="83" s="1"/>
  <c r="R191" i="83"/>
  <c r="P191" i="83"/>
  <c r="J191" i="83"/>
  <c r="BF191" i="83" s="1"/>
  <c r="P190" i="83"/>
  <c r="BK188" i="83"/>
  <c r="BI188" i="83"/>
  <c r="BH188" i="83"/>
  <c r="BG188" i="83"/>
  <c r="BE188" i="83"/>
  <c r="T188" i="83"/>
  <c r="R188" i="83"/>
  <c r="P188" i="83"/>
  <c r="J188" i="83"/>
  <c r="BF188" i="83" s="1"/>
  <c r="BK187" i="83"/>
  <c r="BI187" i="83"/>
  <c r="BH187" i="83"/>
  <c r="BG187" i="83"/>
  <c r="BF187" i="83"/>
  <c r="BE187" i="83"/>
  <c r="T187" i="83"/>
  <c r="R187" i="83"/>
  <c r="P187" i="83"/>
  <c r="J187" i="83"/>
  <c r="BK186" i="83"/>
  <c r="BI186" i="83"/>
  <c r="BH186" i="83"/>
  <c r="BG186" i="83"/>
  <c r="BE186" i="83"/>
  <c r="T186" i="83"/>
  <c r="R186" i="83"/>
  <c r="P186" i="83"/>
  <c r="J186" i="83"/>
  <c r="BF186" i="83" s="1"/>
  <c r="BK185" i="83"/>
  <c r="BI185" i="83"/>
  <c r="BH185" i="83"/>
  <c r="BG185" i="83"/>
  <c r="BE185" i="83"/>
  <c r="T185" i="83"/>
  <c r="R185" i="83"/>
  <c r="P185" i="83"/>
  <c r="J185" i="83"/>
  <c r="BF185" i="83" s="1"/>
  <c r="BK184" i="83"/>
  <c r="BI184" i="83"/>
  <c r="BH184" i="83"/>
  <c r="BG184" i="83"/>
  <c r="BE184" i="83"/>
  <c r="T184" i="83"/>
  <c r="R184" i="83"/>
  <c r="P184" i="83"/>
  <c r="J184" i="83"/>
  <c r="BF184" i="83" s="1"/>
  <c r="BK183" i="83"/>
  <c r="BK182" i="83" s="1"/>
  <c r="BI183" i="83"/>
  <c r="BH183" i="83"/>
  <c r="BG183" i="83"/>
  <c r="BE183" i="83"/>
  <c r="T183" i="83"/>
  <c r="R183" i="83"/>
  <c r="R182" i="83" s="1"/>
  <c r="R181" i="83" s="1"/>
  <c r="P183" i="83"/>
  <c r="P182" i="83" s="1"/>
  <c r="P181" i="83" s="1"/>
  <c r="J183" i="83"/>
  <c r="BF183" i="83" s="1"/>
  <c r="T182" i="83"/>
  <c r="T181" i="83"/>
  <c r="BK180" i="83"/>
  <c r="BI180" i="83"/>
  <c r="BH180" i="83"/>
  <c r="BG180" i="83"/>
  <c r="BE180" i="83"/>
  <c r="T180" i="83"/>
  <c r="R180" i="83"/>
  <c r="P180" i="83"/>
  <c r="J180" i="83"/>
  <c r="BF180" i="83" s="1"/>
  <c r="BK179" i="83"/>
  <c r="BI179" i="83"/>
  <c r="BH179" i="83"/>
  <c r="BG179" i="83"/>
  <c r="BE179" i="83"/>
  <c r="T179" i="83"/>
  <c r="R179" i="83"/>
  <c r="P179" i="83"/>
  <c r="J179" i="83"/>
  <c r="BF179" i="83" s="1"/>
  <c r="BK178" i="83"/>
  <c r="BI178" i="83"/>
  <c r="BH178" i="83"/>
  <c r="BG178" i="83"/>
  <c r="BF178" i="83"/>
  <c r="BE178" i="83"/>
  <c r="T178" i="83"/>
  <c r="R178" i="83"/>
  <c r="P178" i="83"/>
  <c r="J178" i="83"/>
  <c r="BI177" i="83"/>
  <c r="BH177" i="83"/>
  <c r="BG177" i="83"/>
  <c r="BE177" i="83"/>
  <c r="BI176" i="83"/>
  <c r="BH176" i="83"/>
  <c r="BG176" i="83"/>
  <c r="BE176" i="83"/>
  <c r="BI175" i="83"/>
  <c r="BH175" i="83"/>
  <c r="BG175" i="83"/>
  <c r="BE175" i="83"/>
  <c r="BI173" i="83"/>
  <c r="BH173" i="83"/>
  <c r="BG173" i="83"/>
  <c r="BE173" i="83"/>
  <c r="BI172" i="83"/>
  <c r="BH172" i="83"/>
  <c r="BG172" i="83"/>
  <c r="BE172" i="83"/>
  <c r="BI171" i="83"/>
  <c r="BH171" i="83"/>
  <c r="BG171" i="83"/>
  <c r="BE171" i="83"/>
  <c r="BI170" i="83"/>
  <c r="BH170" i="83"/>
  <c r="BG170" i="83"/>
  <c r="BE170" i="83"/>
  <c r="BI169" i="83"/>
  <c r="BH169" i="83"/>
  <c r="BG169" i="83"/>
  <c r="BE169" i="83"/>
  <c r="BK168" i="83"/>
  <c r="BI168" i="83"/>
  <c r="BH168" i="83"/>
  <c r="BG168" i="83"/>
  <c r="BE168" i="83"/>
  <c r="T168" i="83"/>
  <c r="R168" i="83"/>
  <c r="P168" i="83"/>
  <c r="J168" i="83"/>
  <c r="BF168" i="83" s="1"/>
  <c r="BK167" i="83"/>
  <c r="BI167" i="83"/>
  <c r="BH167" i="83"/>
  <c r="BG167" i="83"/>
  <c r="BE167" i="83"/>
  <c r="T167" i="83"/>
  <c r="R167" i="83"/>
  <c r="P167" i="83"/>
  <c r="J167" i="83"/>
  <c r="BF167" i="83" s="1"/>
  <c r="BK166" i="83"/>
  <c r="BI166" i="83"/>
  <c r="BH166" i="83"/>
  <c r="BG166" i="83"/>
  <c r="BE166" i="83"/>
  <c r="T166" i="83"/>
  <c r="R166" i="83"/>
  <c r="P166" i="83"/>
  <c r="J166" i="83"/>
  <c r="BF166" i="83" s="1"/>
  <c r="BK164" i="83"/>
  <c r="BI164" i="83"/>
  <c r="BH164" i="83"/>
  <c r="BG164" i="83"/>
  <c r="BE164" i="83"/>
  <c r="T164" i="83"/>
  <c r="R164" i="83"/>
  <c r="P164" i="83"/>
  <c r="J164" i="83"/>
  <c r="BF164" i="83" s="1"/>
  <c r="BK163" i="83"/>
  <c r="BI163" i="83"/>
  <c r="BH163" i="83"/>
  <c r="BG163" i="83"/>
  <c r="BE163" i="83"/>
  <c r="T163" i="83"/>
  <c r="R163" i="83"/>
  <c r="P163" i="83"/>
  <c r="J163" i="83"/>
  <c r="BF163" i="83" s="1"/>
  <c r="BK162" i="83"/>
  <c r="BK161" i="83" s="1"/>
  <c r="J161" i="83" s="1"/>
  <c r="J101" i="83" s="1"/>
  <c r="BI162" i="83"/>
  <c r="BH162" i="83"/>
  <c r="BG162" i="83"/>
  <c r="BE162" i="83"/>
  <c r="T162" i="83"/>
  <c r="R162" i="83"/>
  <c r="P162" i="83"/>
  <c r="P161" i="83" s="1"/>
  <c r="J162" i="83"/>
  <c r="BF162" i="83" s="1"/>
  <c r="T161" i="83"/>
  <c r="R161" i="83"/>
  <c r="BK160" i="83"/>
  <c r="BI160" i="83"/>
  <c r="BH160" i="83"/>
  <c r="BG160" i="83"/>
  <c r="BE160" i="83"/>
  <c r="T160" i="83"/>
  <c r="R160" i="83"/>
  <c r="P160" i="83"/>
  <c r="J160" i="83"/>
  <c r="BF160" i="83" s="1"/>
  <c r="BK159" i="83"/>
  <c r="BI159" i="83"/>
  <c r="BH159" i="83"/>
  <c r="BG159" i="83"/>
  <c r="BE159" i="83"/>
  <c r="T159" i="83"/>
  <c r="R159" i="83"/>
  <c r="P159" i="83"/>
  <c r="J159" i="83"/>
  <c r="BF159" i="83" s="1"/>
  <c r="BK158" i="83"/>
  <c r="BI158" i="83"/>
  <c r="BH158" i="83"/>
  <c r="BG158" i="83"/>
  <c r="BE158" i="83"/>
  <c r="T158" i="83"/>
  <c r="R158" i="83"/>
  <c r="P158" i="83"/>
  <c r="J158" i="83"/>
  <c r="BF158" i="83" s="1"/>
  <c r="BK157" i="83"/>
  <c r="BI157" i="83"/>
  <c r="BH157" i="83"/>
  <c r="BG157" i="83"/>
  <c r="BE157" i="83"/>
  <c r="T157" i="83"/>
  <c r="R157" i="83"/>
  <c r="P157" i="83"/>
  <c r="J157" i="83"/>
  <c r="BF157" i="83" s="1"/>
  <c r="BK156" i="83"/>
  <c r="BI156" i="83"/>
  <c r="BH156" i="83"/>
  <c r="BG156" i="83"/>
  <c r="BE156" i="83"/>
  <c r="T156" i="83"/>
  <c r="R156" i="83"/>
  <c r="P156" i="83"/>
  <c r="J156" i="83"/>
  <c r="BF156" i="83" s="1"/>
  <c r="BK155" i="83"/>
  <c r="BI155" i="83"/>
  <c r="BH155" i="83"/>
  <c r="BG155" i="83"/>
  <c r="BE155" i="83"/>
  <c r="T155" i="83"/>
  <c r="R155" i="83"/>
  <c r="P155" i="83"/>
  <c r="J155" i="83"/>
  <c r="BF155" i="83" s="1"/>
  <c r="BK154" i="83"/>
  <c r="BI154" i="83"/>
  <c r="BH154" i="83"/>
  <c r="BG154" i="83"/>
  <c r="BE154" i="83"/>
  <c r="T154" i="83"/>
  <c r="R154" i="83"/>
  <c r="P154" i="83"/>
  <c r="J154" i="83"/>
  <c r="BF154" i="83" s="1"/>
  <c r="BK153" i="83"/>
  <c r="BI153" i="83"/>
  <c r="BH153" i="83"/>
  <c r="BG153" i="83"/>
  <c r="BE153" i="83"/>
  <c r="T153" i="83"/>
  <c r="R153" i="83"/>
  <c r="P153" i="83"/>
  <c r="J153" i="83"/>
  <c r="BF153" i="83" s="1"/>
  <c r="BK152" i="83"/>
  <c r="BI152" i="83"/>
  <c r="BH152" i="83"/>
  <c r="BG152" i="83"/>
  <c r="BE152" i="83"/>
  <c r="T152" i="83"/>
  <c r="R152" i="83"/>
  <c r="P152" i="83"/>
  <c r="J152" i="83"/>
  <c r="BF152" i="83" s="1"/>
  <c r="BK151" i="83"/>
  <c r="BI151" i="83"/>
  <c r="BH151" i="83"/>
  <c r="BG151" i="83"/>
  <c r="BE151" i="83"/>
  <c r="T151" i="83"/>
  <c r="R151" i="83"/>
  <c r="P151" i="83"/>
  <c r="J151" i="83"/>
  <c r="BF151" i="83" s="1"/>
  <c r="R150" i="83"/>
  <c r="BK149" i="83"/>
  <c r="BI149" i="83"/>
  <c r="BH149" i="83"/>
  <c r="BG149" i="83"/>
  <c r="BE149" i="83"/>
  <c r="T149" i="83"/>
  <c r="R149" i="83"/>
  <c r="P149" i="83"/>
  <c r="J149" i="83"/>
  <c r="BF149" i="83" s="1"/>
  <c r="BK148" i="83"/>
  <c r="BI148" i="83"/>
  <c r="BH148" i="83"/>
  <c r="BG148" i="83"/>
  <c r="BE148" i="83"/>
  <c r="T148" i="83"/>
  <c r="R148" i="83"/>
  <c r="P148" i="83"/>
  <c r="J148" i="83"/>
  <c r="BF148" i="83" s="1"/>
  <c r="BK147" i="83"/>
  <c r="BI147" i="83"/>
  <c r="BH147" i="83"/>
  <c r="BG147" i="83"/>
  <c r="BE147" i="83"/>
  <c r="T147" i="83"/>
  <c r="R147" i="83"/>
  <c r="P147" i="83"/>
  <c r="J147" i="83"/>
  <c r="BF147" i="83" s="1"/>
  <c r="BK146" i="83"/>
  <c r="BI146" i="83"/>
  <c r="BH146" i="83"/>
  <c r="BG146" i="83"/>
  <c r="BE146" i="83"/>
  <c r="T146" i="83"/>
  <c r="R146" i="83"/>
  <c r="P146" i="83"/>
  <c r="J146" i="83"/>
  <c r="BF146" i="83" s="1"/>
  <c r="BK145" i="83"/>
  <c r="BK143" i="83" s="1"/>
  <c r="J143" i="83" s="1"/>
  <c r="J99" i="83" s="1"/>
  <c r="BI145" i="83"/>
  <c r="BH145" i="83"/>
  <c r="BG145" i="83"/>
  <c r="BE145" i="83"/>
  <c r="T145" i="83"/>
  <c r="R145" i="83"/>
  <c r="P145" i="83"/>
  <c r="J145" i="83"/>
  <c r="BF145" i="83" s="1"/>
  <c r="BK144" i="83"/>
  <c r="BI144" i="83"/>
  <c r="BH144" i="83"/>
  <c r="BG144" i="83"/>
  <c r="BE144" i="83"/>
  <c r="T144" i="83"/>
  <c r="R144" i="83"/>
  <c r="R143" i="83" s="1"/>
  <c r="P144" i="83"/>
  <c r="P143" i="83" s="1"/>
  <c r="J144" i="83"/>
  <c r="BF144" i="83" s="1"/>
  <c r="T143" i="83"/>
  <c r="BK142" i="83"/>
  <c r="BI142" i="83"/>
  <c r="BH142" i="83"/>
  <c r="BG142" i="83"/>
  <c r="BE142" i="83"/>
  <c r="T142" i="83"/>
  <c r="R142" i="83"/>
  <c r="P142" i="83"/>
  <c r="J142" i="83"/>
  <c r="BF142" i="83" s="1"/>
  <c r="BK141" i="83"/>
  <c r="BI141" i="83"/>
  <c r="BH141" i="83"/>
  <c r="BG141" i="83"/>
  <c r="BE141" i="83"/>
  <c r="T141" i="83"/>
  <c r="R141" i="83"/>
  <c r="P141" i="83"/>
  <c r="J141" i="83"/>
  <c r="BF141" i="83" s="1"/>
  <c r="BK140" i="83"/>
  <c r="BI140" i="83"/>
  <c r="BH140" i="83"/>
  <c r="BG140" i="83"/>
  <c r="BE140" i="83"/>
  <c r="T140" i="83"/>
  <c r="R140" i="83"/>
  <c r="P140" i="83"/>
  <c r="J140" i="83"/>
  <c r="BF140" i="83" s="1"/>
  <c r="BK139" i="83"/>
  <c r="BI139" i="83"/>
  <c r="BH139" i="83"/>
  <c r="BG139" i="83"/>
  <c r="BE139" i="83"/>
  <c r="T139" i="83"/>
  <c r="R139" i="83"/>
  <c r="P139" i="83"/>
  <c r="J139" i="83"/>
  <c r="BF139" i="83" s="1"/>
  <c r="BK138" i="83"/>
  <c r="BI138" i="83"/>
  <c r="BH138" i="83"/>
  <c r="BG138" i="83"/>
  <c r="BF138" i="83"/>
  <c r="BE138" i="83"/>
  <c r="T138" i="83"/>
  <c r="R138" i="83"/>
  <c r="P138" i="83"/>
  <c r="J138" i="83"/>
  <c r="BK137" i="83"/>
  <c r="BI137" i="83"/>
  <c r="BH137" i="83"/>
  <c r="BG137" i="83"/>
  <c r="BE137" i="83"/>
  <c r="T137" i="83"/>
  <c r="R137" i="83"/>
  <c r="P137" i="83"/>
  <c r="J137" i="83"/>
  <c r="BF137" i="83" s="1"/>
  <c r="BK136" i="83"/>
  <c r="BI136" i="83"/>
  <c r="BH136" i="83"/>
  <c r="BG136" i="83"/>
  <c r="BE136" i="83"/>
  <c r="T136" i="83"/>
  <c r="R136" i="83"/>
  <c r="P136" i="83"/>
  <c r="J136" i="83"/>
  <c r="BF136" i="83" s="1"/>
  <c r="R135" i="83"/>
  <c r="J130" i="83"/>
  <c r="F130" i="83"/>
  <c r="J129" i="83"/>
  <c r="F129" i="83"/>
  <c r="F127" i="83"/>
  <c r="E125" i="83"/>
  <c r="J92" i="83"/>
  <c r="F92" i="83"/>
  <c r="J91" i="83"/>
  <c r="F91" i="83"/>
  <c r="F89" i="83"/>
  <c r="E87" i="83"/>
  <c r="J39" i="83"/>
  <c r="J38" i="83"/>
  <c r="J37" i="83"/>
  <c r="J31" i="83"/>
  <c r="J12" i="83"/>
  <c r="J127" i="83" s="1"/>
  <c r="E7" i="83"/>
  <c r="E85" i="83" s="1"/>
  <c r="BK247" i="82"/>
  <c r="BI247" i="82"/>
  <c r="BH247" i="82"/>
  <c r="BG247" i="82"/>
  <c r="BF247" i="82"/>
  <c r="BE247" i="82"/>
  <c r="T247" i="82"/>
  <c r="R247" i="82"/>
  <c r="P247" i="82"/>
  <c r="J247" i="82"/>
  <c r="BK246" i="82"/>
  <c r="BI246" i="82"/>
  <c r="BH246" i="82"/>
  <c r="BG246" i="82"/>
  <c r="BE246" i="82"/>
  <c r="T246" i="82"/>
  <c r="R246" i="82"/>
  <c r="P246" i="82"/>
  <c r="J246" i="82"/>
  <c r="BF246" i="82" s="1"/>
  <c r="BK245" i="82"/>
  <c r="BK244" i="82" s="1"/>
  <c r="J244" i="82" s="1"/>
  <c r="J109" i="82" s="1"/>
  <c r="BI245" i="82"/>
  <c r="BH245" i="82"/>
  <c r="BG245" i="82"/>
  <c r="BE245" i="82"/>
  <c r="T245" i="82"/>
  <c r="R245" i="82"/>
  <c r="R244" i="82" s="1"/>
  <c r="P245" i="82"/>
  <c r="P244" i="82" s="1"/>
  <c r="J245" i="82"/>
  <c r="BF245" i="82" s="1"/>
  <c r="T244" i="82"/>
  <c r="BK243" i="82"/>
  <c r="BI243" i="82"/>
  <c r="BH243" i="82"/>
  <c r="BG243" i="82"/>
  <c r="BE243" i="82"/>
  <c r="T243" i="82"/>
  <c r="R243" i="82"/>
  <c r="P243" i="82"/>
  <c r="J243" i="82"/>
  <c r="BF243" i="82" s="1"/>
  <c r="BK242" i="82"/>
  <c r="BI242" i="82"/>
  <c r="BH242" i="82"/>
  <c r="BG242" i="82"/>
  <c r="BE242" i="82"/>
  <c r="T242" i="82"/>
  <c r="R242" i="82"/>
  <c r="P242" i="82"/>
  <c r="J242" i="82"/>
  <c r="BF242" i="82" s="1"/>
  <c r="BK241" i="82"/>
  <c r="BI241" i="82"/>
  <c r="BH241" i="82"/>
  <c r="BG241" i="82"/>
  <c r="BE241" i="82"/>
  <c r="T241" i="82"/>
  <c r="R241" i="82"/>
  <c r="P241" i="82"/>
  <c r="J241" i="82"/>
  <c r="BF241" i="82" s="1"/>
  <c r="BK240" i="82"/>
  <c r="BI240" i="82"/>
  <c r="BH240" i="82"/>
  <c r="BG240" i="82"/>
  <c r="BE240" i="82"/>
  <c r="T240" i="82"/>
  <c r="R240" i="82"/>
  <c r="P240" i="82"/>
  <c r="J240" i="82"/>
  <c r="BF240" i="82" s="1"/>
  <c r="BK239" i="82"/>
  <c r="BI239" i="82"/>
  <c r="BH239" i="82"/>
  <c r="BG239" i="82"/>
  <c r="BE239" i="82"/>
  <c r="T239" i="82"/>
  <c r="R239" i="82"/>
  <c r="P239" i="82"/>
  <c r="J239" i="82"/>
  <c r="BF239" i="82" s="1"/>
  <c r="BK238" i="82"/>
  <c r="BI238" i="82"/>
  <c r="BH238" i="82"/>
  <c r="BG238" i="82"/>
  <c r="BE238" i="82"/>
  <c r="T238" i="82"/>
  <c r="R238" i="82"/>
  <c r="P238" i="82"/>
  <c r="J238" i="82"/>
  <c r="BF238" i="82" s="1"/>
  <c r="BK237" i="82"/>
  <c r="BI237" i="82"/>
  <c r="BH237" i="82"/>
  <c r="BG237" i="82"/>
  <c r="BE237" i="82"/>
  <c r="T237" i="82"/>
  <c r="R237" i="82"/>
  <c r="P237" i="82"/>
  <c r="J237" i="82"/>
  <c r="BF237" i="82" s="1"/>
  <c r="BK236" i="82"/>
  <c r="BI236" i="82"/>
  <c r="BH236" i="82"/>
  <c r="BG236" i="82"/>
  <c r="BE236" i="82"/>
  <c r="T236" i="82"/>
  <c r="R236" i="82"/>
  <c r="P236" i="82"/>
  <c r="J236" i="82"/>
  <c r="BF236" i="82" s="1"/>
  <c r="BK235" i="82"/>
  <c r="BI235" i="82"/>
  <c r="BH235" i="82"/>
  <c r="BG235" i="82"/>
  <c r="BE235" i="82"/>
  <c r="T235" i="82"/>
  <c r="R235" i="82"/>
  <c r="P235" i="82"/>
  <c r="J235" i="82"/>
  <c r="BF235" i="82" s="1"/>
  <c r="BK234" i="82"/>
  <c r="BI234" i="82"/>
  <c r="BH234" i="82"/>
  <c r="BG234" i="82"/>
  <c r="BE234" i="82"/>
  <c r="T234" i="82"/>
  <c r="R234" i="82"/>
  <c r="P234" i="82"/>
  <c r="J234" i="82"/>
  <c r="BF234" i="82" s="1"/>
  <c r="BK233" i="82"/>
  <c r="BI233" i="82"/>
  <c r="BH233" i="82"/>
  <c r="BG233" i="82"/>
  <c r="BE233" i="82"/>
  <c r="T233" i="82"/>
  <c r="R233" i="82"/>
  <c r="P233" i="82"/>
  <c r="J233" i="82"/>
  <c r="BF233" i="82" s="1"/>
  <c r="BK232" i="82"/>
  <c r="BI232" i="82"/>
  <c r="BH232" i="82"/>
  <c r="BG232" i="82"/>
  <c r="BE232" i="82"/>
  <c r="T232" i="82"/>
  <c r="T228" i="82" s="1"/>
  <c r="R232" i="82"/>
  <c r="P232" i="82"/>
  <c r="J232" i="82"/>
  <c r="BF232" i="82" s="1"/>
  <c r="BK231" i="82"/>
  <c r="BI231" i="82"/>
  <c r="BH231" i="82"/>
  <c r="BG231" i="82"/>
  <c r="BE231" i="82"/>
  <c r="T231" i="82"/>
  <c r="R231" i="82"/>
  <c r="P231" i="82"/>
  <c r="J231" i="82"/>
  <c r="BF231" i="82" s="1"/>
  <c r="BK230" i="82"/>
  <c r="BI230" i="82"/>
  <c r="BH230" i="82"/>
  <c r="BG230" i="82"/>
  <c r="BE230" i="82"/>
  <c r="T230" i="82"/>
  <c r="R230" i="82"/>
  <c r="P230" i="82"/>
  <c r="J230" i="82"/>
  <c r="BF230" i="82" s="1"/>
  <c r="BK229" i="82"/>
  <c r="BK228" i="82" s="1"/>
  <c r="J228" i="82" s="1"/>
  <c r="J108" i="82" s="1"/>
  <c r="BI229" i="82"/>
  <c r="BH229" i="82"/>
  <c r="BG229" i="82"/>
  <c r="BE229" i="82"/>
  <c r="T229" i="82"/>
  <c r="R229" i="82"/>
  <c r="P229" i="82"/>
  <c r="J229" i="82"/>
  <c r="BF229" i="82" s="1"/>
  <c r="P228" i="82"/>
  <c r="BK227" i="82"/>
  <c r="BI227" i="82"/>
  <c r="BH227" i="82"/>
  <c r="BG227" i="82"/>
  <c r="BE227" i="82"/>
  <c r="T227" i="82"/>
  <c r="R227" i="82"/>
  <c r="P227" i="82"/>
  <c r="J227" i="82"/>
  <c r="BF227" i="82" s="1"/>
  <c r="BK226" i="82"/>
  <c r="BI226" i="82"/>
  <c r="BH226" i="82"/>
  <c r="BG226" i="82"/>
  <c r="BF226" i="82"/>
  <c r="BE226" i="82"/>
  <c r="T226" i="82"/>
  <c r="R226" i="82"/>
  <c r="P226" i="82"/>
  <c r="J226" i="82"/>
  <c r="BK225" i="82"/>
  <c r="BI225" i="82"/>
  <c r="BH225" i="82"/>
  <c r="BG225" i="82"/>
  <c r="BE225" i="82"/>
  <c r="T225" i="82"/>
  <c r="R225" i="82"/>
  <c r="P225" i="82"/>
  <c r="J225" i="82"/>
  <c r="BF225" i="82" s="1"/>
  <c r="BK224" i="82"/>
  <c r="BI224" i="82"/>
  <c r="BH224" i="82"/>
  <c r="BG224" i="82"/>
  <c r="BE224" i="82"/>
  <c r="T224" i="82"/>
  <c r="R224" i="82"/>
  <c r="P224" i="82"/>
  <c r="J224" i="82"/>
  <c r="BF224" i="82" s="1"/>
  <c r="BK223" i="82"/>
  <c r="BI223" i="82"/>
  <c r="BH223" i="82"/>
  <c r="BG223" i="82"/>
  <c r="BE223" i="82"/>
  <c r="T223" i="82"/>
  <c r="R223" i="82"/>
  <c r="P223" i="82"/>
  <c r="J223" i="82"/>
  <c r="BF223" i="82" s="1"/>
  <c r="BK222" i="82"/>
  <c r="BI222" i="82"/>
  <c r="BH222" i="82"/>
  <c r="BG222" i="82"/>
  <c r="BF222" i="82"/>
  <c r="BE222" i="82"/>
  <c r="T222" i="82"/>
  <c r="R222" i="82"/>
  <c r="P222" i="82"/>
  <c r="J222" i="82"/>
  <c r="BK221" i="82"/>
  <c r="BI221" i="82"/>
  <c r="BH221" i="82"/>
  <c r="BG221" i="82"/>
  <c r="BF221" i="82"/>
  <c r="BE221" i="82"/>
  <c r="T221" i="82"/>
  <c r="R221" i="82"/>
  <c r="P221" i="82"/>
  <c r="J221" i="82"/>
  <c r="BK220" i="82"/>
  <c r="BI220" i="82"/>
  <c r="BH220" i="82"/>
  <c r="BG220" i="82"/>
  <c r="BE220" i="82"/>
  <c r="T220" i="82"/>
  <c r="R220" i="82"/>
  <c r="P220" i="82"/>
  <c r="J220" i="82"/>
  <c r="BF220" i="82" s="1"/>
  <c r="BK219" i="82"/>
  <c r="BI219" i="82"/>
  <c r="BH219" i="82"/>
  <c r="BG219" i="82"/>
  <c r="BE219" i="82"/>
  <c r="T219" i="82"/>
  <c r="R219" i="82"/>
  <c r="P219" i="82"/>
  <c r="J219" i="82"/>
  <c r="BF219" i="82" s="1"/>
  <c r="BK218" i="82"/>
  <c r="BI218" i="82"/>
  <c r="BH218" i="82"/>
  <c r="BG218" i="82"/>
  <c r="BF218" i="82"/>
  <c r="BE218" i="82"/>
  <c r="T218" i="82"/>
  <c r="R218" i="82"/>
  <c r="P218" i="82"/>
  <c r="J218" i="82"/>
  <c r="BK217" i="82"/>
  <c r="BI217" i="82"/>
  <c r="BH217" i="82"/>
  <c r="BG217" i="82"/>
  <c r="BF217" i="82"/>
  <c r="BE217" i="82"/>
  <c r="T217" i="82"/>
  <c r="R217" i="82"/>
  <c r="P217" i="82"/>
  <c r="J217" i="82"/>
  <c r="BK216" i="82"/>
  <c r="BI216" i="82"/>
  <c r="BH216" i="82"/>
  <c r="BG216" i="82"/>
  <c r="BE216" i="82"/>
  <c r="T216" i="82"/>
  <c r="R216" i="82"/>
  <c r="P216" i="82"/>
  <c r="J216" i="82"/>
  <c r="BF216" i="82" s="1"/>
  <c r="BK215" i="82"/>
  <c r="BI215" i="82"/>
  <c r="BH215" i="82"/>
  <c r="BG215" i="82"/>
  <c r="BE215" i="82"/>
  <c r="T215" i="82"/>
  <c r="R215" i="82"/>
  <c r="P215" i="82"/>
  <c r="J215" i="82"/>
  <c r="BF215" i="82" s="1"/>
  <c r="BK214" i="82"/>
  <c r="BI214" i="82"/>
  <c r="BH214" i="82"/>
  <c r="BG214" i="82"/>
  <c r="BE214" i="82"/>
  <c r="T214" i="82"/>
  <c r="R214" i="82"/>
  <c r="P214" i="82"/>
  <c r="J214" i="82"/>
  <c r="BF214" i="82" s="1"/>
  <c r="BK213" i="82"/>
  <c r="BI213" i="82"/>
  <c r="BH213" i="82"/>
  <c r="BG213" i="82"/>
  <c r="BF213" i="82"/>
  <c r="BE213" i="82"/>
  <c r="T213" i="82"/>
  <c r="R213" i="82"/>
  <c r="P213" i="82"/>
  <c r="J213" i="82"/>
  <c r="BK212" i="82"/>
  <c r="BI212" i="82"/>
  <c r="BH212" i="82"/>
  <c r="BG212" i="82"/>
  <c r="BE212" i="82"/>
  <c r="T212" i="82"/>
  <c r="R212" i="82"/>
  <c r="P212" i="82"/>
  <c r="J212" i="82"/>
  <c r="BF212" i="82" s="1"/>
  <c r="BK211" i="82"/>
  <c r="BI211" i="82"/>
  <c r="BH211" i="82"/>
  <c r="BG211" i="82"/>
  <c r="BE211" i="82"/>
  <c r="T211" i="82"/>
  <c r="R211" i="82"/>
  <c r="P211" i="82"/>
  <c r="J211" i="82"/>
  <c r="BF211" i="82" s="1"/>
  <c r="BK210" i="82"/>
  <c r="BI210" i="82"/>
  <c r="BH210" i="82"/>
  <c r="BG210" i="82"/>
  <c r="BE210" i="82"/>
  <c r="T210" i="82"/>
  <c r="R210" i="82"/>
  <c r="P210" i="82"/>
  <c r="J210" i="82"/>
  <c r="BF210" i="82" s="1"/>
  <c r="BK209" i="82"/>
  <c r="BI209" i="82"/>
  <c r="BH209" i="82"/>
  <c r="BG209" i="82"/>
  <c r="BF209" i="82"/>
  <c r="BE209" i="82"/>
  <c r="T209" i="82"/>
  <c r="R209" i="82"/>
  <c r="P209" i="82"/>
  <c r="J209" i="82"/>
  <c r="BK208" i="82"/>
  <c r="BI208" i="82"/>
  <c r="BH208" i="82"/>
  <c r="BG208" i="82"/>
  <c r="BE208" i="82"/>
  <c r="T208" i="82"/>
  <c r="R208" i="82"/>
  <c r="P208" i="82"/>
  <c r="J208" i="82"/>
  <c r="BF208" i="82" s="1"/>
  <c r="BK207" i="82"/>
  <c r="BI207" i="82"/>
  <c r="BH207" i="82"/>
  <c r="BG207" i="82"/>
  <c r="BE207" i="82"/>
  <c r="T207" i="82"/>
  <c r="R207" i="82"/>
  <c r="P207" i="82"/>
  <c r="J207" i="82"/>
  <c r="BF207" i="82" s="1"/>
  <c r="BK206" i="82"/>
  <c r="BI206" i="82"/>
  <c r="BH206" i="82"/>
  <c r="BG206" i="82"/>
  <c r="BF206" i="82"/>
  <c r="BE206" i="82"/>
  <c r="T206" i="82"/>
  <c r="R206" i="82"/>
  <c r="P206" i="82"/>
  <c r="J206" i="82"/>
  <c r="BK205" i="82"/>
  <c r="BI205" i="82"/>
  <c r="BH205" i="82"/>
  <c r="BG205" i="82"/>
  <c r="BE205" i="82"/>
  <c r="T205" i="82"/>
  <c r="R205" i="82"/>
  <c r="P205" i="82"/>
  <c r="J205" i="82"/>
  <c r="BF205" i="82" s="1"/>
  <c r="BK204" i="82"/>
  <c r="BI204" i="82"/>
  <c r="BH204" i="82"/>
  <c r="BG204" i="82"/>
  <c r="BE204" i="82"/>
  <c r="T204" i="82"/>
  <c r="R204" i="82"/>
  <c r="P204" i="82"/>
  <c r="J204" i="82"/>
  <c r="BF204" i="82" s="1"/>
  <c r="BK203" i="82"/>
  <c r="BI203" i="82"/>
  <c r="BH203" i="82"/>
  <c r="BG203" i="82"/>
  <c r="BE203" i="82"/>
  <c r="T203" i="82"/>
  <c r="R203" i="82"/>
  <c r="P203" i="82"/>
  <c r="J203" i="82"/>
  <c r="BF203" i="82" s="1"/>
  <c r="BK202" i="82"/>
  <c r="BI202" i="82"/>
  <c r="BH202" i="82"/>
  <c r="BG202" i="82"/>
  <c r="BF202" i="82"/>
  <c r="BE202" i="82"/>
  <c r="T202" i="82"/>
  <c r="R202" i="82"/>
  <c r="P202" i="82"/>
  <c r="J202" i="82"/>
  <c r="BK201" i="82"/>
  <c r="BI201" i="82"/>
  <c r="BH201" i="82"/>
  <c r="BG201" i="82"/>
  <c r="BE201" i="82"/>
  <c r="T201" i="82"/>
  <c r="R201" i="82"/>
  <c r="P201" i="82"/>
  <c r="J201" i="82"/>
  <c r="BF201" i="82" s="1"/>
  <c r="BK200" i="82"/>
  <c r="BI200" i="82"/>
  <c r="BH200" i="82"/>
  <c r="BG200" i="82"/>
  <c r="BE200" i="82"/>
  <c r="T200" i="82"/>
  <c r="R200" i="82"/>
  <c r="P200" i="82"/>
  <c r="J200" i="82"/>
  <c r="BF200" i="82" s="1"/>
  <c r="BK199" i="82"/>
  <c r="BI199" i="82"/>
  <c r="BH199" i="82"/>
  <c r="BG199" i="82"/>
  <c r="BE199" i="82"/>
  <c r="T199" i="82"/>
  <c r="R199" i="82"/>
  <c r="P199" i="82"/>
  <c r="J199" i="82"/>
  <c r="BF199" i="82" s="1"/>
  <c r="BK198" i="82"/>
  <c r="BI198" i="82"/>
  <c r="BH198" i="82"/>
  <c r="BG198" i="82"/>
  <c r="BE198" i="82"/>
  <c r="T198" i="82"/>
  <c r="R198" i="82"/>
  <c r="P198" i="82"/>
  <c r="J198" i="82"/>
  <c r="BF198" i="82" s="1"/>
  <c r="BK197" i="82"/>
  <c r="BI197" i="82"/>
  <c r="BH197" i="82"/>
  <c r="BG197" i="82"/>
  <c r="BE197" i="82"/>
  <c r="T197" i="82"/>
  <c r="R197" i="82"/>
  <c r="P197" i="82"/>
  <c r="J197" i="82"/>
  <c r="BF197" i="82" s="1"/>
  <c r="BK196" i="82"/>
  <c r="BI196" i="82"/>
  <c r="BH196" i="82"/>
  <c r="BG196" i="82"/>
  <c r="BF196" i="82"/>
  <c r="BE196" i="82"/>
  <c r="T196" i="82"/>
  <c r="R196" i="82"/>
  <c r="P196" i="82"/>
  <c r="J196" i="82"/>
  <c r="BK195" i="82"/>
  <c r="BI195" i="82"/>
  <c r="BH195" i="82"/>
  <c r="BG195" i="82"/>
  <c r="BE195" i="82"/>
  <c r="T195" i="82"/>
  <c r="R195" i="82"/>
  <c r="P195" i="82"/>
  <c r="J195" i="82"/>
  <c r="BF195" i="82" s="1"/>
  <c r="BK194" i="82"/>
  <c r="BI194" i="82"/>
  <c r="BH194" i="82"/>
  <c r="BG194" i="82"/>
  <c r="BE194" i="82"/>
  <c r="T194" i="82"/>
  <c r="R194" i="82"/>
  <c r="P194" i="82"/>
  <c r="J194" i="82"/>
  <c r="BF194" i="82" s="1"/>
  <c r="BK193" i="82"/>
  <c r="BI193" i="82"/>
  <c r="BH193" i="82"/>
  <c r="BG193" i="82"/>
  <c r="BE193" i="82"/>
  <c r="T193" i="82"/>
  <c r="R193" i="82"/>
  <c r="P193" i="82"/>
  <c r="J193" i="82"/>
  <c r="BF193" i="82" s="1"/>
  <c r="BK192" i="82"/>
  <c r="BK190" i="82" s="1"/>
  <c r="BI192" i="82"/>
  <c r="BH192" i="82"/>
  <c r="BG192" i="82"/>
  <c r="BE192" i="82"/>
  <c r="T192" i="82"/>
  <c r="R192" i="82"/>
  <c r="P192" i="82"/>
  <c r="J192" i="82"/>
  <c r="BF192" i="82" s="1"/>
  <c r="BK191" i="82"/>
  <c r="BI191" i="82"/>
  <c r="BH191" i="82"/>
  <c r="BG191" i="82"/>
  <c r="BE191" i="82"/>
  <c r="T191" i="82"/>
  <c r="R191" i="82"/>
  <c r="P191" i="82"/>
  <c r="P190" i="82" s="1"/>
  <c r="P189" i="82" s="1"/>
  <c r="J191" i="82"/>
  <c r="BF191" i="82" s="1"/>
  <c r="R190" i="82"/>
  <c r="BK188" i="82"/>
  <c r="BI188" i="82"/>
  <c r="BH188" i="82"/>
  <c r="BG188" i="82"/>
  <c r="BE188" i="82"/>
  <c r="T188" i="82"/>
  <c r="R188" i="82"/>
  <c r="P188" i="82"/>
  <c r="J188" i="82"/>
  <c r="BF188" i="82" s="1"/>
  <c r="BK187" i="82"/>
  <c r="BI187" i="82"/>
  <c r="BH187" i="82"/>
  <c r="BG187" i="82"/>
  <c r="BF187" i="82"/>
  <c r="BE187" i="82"/>
  <c r="T187" i="82"/>
  <c r="R187" i="82"/>
  <c r="P187" i="82"/>
  <c r="J187" i="82"/>
  <c r="BK186" i="82"/>
  <c r="BI186" i="82"/>
  <c r="BH186" i="82"/>
  <c r="BG186" i="82"/>
  <c r="BE186" i="82"/>
  <c r="T186" i="82"/>
  <c r="T182" i="82" s="1"/>
  <c r="T181" i="82" s="1"/>
  <c r="R186" i="82"/>
  <c r="P186" i="82"/>
  <c r="J186" i="82"/>
  <c r="BF186" i="82" s="1"/>
  <c r="BK185" i="82"/>
  <c r="BI185" i="82"/>
  <c r="BH185" i="82"/>
  <c r="BG185" i="82"/>
  <c r="BE185" i="82"/>
  <c r="T185" i="82"/>
  <c r="R185" i="82"/>
  <c r="P185" i="82"/>
  <c r="J185" i="82"/>
  <c r="BF185" i="82" s="1"/>
  <c r="BK184" i="82"/>
  <c r="BI184" i="82"/>
  <c r="BH184" i="82"/>
  <c r="BG184" i="82"/>
  <c r="BF184" i="82"/>
  <c r="BE184" i="82"/>
  <c r="T184" i="82"/>
  <c r="R184" i="82"/>
  <c r="P184" i="82"/>
  <c r="J184" i="82"/>
  <c r="BK183" i="82"/>
  <c r="BI183" i="82"/>
  <c r="BH183" i="82"/>
  <c r="BG183" i="82"/>
  <c r="BF183" i="82"/>
  <c r="BE183" i="82"/>
  <c r="T183" i="82"/>
  <c r="R183" i="82"/>
  <c r="P183" i="82"/>
  <c r="P182" i="82" s="1"/>
  <c r="P181" i="82" s="1"/>
  <c r="J183" i="82"/>
  <c r="R182" i="82"/>
  <c r="R181" i="82" s="1"/>
  <c r="BK180" i="82"/>
  <c r="BI180" i="82"/>
  <c r="BH180" i="82"/>
  <c r="BG180" i="82"/>
  <c r="BE180" i="82"/>
  <c r="T180" i="82"/>
  <c r="R180" i="82"/>
  <c r="P180" i="82"/>
  <c r="J180" i="82"/>
  <c r="BF180" i="82" s="1"/>
  <c r="BK179" i="82"/>
  <c r="BI179" i="82"/>
  <c r="BH179" i="82"/>
  <c r="BG179" i="82"/>
  <c r="BE179" i="82"/>
  <c r="T179" i="82"/>
  <c r="R179" i="82"/>
  <c r="P179" i="82"/>
  <c r="J179" i="82"/>
  <c r="BF179" i="82" s="1"/>
  <c r="BK178" i="82"/>
  <c r="BI178" i="82"/>
  <c r="BH178" i="82"/>
  <c r="BG178" i="82"/>
  <c r="BF178" i="82"/>
  <c r="BE178" i="82"/>
  <c r="T178" i="82"/>
  <c r="R178" i="82"/>
  <c r="P178" i="82"/>
  <c r="J178" i="82"/>
  <c r="BI177" i="82"/>
  <c r="BH177" i="82"/>
  <c r="BG177" i="82"/>
  <c r="BE177" i="82"/>
  <c r="BI176" i="82"/>
  <c r="BH176" i="82"/>
  <c r="BG176" i="82"/>
  <c r="BE176" i="82"/>
  <c r="BI175" i="82"/>
  <c r="BH175" i="82"/>
  <c r="BG175" i="82"/>
  <c r="BE175" i="82"/>
  <c r="BI173" i="82"/>
  <c r="BH173" i="82"/>
  <c r="BG173" i="82"/>
  <c r="BE173" i="82"/>
  <c r="BI172" i="82"/>
  <c r="BH172" i="82"/>
  <c r="BG172" i="82"/>
  <c r="BE172" i="82"/>
  <c r="BI171" i="82"/>
  <c r="BH171" i="82"/>
  <c r="BG171" i="82"/>
  <c r="BE171" i="82"/>
  <c r="BI170" i="82"/>
  <c r="BH170" i="82"/>
  <c r="BG170" i="82"/>
  <c r="BE170" i="82"/>
  <c r="BI169" i="82"/>
  <c r="BH169" i="82"/>
  <c r="BG169" i="82"/>
  <c r="BE169" i="82"/>
  <c r="BK168" i="82"/>
  <c r="BI168" i="82"/>
  <c r="BH168" i="82"/>
  <c r="BG168" i="82"/>
  <c r="BE168" i="82"/>
  <c r="T168" i="82"/>
  <c r="R168" i="82"/>
  <c r="P168" i="82"/>
  <c r="J168" i="82"/>
  <c r="BF168" i="82" s="1"/>
  <c r="BK167" i="82"/>
  <c r="BI167" i="82"/>
  <c r="BH167" i="82"/>
  <c r="BG167" i="82"/>
  <c r="BE167" i="82"/>
  <c r="T167" i="82"/>
  <c r="R167" i="82"/>
  <c r="P167" i="82"/>
  <c r="J167" i="82"/>
  <c r="BF167" i="82" s="1"/>
  <c r="BK166" i="82"/>
  <c r="BI166" i="82"/>
  <c r="BH166" i="82"/>
  <c r="BG166" i="82"/>
  <c r="BE166" i="82"/>
  <c r="T166" i="82"/>
  <c r="R166" i="82"/>
  <c r="P166" i="82"/>
  <c r="J166" i="82"/>
  <c r="BF166" i="82" s="1"/>
  <c r="BK164" i="82"/>
  <c r="BK161" i="82" s="1"/>
  <c r="J161" i="82" s="1"/>
  <c r="J101" i="82" s="1"/>
  <c r="BI164" i="82"/>
  <c r="BH164" i="82"/>
  <c r="BG164" i="82"/>
  <c r="BE164" i="82"/>
  <c r="T164" i="82"/>
  <c r="T161" i="82" s="1"/>
  <c r="R164" i="82"/>
  <c r="P164" i="82"/>
  <c r="J164" i="82"/>
  <c r="BF164" i="82" s="1"/>
  <c r="BK163" i="82"/>
  <c r="BI163" i="82"/>
  <c r="BH163" i="82"/>
  <c r="BG163" i="82"/>
  <c r="BF163" i="82"/>
  <c r="BE163" i="82"/>
  <c r="T163" i="82"/>
  <c r="R163" i="82"/>
  <c r="P163" i="82"/>
  <c r="J163" i="82"/>
  <c r="BK162" i="82"/>
  <c r="BI162" i="82"/>
  <c r="BH162" i="82"/>
  <c r="BG162" i="82"/>
  <c r="BE162" i="82"/>
  <c r="T162" i="82"/>
  <c r="R162" i="82"/>
  <c r="P162" i="82"/>
  <c r="P161" i="82" s="1"/>
  <c r="J162" i="82"/>
  <c r="BF162" i="82" s="1"/>
  <c r="R161" i="82"/>
  <c r="BK160" i="82"/>
  <c r="BI160" i="82"/>
  <c r="BH160" i="82"/>
  <c r="BG160" i="82"/>
  <c r="BE160" i="82"/>
  <c r="T160" i="82"/>
  <c r="R160" i="82"/>
  <c r="P160" i="82"/>
  <c r="J160" i="82"/>
  <c r="BF160" i="82" s="1"/>
  <c r="BK159" i="82"/>
  <c r="BI159" i="82"/>
  <c r="BH159" i="82"/>
  <c r="BG159" i="82"/>
  <c r="BE159" i="82"/>
  <c r="T159" i="82"/>
  <c r="R159" i="82"/>
  <c r="P159" i="82"/>
  <c r="J159" i="82"/>
  <c r="BF159" i="82" s="1"/>
  <c r="BK158" i="82"/>
  <c r="BI158" i="82"/>
  <c r="BH158" i="82"/>
  <c r="BG158" i="82"/>
  <c r="BE158" i="82"/>
  <c r="T158" i="82"/>
  <c r="R158" i="82"/>
  <c r="P158" i="82"/>
  <c r="J158" i="82"/>
  <c r="BF158" i="82" s="1"/>
  <c r="BK157" i="82"/>
  <c r="BI157" i="82"/>
  <c r="BH157" i="82"/>
  <c r="BG157" i="82"/>
  <c r="BF157" i="82"/>
  <c r="BE157" i="82"/>
  <c r="T157" i="82"/>
  <c r="R157" i="82"/>
  <c r="P157" i="82"/>
  <c r="J157" i="82"/>
  <c r="BK156" i="82"/>
  <c r="BI156" i="82"/>
  <c r="BH156" i="82"/>
  <c r="BG156" i="82"/>
  <c r="BE156" i="82"/>
  <c r="T156" i="82"/>
  <c r="R156" i="82"/>
  <c r="P156" i="82"/>
  <c r="J156" i="82"/>
  <c r="BF156" i="82" s="1"/>
  <c r="BK155" i="82"/>
  <c r="BI155" i="82"/>
  <c r="BH155" i="82"/>
  <c r="BG155" i="82"/>
  <c r="BE155" i="82"/>
  <c r="T155" i="82"/>
  <c r="R155" i="82"/>
  <c r="P155" i="82"/>
  <c r="J155" i="82"/>
  <c r="BF155" i="82" s="1"/>
  <c r="BK154" i="82"/>
  <c r="BI154" i="82"/>
  <c r="BH154" i="82"/>
  <c r="BG154" i="82"/>
  <c r="BE154" i="82"/>
  <c r="T154" i="82"/>
  <c r="R154" i="82"/>
  <c r="R150" i="82" s="1"/>
  <c r="P154" i="82"/>
  <c r="J154" i="82"/>
  <c r="BF154" i="82" s="1"/>
  <c r="BK153" i="82"/>
  <c r="BI153" i="82"/>
  <c r="BH153" i="82"/>
  <c r="BG153" i="82"/>
  <c r="BE153" i="82"/>
  <c r="T153" i="82"/>
  <c r="R153" i="82"/>
  <c r="P153" i="82"/>
  <c r="J153" i="82"/>
  <c r="BF153" i="82" s="1"/>
  <c r="BK152" i="82"/>
  <c r="BI152" i="82"/>
  <c r="BH152" i="82"/>
  <c r="BG152" i="82"/>
  <c r="BE152" i="82"/>
  <c r="T152" i="82"/>
  <c r="R152" i="82"/>
  <c r="P152" i="82"/>
  <c r="J152" i="82"/>
  <c r="BF152" i="82" s="1"/>
  <c r="BK151" i="82"/>
  <c r="BK150" i="82" s="1"/>
  <c r="J150" i="82" s="1"/>
  <c r="J100" i="82" s="1"/>
  <c r="BI151" i="82"/>
  <c r="BH151" i="82"/>
  <c r="BG151" i="82"/>
  <c r="BE151" i="82"/>
  <c r="T151" i="82"/>
  <c r="T150" i="82" s="1"/>
  <c r="R151" i="82"/>
  <c r="P151" i="82"/>
  <c r="P150" i="82" s="1"/>
  <c r="J151" i="82"/>
  <c r="BF151" i="82" s="1"/>
  <c r="BK149" i="82"/>
  <c r="BI149" i="82"/>
  <c r="BH149" i="82"/>
  <c r="BG149" i="82"/>
  <c r="BE149" i="82"/>
  <c r="T149" i="82"/>
  <c r="R149" i="82"/>
  <c r="P149" i="82"/>
  <c r="J149" i="82"/>
  <c r="BF149" i="82" s="1"/>
  <c r="BK148" i="82"/>
  <c r="BI148" i="82"/>
  <c r="BH148" i="82"/>
  <c r="BG148" i="82"/>
  <c r="BE148" i="82"/>
  <c r="T148" i="82"/>
  <c r="R148" i="82"/>
  <c r="P148" i="82"/>
  <c r="J148" i="82"/>
  <c r="BF148" i="82" s="1"/>
  <c r="BK147" i="82"/>
  <c r="BI147" i="82"/>
  <c r="BH147" i="82"/>
  <c r="BG147" i="82"/>
  <c r="BE147" i="82"/>
  <c r="T147" i="82"/>
  <c r="T143" i="82" s="1"/>
  <c r="R147" i="82"/>
  <c r="P147" i="82"/>
  <c r="J147" i="82"/>
  <c r="BF147" i="82" s="1"/>
  <c r="BK146" i="82"/>
  <c r="BI146" i="82"/>
  <c r="BH146" i="82"/>
  <c r="BG146" i="82"/>
  <c r="BE146" i="82"/>
  <c r="T146" i="82"/>
  <c r="R146" i="82"/>
  <c r="P146" i="82"/>
  <c r="J146" i="82"/>
  <c r="BF146" i="82" s="1"/>
  <c r="BK145" i="82"/>
  <c r="BI145" i="82"/>
  <c r="BH145" i="82"/>
  <c r="BG145" i="82"/>
  <c r="BE145" i="82"/>
  <c r="T145" i="82"/>
  <c r="R145" i="82"/>
  <c r="P145" i="82"/>
  <c r="J145" i="82"/>
  <c r="BF145" i="82" s="1"/>
  <c r="BK144" i="82"/>
  <c r="BK143" i="82" s="1"/>
  <c r="J143" i="82" s="1"/>
  <c r="J99" i="82" s="1"/>
  <c r="BI144" i="82"/>
  <c r="BH144" i="82"/>
  <c r="BG144" i="82"/>
  <c r="BE144" i="82"/>
  <c r="T144" i="82"/>
  <c r="R144" i="82"/>
  <c r="P144" i="82"/>
  <c r="P143" i="82" s="1"/>
  <c r="J144" i="82"/>
  <c r="BF144" i="82" s="1"/>
  <c r="R143" i="82"/>
  <c r="BI142" i="82"/>
  <c r="BH142" i="82"/>
  <c r="BG142" i="82"/>
  <c r="BE142" i="82"/>
  <c r="BK141" i="82"/>
  <c r="BI141" i="82"/>
  <c r="BH141" i="82"/>
  <c r="BG141" i="82"/>
  <c r="BE141" i="82"/>
  <c r="T141" i="82"/>
  <c r="R141" i="82"/>
  <c r="P141" i="82"/>
  <c r="J141" i="82"/>
  <c r="BF141" i="82" s="1"/>
  <c r="BK140" i="82"/>
  <c r="BI140" i="82"/>
  <c r="BH140" i="82"/>
  <c r="BG140" i="82"/>
  <c r="BE140" i="82"/>
  <c r="T140" i="82"/>
  <c r="R140" i="82"/>
  <c r="P140" i="82"/>
  <c r="J140" i="82"/>
  <c r="BF140" i="82" s="1"/>
  <c r="BK139" i="82"/>
  <c r="BI139" i="82"/>
  <c r="BH139" i="82"/>
  <c r="BG139" i="82"/>
  <c r="BF139" i="82"/>
  <c r="BE139" i="82"/>
  <c r="T139" i="82"/>
  <c r="R139" i="82"/>
  <c r="P139" i="82"/>
  <c r="J139" i="82"/>
  <c r="BK138" i="82"/>
  <c r="BI138" i="82"/>
  <c r="BH138" i="82"/>
  <c r="BG138" i="82"/>
  <c r="BE138" i="82"/>
  <c r="T138" i="82"/>
  <c r="R138" i="82"/>
  <c r="P138" i="82"/>
  <c r="J138" i="82"/>
  <c r="BF138" i="82" s="1"/>
  <c r="BK137" i="82"/>
  <c r="BI137" i="82"/>
  <c r="BH137" i="82"/>
  <c r="BG137" i="82"/>
  <c r="BE137" i="82"/>
  <c r="T137" i="82"/>
  <c r="R137" i="82"/>
  <c r="P137" i="82"/>
  <c r="J137" i="82"/>
  <c r="BF137" i="82" s="1"/>
  <c r="BK136" i="82"/>
  <c r="BI136" i="82"/>
  <c r="BH136" i="82"/>
  <c r="BG136" i="82"/>
  <c r="BE136" i="82"/>
  <c r="T136" i="82"/>
  <c r="R136" i="82"/>
  <c r="P136" i="82"/>
  <c r="J136" i="82"/>
  <c r="BF136" i="82" s="1"/>
  <c r="J130" i="82"/>
  <c r="F130" i="82"/>
  <c r="J129" i="82"/>
  <c r="F129" i="82"/>
  <c r="F127" i="82"/>
  <c r="E125" i="82"/>
  <c r="J92" i="82"/>
  <c r="F92" i="82"/>
  <c r="J91" i="82"/>
  <c r="F91" i="82"/>
  <c r="F89" i="82"/>
  <c r="E87" i="82"/>
  <c r="J39" i="82"/>
  <c r="J38" i="82"/>
  <c r="J37" i="82"/>
  <c r="J31" i="82"/>
  <c r="J12" i="82"/>
  <c r="J89" i="82" s="1"/>
  <c r="E7" i="82"/>
  <c r="E85" i="82" s="1"/>
  <c r="BK247" i="81"/>
  <c r="BI247" i="81"/>
  <c r="BH247" i="81"/>
  <c r="BG247" i="81"/>
  <c r="BE247" i="81"/>
  <c r="T247" i="81"/>
  <c r="R247" i="81"/>
  <c r="P247" i="81"/>
  <c r="J247" i="81"/>
  <c r="BF247" i="81" s="1"/>
  <c r="BK246" i="81"/>
  <c r="BK244" i="81" s="1"/>
  <c r="J244" i="81" s="1"/>
  <c r="J109" i="81" s="1"/>
  <c r="BI246" i="81"/>
  <c r="BH246" i="81"/>
  <c r="BG246" i="81"/>
  <c r="BE246" i="81"/>
  <c r="T246" i="81"/>
  <c r="R246" i="81"/>
  <c r="P246" i="81"/>
  <c r="J246" i="81"/>
  <c r="BF246" i="81" s="1"/>
  <c r="BK245" i="81"/>
  <c r="BI245" i="81"/>
  <c r="BH245" i="81"/>
  <c r="BG245" i="81"/>
  <c r="BE245" i="81"/>
  <c r="T245" i="81"/>
  <c r="T244" i="81" s="1"/>
  <c r="R245" i="81"/>
  <c r="P245" i="81"/>
  <c r="J245" i="81"/>
  <c r="BF245" i="81" s="1"/>
  <c r="R244" i="81"/>
  <c r="P244" i="81"/>
  <c r="BK243" i="81"/>
  <c r="BI243" i="81"/>
  <c r="BH243" i="81"/>
  <c r="BG243" i="81"/>
  <c r="BE243" i="81"/>
  <c r="T243" i="81"/>
  <c r="R243" i="81"/>
  <c r="P243" i="81"/>
  <c r="J243" i="81"/>
  <c r="BF243" i="81" s="1"/>
  <c r="BK242" i="81"/>
  <c r="BI242" i="81"/>
  <c r="BH242" i="81"/>
  <c r="BG242" i="81"/>
  <c r="BE242" i="81"/>
  <c r="T242" i="81"/>
  <c r="R242" i="81"/>
  <c r="P242" i="81"/>
  <c r="J242" i="81"/>
  <c r="BF242" i="81" s="1"/>
  <c r="BK241" i="81"/>
  <c r="BI241" i="81"/>
  <c r="BH241" i="81"/>
  <c r="BG241" i="81"/>
  <c r="BE241" i="81"/>
  <c r="T241" i="81"/>
  <c r="R241" i="81"/>
  <c r="P241" i="81"/>
  <c r="J241" i="81"/>
  <c r="BF241" i="81" s="1"/>
  <c r="BK240" i="81"/>
  <c r="BI240" i="81"/>
  <c r="BH240" i="81"/>
  <c r="BG240" i="81"/>
  <c r="BF240" i="81"/>
  <c r="BE240" i="81"/>
  <c r="T240" i="81"/>
  <c r="R240" i="81"/>
  <c r="P240" i="81"/>
  <c r="J240" i="81"/>
  <c r="BK239" i="81"/>
  <c r="BI239" i="81"/>
  <c r="BH239" i="81"/>
  <c r="BG239" i="81"/>
  <c r="BE239" i="81"/>
  <c r="T239" i="81"/>
  <c r="R239" i="81"/>
  <c r="P239" i="81"/>
  <c r="J239" i="81"/>
  <c r="BF239" i="81" s="1"/>
  <c r="BK238" i="81"/>
  <c r="BI238" i="81"/>
  <c r="BH238" i="81"/>
  <c r="BG238" i="81"/>
  <c r="BE238" i="81"/>
  <c r="T238" i="81"/>
  <c r="R238" i="81"/>
  <c r="P238" i="81"/>
  <c r="J238" i="81"/>
  <c r="BF238" i="81" s="1"/>
  <c r="BK237" i="81"/>
  <c r="BI237" i="81"/>
  <c r="BH237" i="81"/>
  <c r="BG237" i="81"/>
  <c r="BE237" i="81"/>
  <c r="T237" i="81"/>
  <c r="R237" i="81"/>
  <c r="P237" i="81"/>
  <c r="J237" i="81"/>
  <c r="BF237" i="81" s="1"/>
  <c r="BK236" i="81"/>
  <c r="BI236" i="81"/>
  <c r="BH236" i="81"/>
  <c r="BG236" i="81"/>
  <c r="BE236" i="81"/>
  <c r="T236" i="81"/>
  <c r="R236" i="81"/>
  <c r="P236" i="81"/>
  <c r="J236" i="81"/>
  <c r="BF236" i="81" s="1"/>
  <c r="BK235" i="81"/>
  <c r="BI235" i="81"/>
  <c r="BH235" i="81"/>
  <c r="BG235" i="81"/>
  <c r="BF235" i="81"/>
  <c r="BE235" i="81"/>
  <c r="T235" i="81"/>
  <c r="R235" i="81"/>
  <c r="P235" i="81"/>
  <c r="J235" i="81"/>
  <c r="BK234" i="81"/>
  <c r="BI234" i="81"/>
  <c r="BH234" i="81"/>
  <c r="BG234" i="81"/>
  <c r="BE234" i="81"/>
  <c r="T234" i="81"/>
  <c r="R234" i="81"/>
  <c r="P234" i="81"/>
  <c r="J234" i="81"/>
  <c r="BF234" i="81" s="1"/>
  <c r="BK233" i="81"/>
  <c r="BI233" i="81"/>
  <c r="BH233" i="81"/>
  <c r="BG233" i="81"/>
  <c r="BE233" i="81"/>
  <c r="T233" i="81"/>
  <c r="R233" i="81"/>
  <c r="P233" i="81"/>
  <c r="J233" i="81"/>
  <c r="BF233" i="81" s="1"/>
  <c r="BK232" i="81"/>
  <c r="BI232" i="81"/>
  <c r="BH232" i="81"/>
  <c r="BG232" i="81"/>
  <c r="BF232" i="81"/>
  <c r="BE232" i="81"/>
  <c r="T232" i="81"/>
  <c r="R232" i="81"/>
  <c r="P232" i="81"/>
  <c r="J232" i="81"/>
  <c r="BK231" i="81"/>
  <c r="BI231" i="81"/>
  <c r="BH231" i="81"/>
  <c r="BG231" i="81"/>
  <c r="BE231" i="81"/>
  <c r="T231" i="81"/>
  <c r="R231" i="81"/>
  <c r="P231" i="81"/>
  <c r="J231" i="81"/>
  <c r="BF231" i="81" s="1"/>
  <c r="BK230" i="81"/>
  <c r="BI230" i="81"/>
  <c r="BH230" i="81"/>
  <c r="BG230" i="81"/>
  <c r="BE230" i="81"/>
  <c r="T230" i="81"/>
  <c r="R230" i="81"/>
  <c r="P230" i="81"/>
  <c r="J230" i="81"/>
  <c r="BF230" i="81" s="1"/>
  <c r="BK229" i="81"/>
  <c r="BI229" i="81"/>
  <c r="BH229" i="81"/>
  <c r="BG229" i="81"/>
  <c r="BE229" i="81"/>
  <c r="T229" i="81"/>
  <c r="R229" i="81"/>
  <c r="R228" i="81" s="1"/>
  <c r="P229" i="81"/>
  <c r="P228" i="81" s="1"/>
  <c r="J229" i="81"/>
  <c r="BF229" i="81" s="1"/>
  <c r="BK227" i="81"/>
  <c r="BI227" i="81"/>
  <c r="BH227" i="81"/>
  <c r="BG227" i="81"/>
  <c r="BE227" i="81"/>
  <c r="T227" i="81"/>
  <c r="R227" i="81"/>
  <c r="P227" i="81"/>
  <c r="J227" i="81"/>
  <c r="BF227" i="81" s="1"/>
  <c r="BK226" i="81"/>
  <c r="BI226" i="81"/>
  <c r="BH226" i="81"/>
  <c r="BG226" i="81"/>
  <c r="BE226" i="81"/>
  <c r="T226" i="81"/>
  <c r="R226" i="81"/>
  <c r="P226" i="81"/>
  <c r="J226" i="81"/>
  <c r="BF226" i="81" s="1"/>
  <c r="BK225" i="81"/>
  <c r="BI225" i="81"/>
  <c r="BH225" i="81"/>
  <c r="BG225" i="81"/>
  <c r="BE225" i="81"/>
  <c r="T225" i="81"/>
  <c r="R225" i="81"/>
  <c r="P225" i="81"/>
  <c r="J225" i="81"/>
  <c r="BF225" i="81" s="1"/>
  <c r="BK224" i="81"/>
  <c r="BI224" i="81"/>
  <c r="BH224" i="81"/>
  <c r="BG224" i="81"/>
  <c r="BE224" i="81"/>
  <c r="T224" i="81"/>
  <c r="R224" i="81"/>
  <c r="P224" i="81"/>
  <c r="J224" i="81"/>
  <c r="BF224" i="81" s="1"/>
  <c r="BK223" i="81"/>
  <c r="BI223" i="81"/>
  <c r="BH223" i="81"/>
  <c r="BG223" i="81"/>
  <c r="BE223" i="81"/>
  <c r="T223" i="81"/>
  <c r="R223" i="81"/>
  <c r="P223" i="81"/>
  <c r="J223" i="81"/>
  <c r="BF223" i="81" s="1"/>
  <c r="BK222" i="81"/>
  <c r="BI222" i="81"/>
  <c r="BH222" i="81"/>
  <c r="BG222" i="81"/>
  <c r="BE222" i="81"/>
  <c r="T222" i="81"/>
  <c r="R222" i="81"/>
  <c r="P222" i="81"/>
  <c r="J222" i="81"/>
  <c r="BF222" i="81" s="1"/>
  <c r="BK221" i="81"/>
  <c r="BI221" i="81"/>
  <c r="BH221" i="81"/>
  <c r="BG221" i="81"/>
  <c r="BE221" i="81"/>
  <c r="T221" i="81"/>
  <c r="R221" i="81"/>
  <c r="P221" i="81"/>
  <c r="J221" i="81"/>
  <c r="BF221" i="81" s="1"/>
  <c r="BK220" i="81"/>
  <c r="BI220" i="81"/>
  <c r="BH220" i="81"/>
  <c r="BG220" i="81"/>
  <c r="BE220" i="81"/>
  <c r="T220" i="81"/>
  <c r="R220" i="81"/>
  <c r="P220" i="81"/>
  <c r="J220" i="81"/>
  <c r="BF220" i="81" s="1"/>
  <c r="BK219" i="81"/>
  <c r="BI219" i="81"/>
  <c r="BH219" i="81"/>
  <c r="BG219" i="81"/>
  <c r="BE219" i="81"/>
  <c r="T219" i="81"/>
  <c r="R219" i="81"/>
  <c r="P219" i="81"/>
  <c r="J219" i="81"/>
  <c r="BF219" i="81" s="1"/>
  <c r="BK218" i="81"/>
  <c r="BI218" i="81"/>
  <c r="BH218" i="81"/>
  <c r="BG218" i="81"/>
  <c r="BE218" i="81"/>
  <c r="T218" i="81"/>
  <c r="R218" i="81"/>
  <c r="P218" i="81"/>
  <c r="J218" i="81"/>
  <c r="BF218" i="81" s="1"/>
  <c r="BK217" i="81"/>
  <c r="BI217" i="81"/>
  <c r="BH217" i="81"/>
  <c r="BG217" i="81"/>
  <c r="BF217" i="81"/>
  <c r="BE217" i="81"/>
  <c r="T217" i="81"/>
  <c r="R217" i="81"/>
  <c r="P217" i="81"/>
  <c r="J217" i="81"/>
  <c r="BK216" i="81"/>
  <c r="BI216" i="81"/>
  <c r="BH216" i="81"/>
  <c r="BG216" i="81"/>
  <c r="BE216" i="81"/>
  <c r="T216" i="81"/>
  <c r="R216" i="81"/>
  <c r="P216" i="81"/>
  <c r="J216" i="81"/>
  <c r="BF216" i="81" s="1"/>
  <c r="BK215" i="81"/>
  <c r="BI215" i="81"/>
  <c r="BH215" i="81"/>
  <c r="BG215" i="81"/>
  <c r="BE215" i="81"/>
  <c r="T215" i="81"/>
  <c r="R215" i="81"/>
  <c r="P215" i="81"/>
  <c r="J215" i="81"/>
  <c r="BF215" i="81" s="1"/>
  <c r="BK214" i="81"/>
  <c r="BI214" i="81"/>
  <c r="BH214" i="81"/>
  <c r="BG214" i="81"/>
  <c r="BE214" i="81"/>
  <c r="T214" i="81"/>
  <c r="R214" i="81"/>
  <c r="P214" i="81"/>
  <c r="J214" i="81"/>
  <c r="BF214" i="81" s="1"/>
  <c r="BK213" i="81"/>
  <c r="BI213" i="81"/>
  <c r="BH213" i="81"/>
  <c r="BG213" i="81"/>
  <c r="BE213" i="81"/>
  <c r="T213" i="81"/>
  <c r="R213" i="81"/>
  <c r="P213" i="81"/>
  <c r="J213" i="81"/>
  <c r="BF213" i="81" s="1"/>
  <c r="BK212" i="81"/>
  <c r="BI212" i="81"/>
  <c r="BH212" i="81"/>
  <c r="BG212" i="81"/>
  <c r="BE212" i="81"/>
  <c r="T212" i="81"/>
  <c r="R212" i="81"/>
  <c r="P212" i="81"/>
  <c r="J212" i="81"/>
  <c r="BF212" i="81" s="1"/>
  <c r="BK211" i="81"/>
  <c r="BI211" i="81"/>
  <c r="BH211" i="81"/>
  <c r="BG211" i="81"/>
  <c r="BE211" i="81"/>
  <c r="T211" i="81"/>
  <c r="R211" i="81"/>
  <c r="P211" i="81"/>
  <c r="J211" i="81"/>
  <c r="BF211" i="81" s="1"/>
  <c r="BK210" i="81"/>
  <c r="BI210" i="81"/>
  <c r="BH210" i="81"/>
  <c r="BG210" i="81"/>
  <c r="BE210" i="81"/>
  <c r="T210" i="81"/>
  <c r="R210" i="81"/>
  <c r="P210" i="81"/>
  <c r="J210" i="81"/>
  <c r="BF210" i="81" s="1"/>
  <c r="BK209" i="81"/>
  <c r="BI209" i="81"/>
  <c r="BH209" i="81"/>
  <c r="BG209" i="81"/>
  <c r="BE209" i="81"/>
  <c r="T209" i="81"/>
  <c r="R209" i="81"/>
  <c r="P209" i="81"/>
  <c r="J209" i="81"/>
  <c r="BF209" i="81" s="1"/>
  <c r="BK208" i="81"/>
  <c r="BI208" i="81"/>
  <c r="BH208" i="81"/>
  <c r="BG208" i="81"/>
  <c r="BE208" i="81"/>
  <c r="T208" i="81"/>
  <c r="R208" i="81"/>
  <c r="P208" i="81"/>
  <c r="J208" i="81"/>
  <c r="BF208" i="81" s="1"/>
  <c r="BK207" i="81"/>
  <c r="BI207" i="81"/>
  <c r="BH207" i="81"/>
  <c r="BG207" i="81"/>
  <c r="BE207" i="81"/>
  <c r="T207" i="81"/>
  <c r="R207" i="81"/>
  <c r="P207" i="81"/>
  <c r="J207" i="81"/>
  <c r="BF207" i="81" s="1"/>
  <c r="BK206" i="81"/>
  <c r="BI206" i="81"/>
  <c r="BH206" i="81"/>
  <c r="BG206" i="81"/>
  <c r="BE206" i="81"/>
  <c r="T206" i="81"/>
  <c r="R206" i="81"/>
  <c r="P206" i="81"/>
  <c r="J206" i="81"/>
  <c r="BF206" i="81" s="1"/>
  <c r="BK205" i="81"/>
  <c r="BI205" i="81"/>
  <c r="BH205" i="81"/>
  <c r="BG205" i="81"/>
  <c r="BE205" i="81"/>
  <c r="T205" i="81"/>
  <c r="R205" i="81"/>
  <c r="P205" i="81"/>
  <c r="J205" i="81"/>
  <c r="BF205" i="81" s="1"/>
  <c r="BK204" i="81"/>
  <c r="BI204" i="81"/>
  <c r="BH204" i="81"/>
  <c r="BG204" i="81"/>
  <c r="BE204" i="81"/>
  <c r="T204" i="81"/>
  <c r="R204" i="81"/>
  <c r="P204" i="81"/>
  <c r="J204" i="81"/>
  <c r="BF204" i="81" s="1"/>
  <c r="BK203" i="81"/>
  <c r="BI203" i="81"/>
  <c r="BH203" i="81"/>
  <c r="BG203" i="81"/>
  <c r="BE203" i="81"/>
  <c r="T203" i="81"/>
  <c r="R203" i="81"/>
  <c r="P203" i="81"/>
  <c r="J203" i="81"/>
  <c r="BF203" i="81" s="1"/>
  <c r="BK202" i="81"/>
  <c r="BI202" i="81"/>
  <c r="BH202" i="81"/>
  <c r="BG202" i="81"/>
  <c r="BE202" i="81"/>
  <c r="T202" i="81"/>
  <c r="R202" i="81"/>
  <c r="P202" i="81"/>
  <c r="J202" i="81"/>
  <c r="BF202" i="81" s="1"/>
  <c r="BK201" i="81"/>
  <c r="BI201" i="81"/>
  <c r="BH201" i="81"/>
  <c r="BG201" i="81"/>
  <c r="BE201" i="81"/>
  <c r="T201" i="81"/>
  <c r="R201" i="81"/>
  <c r="P201" i="81"/>
  <c r="J201" i="81"/>
  <c r="BF201" i="81" s="1"/>
  <c r="BK200" i="81"/>
  <c r="BI200" i="81"/>
  <c r="BH200" i="81"/>
  <c r="BG200" i="81"/>
  <c r="BE200" i="81"/>
  <c r="T200" i="81"/>
  <c r="R200" i="81"/>
  <c r="P200" i="81"/>
  <c r="J200" i="81"/>
  <c r="BF200" i="81" s="1"/>
  <c r="BK199" i="81"/>
  <c r="BI199" i="81"/>
  <c r="BH199" i="81"/>
  <c r="BG199" i="81"/>
  <c r="BE199" i="81"/>
  <c r="T199" i="81"/>
  <c r="R199" i="81"/>
  <c r="P199" i="81"/>
  <c r="J199" i="81"/>
  <c r="BF199" i="81" s="1"/>
  <c r="BK198" i="81"/>
  <c r="BI198" i="81"/>
  <c r="BH198" i="81"/>
  <c r="BG198" i="81"/>
  <c r="BF198" i="81"/>
  <c r="BE198" i="81"/>
  <c r="T198" i="81"/>
  <c r="R198" i="81"/>
  <c r="P198" i="81"/>
  <c r="J198" i="81"/>
  <c r="BK197" i="81"/>
  <c r="BI197" i="81"/>
  <c r="BH197" i="81"/>
  <c r="BG197" i="81"/>
  <c r="BF197" i="81"/>
  <c r="BE197" i="81"/>
  <c r="T197" i="81"/>
  <c r="R197" i="81"/>
  <c r="P197" i="81"/>
  <c r="J197" i="81"/>
  <c r="BK196" i="81"/>
  <c r="BI196" i="81"/>
  <c r="BH196" i="81"/>
  <c r="BG196" i="81"/>
  <c r="BE196" i="81"/>
  <c r="T196" i="81"/>
  <c r="R196" i="81"/>
  <c r="P196" i="81"/>
  <c r="J196" i="81"/>
  <c r="BF196" i="81" s="1"/>
  <c r="BK195" i="81"/>
  <c r="BI195" i="81"/>
  <c r="BH195" i="81"/>
  <c r="BG195" i="81"/>
  <c r="BE195" i="81"/>
  <c r="T195" i="81"/>
  <c r="R195" i="81"/>
  <c r="P195" i="81"/>
  <c r="J195" i="81"/>
  <c r="BF195" i="81" s="1"/>
  <c r="BK194" i="81"/>
  <c r="BI194" i="81"/>
  <c r="BH194" i="81"/>
  <c r="BG194" i="81"/>
  <c r="BE194" i="81"/>
  <c r="T194" i="81"/>
  <c r="R194" i="81"/>
  <c r="P194" i="81"/>
  <c r="J194" i="81"/>
  <c r="BF194" i="81" s="1"/>
  <c r="BK193" i="81"/>
  <c r="BI193" i="81"/>
  <c r="BH193" i="81"/>
  <c r="BG193" i="81"/>
  <c r="BF193" i="81"/>
  <c r="BE193" i="81"/>
  <c r="T193" i="81"/>
  <c r="R193" i="81"/>
  <c r="P193" i="81"/>
  <c r="J193" i="81"/>
  <c r="BK192" i="81"/>
  <c r="BI192" i="81"/>
  <c r="BH192" i="81"/>
  <c r="BG192" i="81"/>
  <c r="BE192" i="81"/>
  <c r="T192" i="81"/>
  <c r="R192" i="81"/>
  <c r="P192" i="81"/>
  <c r="J192" i="81"/>
  <c r="BF192" i="81" s="1"/>
  <c r="BK191" i="81"/>
  <c r="BI191" i="81"/>
  <c r="BH191" i="81"/>
  <c r="BG191" i="81"/>
  <c r="BE191" i="81"/>
  <c r="T191" i="81"/>
  <c r="T190" i="81" s="1"/>
  <c r="R191" i="81"/>
  <c r="P191" i="81"/>
  <c r="P190" i="81" s="1"/>
  <c r="J191" i="81"/>
  <c r="BF191" i="81" s="1"/>
  <c r="BK188" i="81"/>
  <c r="BI188" i="81"/>
  <c r="BH188" i="81"/>
  <c r="BG188" i="81"/>
  <c r="BF188" i="81"/>
  <c r="BE188" i="81"/>
  <c r="T188" i="81"/>
  <c r="R188" i="81"/>
  <c r="P188" i="81"/>
  <c r="J188" i="81"/>
  <c r="BK187" i="81"/>
  <c r="BI187" i="81"/>
  <c r="BH187" i="81"/>
  <c r="BG187" i="81"/>
  <c r="BE187" i="81"/>
  <c r="T187" i="81"/>
  <c r="R187" i="81"/>
  <c r="P187" i="81"/>
  <c r="J187" i="81"/>
  <c r="BF187" i="81" s="1"/>
  <c r="BK186" i="81"/>
  <c r="BI186" i="81"/>
  <c r="BH186" i="81"/>
  <c r="BG186" i="81"/>
  <c r="BE186" i="81"/>
  <c r="T186" i="81"/>
  <c r="T182" i="81" s="1"/>
  <c r="T181" i="81" s="1"/>
  <c r="R186" i="81"/>
  <c r="R182" i="81" s="1"/>
  <c r="P186" i="81"/>
  <c r="J186" i="81"/>
  <c r="BF186" i="81" s="1"/>
  <c r="BK185" i="81"/>
  <c r="BI185" i="81"/>
  <c r="BH185" i="81"/>
  <c r="BG185" i="81"/>
  <c r="BF185" i="81"/>
  <c r="BE185" i="81"/>
  <c r="T185" i="81"/>
  <c r="R185" i="81"/>
  <c r="P185" i="81"/>
  <c r="J185" i="81"/>
  <c r="BK184" i="81"/>
  <c r="BI184" i="81"/>
  <c r="BH184" i="81"/>
  <c r="BG184" i="81"/>
  <c r="BF184" i="81"/>
  <c r="BE184" i="81"/>
  <c r="T184" i="81"/>
  <c r="R184" i="81"/>
  <c r="P184" i="81"/>
  <c r="J184" i="81"/>
  <c r="BK183" i="81"/>
  <c r="BI183" i="81"/>
  <c r="BH183" i="81"/>
  <c r="BG183" i="81"/>
  <c r="BE183" i="81"/>
  <c r="T183" i="81"/>
  <c r="R183" i="81"/>
  <c r="P183" i="81"/>
  <c r="P182" i="81" s="1"/>
  <c r="P181" i="81" s="1"/>
  <c r="J183" i="81"/>
  <c r="BF183" i="81" s="1"/>
  <c r="R181" i="81"/>
  <c r="BK180" i="81"/>
  <c r="BI180" i="81"/>
  <c r="BH180" i="81"/>
  <c r="BG180" i="81"/>
  <c r="BE180" i="81"/>
  <c r="T180" i="81"/>
  <c r="R180" i="81"/>
  <c r="P180" i="81"/>
  <c r="J180" i="81"/>
  <c r="BF180" i="81" s="1"/>
  <c r="BK179" i="81"/>
  <c r="BI179" i="81"/>
  <c r="BH179" i="81"/>
  <c r="BG179" i="81"/>
  <c r="BF179" i="81"/>
  <c r="BE179" i="81"/>
  <c r="T179" i="81"/>
  <c r="R179" i="81"/>
  <c r="P179" i="81"/>
  <c r="J179" i="81"/>
  <c r="BK178" i="81"/>
  <c r="BI178" i="81"/>
  <c r="BH178" i="81"/>
  <c r="BG178" i="81"/>
  <c r="BE178" i="81"/>
  <c r="T178" i="81"/>
  <c r="R178" i="81"/>
  <c r="P178" i="81"/>
  <c r="J178" i="81"/>
  <c r="BF178" i="81" s="1"/>
  <c r="BI177" i="81"/>
  <c r="BH177" i="81"/>
  <c r="BG177" i="81"/>
  <c r="BE177" i="81"/>
  <c r="BI176" i="81"/>
  <c r="BH176" i="81"/>
  <c r="BG176" i="81"/>
  <c r="BE176" i="81"/>
  <c r="BI175" i="81"/>
  <c r="BH175" i="81"/>
  <c r="BG175" i="81"/>
  <c r="BE175" i="81"/>
  <c r="BI173" i="81"/>
  <c r="BH173" i="81"/>
  <c r="BG173" i="81"/>
  <c r="BE173" i="81"/>
  <c r="BI172" i="81"/>
  <c r="BH172" i="81"/>
  <c r="BG172" i="81"/>
  <c r="BE172" i="81"/>
  <c r="BI171" i="81"/>
  <c r="BH171" i="81"/>
  <c r="BG171" i="81"/>
  <c r="BE171" i="81"/>
  <c r="BI170" i="81"/>
  <c r="BH170" i="81"/>
  <c r="BG170" i="81"/>
  <c r="BE170" i="81"/>
  <c r="BI169" i="81"/>
  <c r="BH169" i="81"/>
  <c r="BG169" i="81"/>
  <c r="BE169" i="81"/>
  <c r="BK168" i="81"/>
  <c r="BI168" i="81"/>
  <c r="BH168" i="81"/>
  <c r="BG168" i="81"/>
  <c r="BE168" i="81"/>
  <c r="T168" i="81"/>
  <c r="R168" i="81"/>
  <c r="P168" i="81"/>
  <c r="J168" i="81"/>
  <c r="BF168" i="81" s="1"/>
  <c r="BK167" i="81"/>
  <c r="BI167" i="81"/>
  <c r="BH167" i="81"/>
  <c r="BG167" i="81"/>
  <c r="BE167" i="81"/>
  <c r="T167" i="81"/>
  <c r="R167" i="81"/>
  <c r="P167" i="81"/>
  <c r="J167" i="81"/>
  <c r="BF167" i="81" s="1"/>
  <c r="BK166" i="81"/>
  <c r="BI166" i="81"/>
  <c r="BH166" i="81"/>
  <c r="BG166" i="81"/>
  <c r="BE166" i="81"/>
  <c r="T166" i="81"/>
  <c r="R166" i="81"/>
  <c r="P166" i="81"/>
  <c r="J166" i="81"/>
  <c r="BF166" i="81" s="1"/>
  <c r="BK164" i="81"/>
  <c r="BI164" i="81"/>
  <c r="BH164" i="81"/>
  <c r="BG164" i="81"/>
  <c r="BE164" i="81"/>
  <c r="T164" i="81"/>
  <c r="R164" i="81"/>
  <c r="R161" i="81" s="1"/>
  <c r="P164" i="81"/>
  <c r="J164" i="81"/>
  <c r="BF164" i="81" s="1"/>
  <c r="BK163" i="81"/>
  <c r="BK161" i="81" s="1"/>
  <c r="J161" i="81" s="1"/>
  <c r="J101" i="81" s="1"/>
  <c r="BI163" i="81"/>
  <c r="BH163" i="81"/>
  <c r="BG163" i="81"/>
  <c r="BE163" i="81"/>
  <c r="T163" i="81"/>
  <c r="R163" i="81"/>
  <c r="P163" i="81"/>
  <c r="J163" i="81"/>
  <c r="BF163" i="81" s="1"/>
  <c r="BK162" i="81"/>
  <c r="BI162" i="81"/>
  <c r="BH162" i="81"/>
  <c r="BG162" i="81"/>
  <c r="BF162" i="81"/>
  <c r="BE162" i="81"/>
  <c r="T162" i="81"/>
  <c r="R162" i="81"/>
  <c r="P162" i="81"/>
  <c r="J162" i="81"/>
  <c r="T161" i="81"/>
  <c r="P161" i="81"/>
  <c r="BK160" i="81"/>
  <c r="BI160" i="81"/>
  <c r="BH160" i="81"/>
  <c r="BG160" i="81"/>
  <c r="BE160" i="81"/>
  <c r="T160" i="81"/>
  <c r="R160" i="81"/>
  <c r="P160" i="81"/>
  <c r="J160" i="81"/>
  <c r="BF160" i="81" s="1"/>
  <c r="BK159" i="81"/>
  <c r="BI159" i="81"/>
  <c r="BH159" i="81"/>
  <c r="BG159" i="81"/>
  <c r="BE159" i="81"/>
  <c r="T159" i="81"/>
  <c r="R159" i="81"/>
  <c r="P159" i="81"/>
  <c r="J159" i="81"/>
  <c r="BF159" i="81" s="1"/>
  <c r="BK158" i="81"/>
  <c r="BI158" i="81"/>
  <c r="BH158" i="81"/>
  <c r="BG158" i="81"/>
  <c r="BE158" i="81"/>
  <c r="T158" i="81"/>
  <c r="R158" i="81"/>
  <c r="P158" i="81"/>
  <c r="J158" i="81"/>
  <c r="BF158" i="81" s="1"/>
  <c r="BK157" i="81"/>
  <c r="BI157" i="81"/>
  <c r="BH157" i="81"/>
  <c r="BG157" i="81"/>
  <c r="BE157" i="81"/>
  <c r="T157" i="81"/>
  <c r="R157" i="81"/>
  <c r="P157" i="81"/>
  <c r="J157" i="81"/>
  <c r="BF157" i="81" s="1"/>
  <c r="BK156" i="81"/>
  <c r="BI156" i="81"/>
  <c r="BH156" i="81"/>
  <c r="BG156" i="81"/>
  <c r="BF156" i="81"/>
  <c r="BE156" i="81"/>
  <c r="T156" i="81"/>
  <c r="R156" i="81"/>
  <c r="P156" i="81"/>
  <c r="J156" i="81"/>
  <c r="BK155" i="81"/>
  <c r="BI155" i="81"/>
  <c r="BH155" i="81"/>
  <c r="BG155" i="81"/>
  <c r="BE155" i="81"/>
  <c r="T155" i="81"/>
  <c r="R155" i="81"/>
  <c r="P155" i="81"/>
  <c r="J155" i="81"/>
  <c r="BF155" i="81" s="1"/>
  <c r="BK154" i="81"/>
  <c r="BI154" i="81"/>
  <c r="BH154" i="81"/>
  <c r="BG154" i="81"/>
  <c r="BE154" i="81"/>
  <c r="T154" i="81"/>
  <c r="R154" i="81"/>
  <c r="R150" i="81" s="1"/>
  <c r="P154" i="81"/>
  <c r="P150" i="81" s="1"/>
  <c r="J154" i="81"/>
  <c r="BF154" i="81" s="1"/>
  <c r="BK153" i="81"/>
  <c r="BI153" i="81"/>
  <c r="BH153" i="81"/>
  <c r="BG153" i="81"/>
  <c r="BE153" i="81"/>
  <c r="T153" i="81"/>
  <c r="T150" i="81" s="1"/>
  <c r="R153" i="81"/>
  <c r="P153" i="81"/>
  <c r="J153" i="81"/>
  <c r="BF153" i="81" s="1"/>
  <c r="BK152" i="81"/>
  <c r="BK150" i="81" s="1"/>
  <c r="J150" i="81" s="1"/>
  <c r="J100" i="81" s="1"/>
  <c r="BI152" i="81"/>
  <c r="BH152" i="81"/>
  <c r="BG152" i="81"/>
  <c r="BF152" i="81"/>
  <c r="BE152" i="81"/>
  <c r="T152" i="81"/>
  <c r="R152" i="81"/>
  <c r="P152" i="81"/>
  <c r="J152" i="81"/>
  <c r="BK151" i="81"/>
  <c r="BI151" i="81"/>
  <c r="BH151" i="81"/>
  <c r="BG151" i="81"/>
  <c r="BE151" i="81"/>
  <c r="T151" i="81"/>
  <c r="R151" i="81"/>
  <c r="P151" i="81"/>
  <c r="J151" i="81"/>
  <c r="BF151" i="81" s="1"/>
  <c r="BK149" i="81"/>
  <c r="BI149" i="81"/>
  <c r="BH149" i="81"/>
  <c r="BG149" i="81"/>
  <c r="BF149" i="81"/>
  <c r="BE149" i="81"/>
  <c r="T149" i="81"/>
  <c r="R149" i="81"/>
  <c r="P149" i="81"/>
  <c r="J149" i="81"/>
  <c r="BK148" i="81"/>
  <c r="BI148" i="81"/>
  <c r="BH148" i="81"/>
  <c r="BG148" i="81"/>
  <c r="BE148" i="81"/>
  <c r="T148" i="81"/>
  <c r="R148" i="81"/>
  <c r="P148" i="81"/>
  <c r="J148" i="81"/>
  <c r="BF148" i="81" s="1"/>
  <c r="BK147" i="81"/>
  <c r="BI147" i="81"/>
  <c r="BH147" i="81"/>
  <c r="BG147" i="81"/>
  <c r="BE147" i="81"/>
  <c r="T147" i="81"/>
  <c r="T143" i="81" s="1"/>
  <c r="R147" i="81"/>
  <c r="R143" i="81" s="1"/>
  <c r="P147" i="81"/>
  <c r="J147" i="81"/>
  <c r="BF147" i="81" s="1"/>
  <c r="BK146" i="81"/>
  <c r="BI146" i="81"/>
  <c r="BH146" i="81"/>
  <c r="BG146" i="81"/>
  <c r="BF146" i="81"/>
  <c r="BE146" i="81"/>
  <c r="T146" i="81"/>
  <c r="R146" i="81"/>
  <c r="P146" i="81"/>
  <c r="J146" i="81"/>
  <c r="BK145" i="81"/>
  <c r="BI145" i="81"/>
  <c r="BH145" i="81"/>
  <c r="BG145" i="81"/>
  <c r="BF145" i="81"/>
  <c r="BE145" i="81"/>
  <c r="T145" i="81"/>
  <c r="R145" i="81"/>
  <c r="P145" i="81"/>
  <c r="J145" i="81"/>
  <c r="BK144" i="81"/>
  <c r="BI144" i="81"/>
  <c r="BH144" i="81"/>
  <c r="BG144" i="81"/>
  <c r="BE144" i="81"/>
  <c r="T144" i="81"/>
  <c r="R144" i="81"/>
  <c r="P144" i="81"/>
  <c r="P143" i="81" s="1"/>
  <c r="J144" i="81"/>
  <c r="BF144" i="81" s="1"/>
  <c r="BK142" i="81"/>
  <c r="BI142" i="81"/>
  <c r="BH142" i="81"/>
  <c r="BG142" i="81"/>
  <c r="BE142" i="81"/>
  <c r="T142" i="81"/>
  <c r="R142" i="81"/>
  <c r="P142" i="81"/>
  <c r="J142" i="81"/>
  <c r="BF142" i="81" s="1"/>
  <c r="BK141" i="81"/>
  <c r="BI141" i="81"/>
  <c r="BH141" i="81"/>
  <c r="BG141" i="81"/>
  <c r="BE141" i="81"/>
  <c r="T141" i="81"/>
  <c r="R141" i="81"/>
  <c r="P141" i="81"/>
  <c r="J141" i="81"/>
  <c r="BF141" i="81" s="1"/>
  <c r="BK140" i="81"/>
  <c r="BI140" i="81"/>
  <c r="BH140" i="81"/>
  <c r="BG140" i="81"/>
  <c r="BE140" i="81"/>
  <c r="T140" i="81"/>
  <c r="R140" i="81"/>
  <c r="P140" i="81"/>
  <c r="J140" i="81"/>
  <c r="BF140" i="81" s="1"/>
  <c r="BK139" i="81"/>
  <c r="BI139" i="81"/>
  <c r="BH139" i="81"/>
  <c r="BG139" i="81"/>
  <c r="BF139" i="81"/>
  <c r="BE139" i="81"/>
  <c r="T139" i="81"/>
  <c r="R139" i="81"/>
  <c r="P139" i="81"/>
  <c r="J139" i="81"/>
  <c r="BK138" i="81"/>
  <c r="BI138" i="81"/>
  <c r="BH138" i="81"/>
  <c r="BG138" i="81"/>
  <c r="BE138" i="81"/>
  <c r="T138" i="81"/>
  <c r="R138" i="81"/>
  <c r="P138" i="81"/>
  <c r="J138" i="81"/>
  <c r="BF138" i="81" s="1"/>
  <c r="BK137" i="81"/>
  <c r="BI137" i="81"/>
  <c r="BH137" i="81"/>
  <c r="BG137" i="81"/>
  <c r="BE137" i="81"/>
  <c r="T137" i="81"/>
  <c r="R137" i="81"/>
  <c r="R135" i="81" s="1"/>
  <c r="P137" i="81"/>
  <c r="J137" i="81"/>
  <c r="BF137" i="81" s="1"/>
  <c r="BK136" i="81"/>
  <c r="BI136" i="81"/>
  <c r="BH136" i="81"/>
  <c r="BG136" i="81"/>
  <c r="BE136" i="81"/>
  <c r="T136" i="81"/>
  <c r="R136" i="81"/>
  <c r="P136" i="81"/>
  <c r="J136" i="81"/>
  <c r="BF136" i="81" s="1"/>
  <c r="J130" i="81"/>
  <c r="F130" i="81"/>
  <c r="J129" i="81"/>
  <c r="F129" i="81"/>
  <c r="F127" i="81"/>
  <c r="E125" i="81"/>
  <c r="J92" i="81"/>
  <c r="F92" i="81"/>
  <c r="J91" i="81"/>
  <c r="F91" i="81"/>
  <c r="F89" i="81"/>
  <c r="E87" i="81"/>
  <c r="J39" i="81"/>
  <c r="J38" i="81"/>
  <c r="J37" i="81"/>
  <c r="J31" i="81"/>
  <c r="J12" i="81"/>
  <c r="E7" i="81"/>
  <c r="E85" i="81" s="1"/>
  <c r="BK253" i="80"/>
  <c r="BI253" i="80"/>
  <c r="BH253" i="80"/>
  <c r="BG253" i="80"/>
  <c r="BE253" i="80"/>
  <c r="T253" i="80"/>
  <c r="T250" i="80" s="1"/>
  <c r="R253" i="80"/>
  <c r="P253" i="80"/>
  <c r="J253" i="80"/>
  <c r="BF253" i="80" s="1"/>
  <c r="BK252" i="80"/>
  <c r="BI252" i="80"/>
  <c r="BH252" i="80"/>
  <c r="BG252" i="80"/>
  <c r="BE252" i="80"/>
  <c r="T252" i="80"/>
  <c r="R252" i="80"/>
  <c r="P252" i="80"/>
  <c r="J252" i="80"/>
  <c r="BF252" i="80" s="1"/>
  <c r="BK251" i="80"/>
  <c r="BK250" i="80" s="1"/>
  <c r="J250" i="80" s="1"/>
  <c r="J109" i="80" s="1"/>
  <c r="BI251" i="80"/>
  <c r="BH251" i="80"/>
  <c r="BG251" i="80"/>
  <c r="BE251" i="80"/>
  <c r="T251" i="80"/>
  <c r="R251" i="80"/>
  <c r="R250" i="80" s="1"/>
  <c r="P251" i="80"/>
  <c r="J251" i="80"/>
  <c r="BF251" i="80" s="1"/>
  <c r="P250" i="80"/>
  <c r="BK249" i="80"/>
  <c r="BI249" i="80"/>
  <c r="BH249" i="80"/>
  <c r="BG249" i="80"/>
  <c r="BE249" i="80"/>
  <c r="T249" i="80"/>
  <c r="R249" i="80"/>
  <c r="P249" i="80"/>
  <c r="J249" i="80"/>
  <c r="BF249" i="80" s="1"/>
  <c r="BK248" i="80"/>
  <c r="BI248" i="80"/>
  <c r="BH248" i="80"/>
  <c r="BG248" i="80"/>
  <c r="BE248" i="80"/>
  <c r="T248" i="80"/>
  <c r="R248" i="80"/>
  <c r="P248" i="80"/>
  <c r="J248" i="80"/>
  <c r="BF248" i="80" s="1"/>
  <c r="BK247" i="80"/>
  <c r="BK236" i="80" s="1"/>
  <c r="J236" i="80" s="1"/>
  <c r="J108" i="80" s="1"/>
  <c r="BI247" i="80"/>
  <c r="BH247" i="80"/>
  <c r="BG247" i="80"/>
  <c r="BE247" i="80"/>
  <c r="T247" i="80"/>
  <c r="R247" i="80"/>
  <c r="P247" i="80"/>
  <c r="J247" i="80"/>
  <c r="BF247" i="80" s="1"/>
  <c r="BK246" i="80"/>
  <c r="BI246" i="80"/>
  <c r="BH246" i="80"/>
  <c r="BG246" i="80"/>
  <c r="BF246" i="80"/>
  <c r="BE246" i="80"/>
  <c r="T246" i="80"/>
  <c r="R246" i="80"/>
  <c r="P246" i="80"/>
  <c r="J246" i="80"/>
  <c r="BK245" i="80"/>
  <c r="BI245" i="80"/>
  <c r="BH245" i="80"/>
  <c r="BG245" i="80"/>
  <c r="BF245" i="80"/>
  <c r="BE245" i="80"/>
  <c r="T245" i="80"/>
  <c r="R245" i="80"/>
  <c r="P245" i="80"/>
  <c r="J245" i="80"/>
  <c r="BK244" i="80"/>
  <c r="BI244" i="80"/>
  <c r="BH244" i="80"/>
  <c r="BG244" i="80"/>
  <c r="BE244" i="80"/>
  <c r="T244" i="80"/>
  <c r="R244" i="80"/>
  <c r="P244" i="80"/>
  <c r="J244" i="80"/>
  <c r="BF244" i="80" s="1"/>
  <c r="BK243" i="80"/>
  <c r="BI243" i="80"/>
  <c r="BH243" i="80"/>
  <c r="BG243" i="80"/>
  <c r="BE243" i="80"/>
  <c r="T243" i="80"/>
  <c r="R243" i="80"/>
  <c r="P243" i="80"/>
  <c r="J243" i="80"/>
  <c r="BF243" i="80" s="1"/>
  <c r="BK242" i="80"/>
  <c r="BI242" i="80"/>
  <c r="BH242" i="80"/>
  <c r="BG242" i="80"/>
  <c r="BE242" i="80"/>
  <c r="T242" i="80"/>
  <c r="R242" i="80"/>
  <c r="P242" i="80"/>
  <c r="J242" i="80"/>
  <c r="BF242" i="80" s="1"/>
  <c r="BK241" i="80"/>
  <c r="BI241" i="80"/>
  <c r="BH241" i="80"/>
  <c r="BG241" i="80"/>
  <c r="BE241" i="80"/>
  <c r="T241" i="80"/>
  <c r="R241" i="80"/>
  <c r="P241" i="80"/>
  <c r="J241" i="80"/>
  <c r="BF241" i="80" s="1"/>
  <c r="BK240" i="80"/>
  <c r="BI240" i="80"/>
  <c r="BH240" i="80"/>
  <c r="BG240" i="80"/>
  <c r="BE240" i="80"/>
  <c r="T240" i="80"/>
  <c r="R240" i="80"/>
  <c r="P240" i="80"/>
  <c r="J240" i="80"/>
  <c r="BF240" i="80" s="1"/>
  <c r="BK239" i="80"/>
  <c r="BI239" i="80"/>
  <c r="BH239" i="80"/>
  <c r="BG239" i="80"/>
  <c r="BE239" i="80"/>
  <c r="T239" i="80"/>
  <c r="R239" i="80"/>
  <c r="P239" i="80"/>
  <c r="J239" i="80"/>
  <c r="BF239" i="80" s="1"/>
  <c r="BK238" i="80"/>
  <c r="BI238" i="80"/>
  <c r="BH238" i="80"/>
  <c r="BG238" i="80"/>
  <c r="BF238" i="80"/>
  <c r="BE238" i="80"/>
  <c r="T238" i="80"/>
  <c r="R238" i="80"/>
  <c r="P238" i="80"/>
  <c r="J238" i="80"/>
  <c r="BK237" i="80"/>
  <c r="BI237" i="80"/>
  <c r="BH237" i="80"/>
  <c r="BG237" i="80"/>
  <c r="BE237" i="80"/>
  <c r="T237" i="80"/>
  <c r="R237" i="80"/>
  <c r="P237" i="80"/>
  <c r="P236" i="80" s="1"/>
  <c r="J237" i="80"/>
  <c r="BF237" i="80" s="1"/>
  <c r="T236" i="80"/>
  <c r="BK235" i="80"/>
  <c r="BI235" i="80"/>
  <c r="BH235" i="80"/>
  <c r="BG235" i="80"/>
  <c r="BF235" i="80"/>
  <c r="BE235" i="80"/>
  <c r="T235" i="80"/>
  <c r="R235" i="80"/>
  <c r="P235" i="80"/>
  <c r="J235" i="80"/>
  <c r="BK234" i="80"/>
  <c r="BI234" i="80"/>
  <c r="BH234" i="80"/>
  <c r="BG234" i="80"/>
  <c r="BE234" i="80"/>
  <c r="T234" i="80"/>
  <c r="R234" i="80"/>
  <c r="P234" i="80"/>
  <c r="J234" i="80"/>
  <c r="BF234" i="80" s="1"/>
  <c r="BK233" i="80"/>
  <c r="BI233" i="80"/>
  <c r="BH233" i="80"/>
  <c r="BG233" i="80"/>
  <c r="BE233" i="80"/>
  <c r="T233" i="80"/>
  <c r="R233" i="80"/>
  <c r="P233" i="80"/>
  <c r="J233" i="80"/>
  <c r="BF233" i="80" s="1"/>
  <c r="BK232" i="80"/>
  <c r="BI232" i="80"/>
  <c r="BH232" i="80"/>
  <c r="BG232" i="80"/>
  <c r="BE232" i="80"/>
  <c r="T232" i="80"/>
  <c r="R232" i="80"/>
  <c r="P232" i="80"/>
  <c r="J232" i="80"/>
  <c r="BF232" i="80" s="1"/>
  <c r="BK231" i="80"/>
  <c r="BI231" i="80"/>
  <c r="BH231" i="80"/>
  <c r="BG231" i="80"/>
  <c r="BE231" i="80"/>
  <c r="T231" i="80"/>
  <c r="R231" i="80"/>
  <c r="P231" i="80"/>
  <c r="J231" i="80"/>
  <c r="BF231" i="80" s="1"/>
  <c r="BK230" i="80"/>
  <c r="BI230" i="80"/>
  <c r="BH230" i="80"/>
  <c r="BG230" i="80"/>
  <c r="BE230" i="80"/>
  <c r="T230" i="80"/>
  <c r="R230" i="80"/>
  <c r="P230" i="80"/>
  <c r="J230" i="80"/>
  <c r="BF230" i="80" s="1"/>
  <c r="BK229" i="80"/>
  <c r="BI229" i="80"/>
  <c r="BH229" i="80"/>
  <c r="BG229" i="80"/>
  <c r="BE229" i="80"/>
  <c r="T229" i="80"/>
  <c r="R229" i="80"/>
  <c r="P229" i="80"/>
  <c r="J229" i="80"/>
  <c r="BF229" i="80" s="1"/>
  <c r="BK228" i="80"/>
  <c r="BI228" i="80"/>
  <c r="BH228" i="80"/>
  <c r="BG228" i="80"/>
  <c r="BF228" i="80"/>
  <c r="BE228" i="80"/>
  <c r="T228" i="80"/>
  <c r="R228" i="80"/>
  <c r="P228" i="80"/>
  <c r="J228" i="80"/>
  <c r="BK227" i="80"/>
  <c r="BI227" i="80"/>
  <c r="BH227" i="80"/>
  <c r="BG227" i="80"/>
  <c r="BE227" i="80"/>
  <c r="T227" i="80"/>
  <c r="R227" i="80"/>
  <c r="P227" i="80"/>
  <c r="J227" i="80"/>
  <c r="BF227" i="80" s="1"/>
  <c r="BK226" i="80"/>
  <c r="BI226" i="80"/>
  <c r="BH226" i="80"/>
  <c r="BG226" i="80"/>
  <c r="BE226" i="80"/>
  <c r="T226" i="80"/>
  <c r="R226" i="80"/>
  <c r="P226" i="80"/>
  <c r="J226" i="80"/>
  <c r="BF226" i="80" s="1"/>
  <c r="BK225" i="80"/>
  <c r="BI225" i="80"/>
  <c r="BH225" i="80"/>
  <c r="BG225" i="80"/>
  <c r="BE225" i="80"/>
  <c r="T225" i="80"/>
  <c r="R225" i="80"/>
  <c r="P225" i="80"/>
  <c r="J225" i="80"/>
  <c r="BF225" i="80" s="1"/>
  <c r="BK224" i="80"/>
  <c r="BI224" i="80"/>
  <c r="BH224" i="80"/>
  <c r="BG224" i="80"/>
  <c r="BF224" i="80"/>
  <c r="BE224" i="80"/>
  <c r="T224" i="80"/>
  <c r="R224" i="80"/>
  <c r="P224" i="80"/>
  <c r="J224" i="80"/>
  <c r="BK223" i="80"/>
  <c r="BI223" i="80"/>
  <c r="BH223" i="80"/>
  <c r="BG223" i="80"/>
  <c r="BF223" i="80"/>
  <c r="BE223" i="80"/>
  <c r="T223" i="80"/>
  <c r="R223" i="80"/>
  <c r="P223" i="80"/>
  <c r="J223" i="80"/>
  <c r="BK222" i="80"/>
  <c r="BI222" i="80"/>
  <c r="BH222" i="80"/>
  <c r="BG222" i="80"/>
  <c r="BE222" i="80"/>
  <c r="T222" i="80"/>
  <c r="R222" i="80"/>
  <c r="P222" i="80"/>
  <c r="J222" i="80"/>
  <c r="BF222" i="80" s="1"/>
  <c r="BK221" i="80"/>
  <c r="BI221" i="80"/>
  <c r="BH221" i="80"/>
  <c r="BG221" i="80"/>
  <c r="BE221" i="80"/>
  <c r="T221" i="80"/>
  <c r="R221" i="80"/>
  <c r="P221" i="80"/>
  <c r="J221" i="80"/>
  <c r="BF221" i="80" s="1"/>
  <c r="BK220" i="80"/>
  <c r="BI220" i="80"/>
  <c r="BH220" i="80"/>
  <c r="BG220" i="80"/>
  <c r="BE220" i="80"/>
  <c r="T220" i="80"/>
  <c r="R220" i="80"/>
  <c r="P220" i="80"/>
  <c r="J220" i="80"/>
  <c r="BF220" i="80" s="1"/>
  <c r="BK219" i="80"/>
  <c r="BI219" i="80"/>
  <c r="BH219" i="80"/>
  <c r="BG219" i="80"/>
  <c r="BF219" i="80"/>
  <c r="BE219" i="80"/>
  <c r="T219" i="80"/>
  <c r="R219" i="80"/>
  <c r="P219" i="80"/>
  <c r="J219" i="80"/>
  <c r="BK218" i="80"/>
  <c r="BI218" i="80"/>
  <c r="BH218" i="80"/>
  <c r="BG218" i="80"/>
  <c r="BE218" i="80"/>
  <c r="T218" i="80"/>
  <c r="R218" i="80"/>
  <c r="P218" i="80"/>
  <c r="J218" i="80"/>
  <c r="BF218" i="80" s="1"/>
  <c r="BK217" i="80"/>
  <c r="BI217" i="80"/>
  <c r="BH217" i="80"/>
  <c r="BG217" i="80"/>
  <c r="BE217" i="80"/>
  <c r="T217" i="80"/>
  <c r="R217" i="80"/>
  <c r="P217" i="80"/>
  <c r="J217" i="80"/>
  <c r="BF217" i="80" s="1"/>
  <c r="BK216" i="80"/>
  <c r="BI216" i="80"/>
  <c r="BH216" i="80"/>
  <c r="BG216" i="80"/>
  <c r="BE216" i="80"/>
  <c r="T216" i="80"/>
  <c r="R216" i="80"/>
  <c r="P216" i="80"/>
  <c r="J216" i="80"/>
  <c r="BF216" i="80" s="1"/>
  <c r="BK215" i="80"/>
  <c r="BI215" i="80"/>
  <c r="BH215" i="80"/>
  <c r="BG215" i="80"/>
  <c r="BE215" i="80"/>
  <c r="T215" i="80"/>
  <c r="R215" i="80"/>
  <c r="P215" i="80"/>
  <c r="J215" i="80"/>
  <c r="BF215" i="80" s="1"/>
  <c r="BK214" i="80"/>
  <c r="BI214" i="80"/>
  <c r="BH214" i="80"/>
  <c r="BG214" i="80"/>
  <c r="BE214" i="80"/>
  <c r="T214" i="80"/>
  <c r="R214" i="80"/>
  <c r="P214" i="80"/>
  <c r="J214" i="80"/>
  <c r="BF214" i="80" s="1"/>
  <c r="BK213" i="80"/>
  <c r="BI213" i="80"/>
  <c r="BH213" i="80"/>
  <c r="BG213" i="80"/>
  <c r="BE213" i="80"/>
  <c r="T213" i="80"/>
  <c r="R213" i="80"/>
  <c r="P213" i="80"/>
  <c r="J213" i="80"/>
  <c r="BF213" i="80" s="1"/>
  <c r="BK212" i="80"/>
  <c r="BI212" i="80"/>
  <c r="BH212" i="80"/>
  <c r="BG212" i="80"/>
  <c r="BF212" i="80"/>
  <c r="BE212" i="80"/>
  <c r="T212" i="80"/>
  <c r="R212" i="80"/>
  <c r="P212" i="80"/>
  <c r="J212" i="80"/>
  <c r="BK211" i="80"/>
  <c r="BI211" i="80"/>
  <c r="BH211" i="80"/>
  <c r="BG211" i="80"/>
  <c r="BE211" i="80"/>
  <c r="T211" i="80"/>
  <c r="R211" i="80"/>
  <c r="P211" i="80"/>
  <c r="J211" i="80"/>
  <c r="BF211" i="80" s="1"/>
  <c r="BK210" i="80"/>
  <c r="BI210" i="80"/>
  <c r="BH210" i="80"/>
  <c r="BG210" i="80"/>
  <c r="BE210" i="80"/>
  <c r="T210" i="80"/>
  <c r="R210" i="80"/>
  <c r="P210" i="80"/>
  <c r="J210" i="80"/>
  <c r="BF210" i="80" s="1"/>
  <c r="BK209" i="80"/>
  <c r="BI209" i="80"/>
  <c r="BH209" i="80"/>
  <c r="BG209" i="80"/>
  <c r="BE209" i="80"/>
  <c r="T209" i="80"/>
  <c r="R209" i="80"/>
  <c r="P209" i="80"/>
  <c r="J209" i="80"/>
  <c r="BF209" i="80" s="1"/>
  <c r="BK208" i="80"/>
  <c r="BI208" i="80"/>
  <c r="BH208" i="80"/>
  <c r="BG208" i="80"/>
  <c r="BF208" i="80"/>
  <c r="BE208" i="80"/>
  <c r="T208" i="80"/>
  <c r="R208" i="80"/>
  <c r="P208" i="80"/>
  <c r="J208" i="80"/>
  <c r="BK207" i="80"/>
  <c r="BI207" i="80"/>
  <c r="BH207" i="80"/>
  <c r="BG207" i="80"/>
  <c r="BF207" i="80"/>
  <c r="BE207" i="80"/>
  <c r="T207" i="80"/>
  <c r="R207" i="80"/>
  <c r="P207" i="80"/>
  <c r="J207" i="80"/>
  <c r="BK206" i="80"/>
  <c r="BI206" i="80"/>
  <c r="BH206" i="80"/>
  <c r="BG206" i="80"/>
  <c r="BE206" i="80"/>
  <c r="T206" i="80"/>
  <c r="R206" i="80"/>
  <c r="P206" i="80"/>
  <c r="J206" i="80"/>
  <c r="BF206" i="80" s="1"/>
  <c r="BK205" i="80"/>
  <c r="BI205" i="80"/>
  <c r="BH205" i="80"/>
  <c r="BG205" i="80"/>
  <c r="BE205" i="80"/>
  <c r="T205" i="80"/>
  <c r="R205" i="80"/>
  <c r="P205" i="80"/>
  <c r="P191" i="80" s="1"/>
  <c r="P190" i="80" s="1"/>
  <c r="J205" i="80"/>
  <c r="BF205" i="80" s="1"/>
  <c r="BK204" i="80"/>
  <c r="BI204" i="80"/>
  <c r="BH204" i="80"/>
  <c r="BG204" i="80"/>
  <c r="BE204" i="80"/>
  <c r="T204" i="80"/>
  <c r="R204" i="80"/>
  <c r="P204" i="80"/>
  <c r="J204" i="80"/>
  <c r="BF204" i="80" s="1"/>
  <c r="BK203" i="80"/>
  <c r="BI203" i="80"/>
  <c r="BH203" i="80"/>
  <c r="BG203" i="80"/>
  <c r="BF203" i="80"/>
  <c r="BE203" i="80"/>
  <c r="T203" i="80"/>
  <c r="R203" i="80"/>
  <c r="P203" i="80"/>
  <c r="J203" i="80"/>
  <c r="BK202" i="80"/>
  <c r="BI202" i="80"/>
  <c r="BH202" i="80"/>
  <c r="BG202" i="80"/>
  <c r="BE202" i="80"/>
  <c r="T202" i="80"/>
  <c r="R202" i="80"/>
  <c r="P202" i="80"/>
  <c r="J202" i="80"/>
  <c r="BF202" i="80" s="1"/>
  <c r="BK201" i="80"/>
  <c r="BI201" i="80"/>
  <c r="BH201" i="80"/>
  <c r="BG201" i="80"/>
  <c r="BE201" i="80"/>
  <c r="T201" i="80"/>
  <c r="R201" i="80"/>
  <c r="P201" i="80"/>
  <c r="J201" i="80"/>
  <c r="BF201" i="80" s="1"/>
  <c r="BK200" i="80"/>
  <c r="BI200" i="80"/>
  <c r="BH200" i="80"/>
  <c r="BG200" i="80"/>
  <c r="BE200" i="80"/>
  <c r="T200" i="80"/>
  <c r="R200" i="80"/>
  <c r="P200" i="80"/>
  <c r="J200" i="80"/>
  <c r="BF200" i="80" s="1"/>
  <c r="BK199" i="80"/>
  <c r="BI199" i="80"/>
  <c r="BH199" i="80"/>
  <c r="BG199" i="80"/>
  <c r="BE199" i="80"/>
  <c r="T199" i="80"/>
  <c r="R199" i="80"/>
  <c r="P199" i="80"/>
  <c r="J199" i="80"/>
  <c r="BF199" i="80" s="1"/>
  <c r="BK198" i="80"/>
  <c r="BI198" i="80"/>
  <c r="BH198" i="80"/>
  <c r="BG198" i="80"/>
  <c r="BE198" i="80"/>
  <c r="T198" i="80"/>
  <c r="R198" i="80"/>
  <c r="P198" i="80"/>
  <c r="J198" i="80"/>
  <c r="BF198" i="80" s="1"/>
  <c r="BK197" i="80"/>
  <c r="BI197" i="80"/>
  <c r="BH197" i="80"/>
  <c r="BG197" i="80"/>
  <c r="BE197" i="80"/>
  <c r="T197" i="80"/>
  <c r="R197" i="80"/>
  <c r="P197" i="80"/>
  <c r="J197" i="80"/>
  <c r="BF197" i="80" s="1"/>
  <c r="BK196" i="80"/>
  <c r="BI196" i="80"/>
  <c r="BH196" i="80"/>
  <c r="BG196" i="80"/>
  <c r="BF196" i="80"/>
  <c r="BE196" i="80"/>
  <c r="T196" i="80"/>
  <c r="R196" i="80"/>
  <c r="P196" i="80"/>
  <c r="J196" i="80"/>
  <c r="BK195" i="80"/>
  <c r="BI195" i="80"/>
  <c r="BH195" i="80"/>
  <c r="BG195" i="80"/>
  <c r="BE195" i="80"/>
  <c r="T195" i="80"/>
  <c r="R195" i="80"/>
  <c r="P195" i="80"/>
  <c r="J195" i="80"/>
  <c r="BF195" i="80" s="1"/>
  <c r="BK194" i="80"/>
  <c r="BI194" i="80"/>
  <c r="BH194" i="80"/>
  <c r="BG194" i="80"/>
  <c r="BE194" i="80"/>
  <c r="T194" i="80"/>
  <c r="R194" i="80"/>
  <c r="P194" i="80"/>
  <c r="J194" i="80"/>
  <c r="BF194" i="80" s="1"/>
  <c r="BK193" i="80"/>
  <c r="BI193" i="80"/>
  <c r="BH193" i="80"/>
  <c r="BG193" i="80"/>
  <c r="BE193" i="80"/>
  <c r="T193" i="80"/>
  <c r="R193" i="80"/>
  <c r="P193" i="80"/>
  <c r="J193" i="80"/>
  <c r="BF193" i="80" s="1"/>
  <c r="BK192" i="80"/>
  <c r="BI192" i="80"/>
  <c r="BH192" i="80"/>
  <c r="BG192" i="80"/>
  <c r="BF192" i="80"/>
  <c r="BE192" i="80"/>
  <c r="T192" i="80"/>
  <c r="R192" i="80"/>
  <c r="P192" i="80"/>
  <c r="J192" i="80"/>
  <c r="BK189" i="80"/>
  <c r="BI189" i="80"/>
  <c r="BH189" i="80"/>
  <c r="BG189" i="80"/>
  <c r="BE189" i="80"/>
  <c r="T189" i="80"/>
  <c r="R189" i="80"/>
  <c r="P189" i="80"/>
  <c r="J189" i="80"/>
  <c r="BF189" i="80" s="1"/>
  <c r="BK188" i="80"/>
  <c r="BI188" i="80"/>
  <c r="BH188" i="80"/>
  <c r="BG188" i="80"/>
  <c r="BE188" i="80"/>
  <c r="T188" i="80"/>
  <c r="R188" i="80"/>
  <c r="P188" i="80"/>
  <c r="J188" i="80"/>
  <c r="BF188" i="80" s="1"/>
  <c r="BK187" i="80"/>
  <c r="BI187" i="80"/>
  <c r="BH187" i="80"/>
  <c r="BG187" i="80"/>
  <c r="BE187" i="80"/>
  <c r="T187" i="80"/>
  <c r="R187" i="80"/>
  <c r="P187" i="80"/>
  <c r="J187" i="80"/>
  <c r="BF187" i="80" s="1"/>
  <c r="BK186" i="80"/>
  <c r="BI186" i="80"/>
  <c r="BH186" i="80"/>
  <c r="BG186" i="80"/>
  <c r="BF186" i="80"/>
  <c r="BE186" i="80"/>
  <c r="T186" i="80"/>
  <c r="R186" i="80"/>
  <c r="P186" i="80"/>
  <c r="J186" i="80"/>
  <c r="BK185" i="80"/>
  <c r="BI185" i="80"/>
  <c r="BH185" i="80"/>
  <c r="BG185" i="80"/>
  <c r="BE185" i="80"/>
  <c r="T185" i="80"/>
  <c r="R185" i="80"/>
  <c r="P185" i="80"/>
  <c r="J185" i="80"/>
  <c r="BF185" i="80" s="1"/>
  <c r="BK184" i="80"/>
  <c r="BI184" i="80"/>
  <c r="BH184" i="80"/>
  <c r="BG184" i="80"/>
  <c r="BE184" i="80"/>
  <c r="T184" i="80"/>
  <c r="R184" i="80"/>
  <c r="P184" i="80"/>
  <c r="J184" i="80"/>
  <c r="BF184" i="80" s="1"/>
  <c r="BK181" i="80"/>
  <c r="BI181" i="80"/>
  <c r="BH181" i="80"/>
  <c r="BG181" i="80"/>
  <c r="BF181" i="80"/>
  <c r="BE181" i="80"/>
  <c r="T181" i="80"/>
  <c r="R181" i="80"/>
  <c r="P181" i="80"/>
  <c r="J181" i="80"/>
  <c r="BK180" i="80"/>
  <c r="BI180" i="80"/>
  <c r="BH180" i="80"/>
  <c r="BG180" i="80"/>
  <c r="BE180" i="80"/>
  <c r="T180" i="80"/>
  <c r="R180" i="80"/>
  <c r="P180" i="80"/>
  <c r="J180" i="80"/>
  <c r="BF180" i="80" s="1"/>
  <c r="BK179" i="80"/>
  <c r="BI179" i="80"/>
  <c r="BH179" i="80"/>
  <c r="BG179" i="80"/>
  <c r="BE179" i="80"/>
  <c r="T179" i="80"/>
  <c r="R179" i="80"/>
  <c r="P179" i="80"/>
  <c r="J179" i="80"/>
  <c r="BF179" i="80" s="1"/>
  <c r="BI178" i="80"/>
  <c r="BH178" i="80"/>
  <c r="BG178" i="80"/>
  <c r="BE178" i="80"/>
  <c r="BI177" i="80"/>
  <c r="BH177" i="80"/>
  <c r="BG177" i="80"/>
  <c r="BE177" i="80"/>
  <c r="BI176" i="80"/>
  <c r="BH176" i="80"/>
  <c r="BG176" i="80"/>
  <c r="BE176" i="80"/>
  <c r="BI174" i="80"/>
  <c r="BH174" i="80"/>
  <c r="BG174" i="80"/>
  <c r="BE174" i="80"/>
  <c r="BI173" i="80"/>
  <c r="BH173" i="80"/>
  <c r="BG173" i="80"/>
  <c r="BE173" i="80"/>
  <c r="BI172" i="80"/>
  <c r="BH172" i="80"/>
  <c r="BG172" i="80"/>
  <c r="BE172" i="80"/>
  <c r="BI171" i="80"/>
  <c r="BH171" i="80"/>
  <c r="BG171" i="80"/>
  <c r="BE171" i="80"/>
  <c r="BI170" i="80"/>
  <c r="BH170" i="80"/>
  <c r="BG170" i="80"/>
  <c r="BE170" i="80"/>
  <c r="BK169" i="80"/>
  <c r="BI169" i="80"/>
  <c r="BH169" i="80"/>
  <c r="BG169" i="80"/>
  <c r="BE169" i="80"/>
  <c r="T169" i="80"/>
  <c r="R169" i="80"/>
  <c r="P169" i="80"/>
  <c r="J169" i="80"/>
  <c r="BF169" i="80" s="1"/>
  <c r="BK168" i="80"/>
  <c r="BI168" i="80"/>
  <c r="BH168" i="80"/>
  <c r="BG168" i="80"/>
  <c r="BE168" i="80"/>
  <c r="T168" i="80"/>
  <c r="R168" i="80"/>
  <c r="P168" i="80"/>
  <c r="J168" i="80"/>
  <c r="BF168" i="80" s="1"/>
  <c r="BK167" i="80"/>
  <c r="BI167" i="80"/>
  <c r="BH167" i="80"/>
  <c r="BG167" i="80"/>
  <c r="BF167" i="80"/>
  <c r="BE167" i="80"/>
  <c r="T167" i="80"/>
  <c r="R167" i="80"/>
  <c r="P167" i="80"/>
  <c r="J167" i="80"/>
  <c r="BK165" i="80"/>
  <c r="BI165" i="80"/>
  <c r="BH165" i="80"/>
  <c r="BG165" i="80"/>
  <c r="BE165" i="80"/>
  <c r="T165" i="80"/>
  <c r="R165" i="80"/>
  <c r="P165" i="80"/>
  <c r="P162" i="80" s="1"/>
  <c r="J165" i="80"/>
  <c r="BF165" i="80" s="1"/>
  <c r="BK164" i="80"/>
  <c r="BI164" i="80"/>
  <c r="BH164" i="80"/>
  <c r="BG164" i="80"/>
  <c r="BE164" i="80"/>
  <c r="T164" i="80"/>
  <c r="T162" i="80" s="1"/>
  <c r="R164" i="80"/>
  <c r="P164" i="80"/>
  <c r="J164" i="80"/>
  <c r="BF164" i="80" s="1"/>
  <c r="BK163" i="80"/>
  <c r="BI163" i="80"/>
  <c r="BH163" i="80"/>
  <c r="BG163" i="80"/>
  <c r="BE163" i="80"/>
  <c r="T163" i="80"/>
  <c r="R163" i="80"/>
  <c r="P163" i="80"/>
  <c r="J163" i="80"/>
  <c r="BF163" i="80" s="1"/>
  <c r="R162" i="80"/>
  <c r="BK161" i="80"/>
  <c r="BI161" i="80"/>
  <c r="BH161" i="80"/>
  <c r="BG161" i="80"/>
  <c r="BF161" i="80"/>
  <c r="BE161" i="80"/>
  <c r="T161" i="80"/>
  <c r="R161" i="80"/>
  <c r="P161" i="80"/>
  <c r="J161" i="80"/>
  <c r="BK160" i="80"/>
  <c r="BI160" i="80"/>
  <c r="BH160" i="80"/>
  <c r="BG160" i="80"/>
  <c r="BF160" i="80"/>
  <c r="BE160" i="80"/>
  <c r="T160" i="80"/>
  <c r="R160" i="80"/>
  <c r="P160" i="80"/>
  <c r="J160" i="80"/>
  <c r="BK159" i="80"/>
  <c r="BI159" i="80"/>
  <c r="BH159" i="80"/>
  <c r="BG159" i="80"/>
  <c r="BE159" i="80"/>
  <c r="T159" i="80"/>
  <c r="R159" i="80"/>
  <c r="P159" i="80"/>
  <c r="J159" i="80"/>
  <c r="BF159" i="80" s="1"/>
  <c r="BK158" i="80"/>
  <c r="BI158" i="80"/>
  <c r="BH158" i="80"/>
  <c r="BG158" i="80"/>
  <c r="BE158" i="80"/>
  <c r="T158" i="80"/>
  <c r="R158" i="80"/>
  <c r="P158" i="80"/>
  <c r="J158" i="80"/>
  <c r="BF158" i="80" s="1"/>
  <c r="BK157" i="80"/>
  <c r="BI157" i="80"/>
  <c r="BH157" i="80"/>
  <c r="BG157" i="80"/>
  <c r="BF157" i="80"/>
  <c r="BE157" i="80"/>
  <c r="T157" i="80"/>
  <c r="R157" i="80"/>
  <c r="P157" i="80"/>
  <c r="J157" i="80"/>
  <c r="BK156" i="80"/>
  <c r="BI156" i="80"/>
  <c r="BH156" i="80"/>
  <c r="BG156" i="80"/>
  <c r="BF156" i="80"/>
  <c r="BE156" i="80"/>
  <c r="T156" i="80"/>
  <c r="R156" i="80"/>
  <c r="P156" i="80"/>
  <c r="J156" i="80"/>
  <c r="BK155" i="80"/>
  <c r="BI155" i="80"/>
  <c r="BH155" i="80"/>
  <c r="BG155" i="80"/>
  <c r="BE155" i="80"/>
  <c r="T155" i="80"/>
  <c r="R155" i="80"/>
  <c r="P155" i="80"/>
  <c r="J155" i="80"/>
  <c r="BF155" i="80" s="1"/>
  <c r="BK154" i="80"/>
  <c r="BI154" i="80"/>
  <c r="BH154" i="80"/>
  <c r="BG154" i="80"/>
  <c r="BE154" i="80"/>
  <c r="T154" i="80"/>
  <c r="T151" i="80" s="1"/>
  <c r="R154" i="80"/>
  <c r="R151" i="80" s="1"/>
  <c r="P154" i="80"/>
  <c r="J154" i="80"/>
  <c r="BF154" i="80" s="1"/>
  <c r="BK153" i="80"/>
  <c r="BK151" i="80" s="1"/>
  <c r="J151" i="80" s="1"/>
  <c r="J100" i="80" s="1"/>
  <c r="BI153" i="80"/>
  <c r="BH153" i="80"/>
  <c r="BG153" i="80"/>
  <c r="BF153" i="80"/>
  <c r="BE153" i="80"/>
  <c r="T153" i="80"/>
  <c r="R153" i="80"/>
  <c r="P153" i="80"/>
  <c r="J153" i="80"/>
  <c r="BK152" i="80"/>
  <c r="BI152" i="80"/>
  <c r="BH152" i="80"/>
  <c r="BG152" i="80"/>
  <c r="BF152" i="80"/>
  <c r="BE152" i="80"/>
  <c r="T152" i="80"/>
  <c r="R152" i="80"/>
  <c r="P152" i="80"/>
  <c r="J152" i="80"/>
  <c r="BK150" i="80"/>
  <c r="BI150" i="80"/>
  <c r="BH150" i="80"/>
  <c r="BG150" i="80"/>
  <c r="BE150" i="80"/>
  <c r="T150" i="80"/>
  <c r="R150" i="80"/>
  <c r="P150" i="80"/>
  <c r="J150" i="80"/>
  <c r="BF150" i="80" s="1"/>
  <c r="BK149" i="80"/>
  <c r="BI149" i="80"/>
  <c r="BH149" i="80"/>
  <c r="BG149" i="80"/>
  <c r="BE149" i="80"/>
  <c r="T149" i="80"/>
  <c r="R149" i="80"/>
  <c r="P149" i="80"/>
  <c r="J149" i="80"/>
  <c r="BF149" i="80" s="1"/>
  <c r="BK148" i="80"/>
  <c r="BK144" i="80" s="1"/>
  <c r="J144" i="80" s="1"/>
  <c r="J99" i="80" s="1"/>
  <c r="BI148" i="80"/>
  <c r="BH148" i="80"/>
  <c r="BG148" i="80"/>
  <c r="BE148" i="80"/>
  <c r="T148" i="80"/>
  <c r="R148" i="80"/>
  <c r="P148" i="80"/>
  <c r="P144" i="80" s="1"/>
  <c r="J148" i="80"/>
  <c r="BF148" i="80" s="1"/>
  <c r="BK147" i="80"/>
  <c r="BI147" i="80"/>
  <c r="BH147" i="80"/>
  <c r="BG147" i="80"/>
  <c r="BE147" i="80"/>
  <c r="T147" i="80"/>
  <c r="T144" i="80" s="1"/>
  <c r="R147" i="80"/>
  <c r="P147" i="80"/>
  <c r="J147" i="80"/>
  <c r="BF147" i="80" s="1"/>
  <c r="BK146" i="80"/>
  <c r="BI146" i="80"/>
  <c r="BH146" i="80"/>
  <c r="BG146" i="80"/>
  <c r="BF146" i="80"/>
  <c r="BE146" i="80"/>
  <c r="T146" i="80"/>
  <c r="R146" i="80"/>
  <c r="P146" i="80"/>
  <c r="J146" i="80"/>
  <c r="BK145" i="80"/>
  <c r="BI145" i="80"/>
  <c r="BH145" i="80"/>
  <c r="BG145" i="80"/>
  <c r="BE145" i="80"/>
  <c r="T145" i="80"/>
  <c r="R145" i="80"/>
  <c r="R144" i="80" s="1"/>
  <c r="P145" i="80"/>
  <c r="J145" i="80"/>
  <c r="BF145" i="80" s="1"/>
  <c r="BK143" i="80"/>
  <c r="BI143" i="80"/>
  <c r="BH143" i="80"/>
  <c r="BG143" i="80"/>
  <c r="BE143" i="80"/>
  <c r="T143" i="80"/>
  <c r="R143" i="80"/>
  <c r="P143" i="80"/>
  <c r="J143" i="80"/>
  <c r="BF143" i="80" s="1"/>
  <c r="BK142" i="80"/>
  <c r="BI142" i="80"/>
  <c r="BH142" i="80"/>
  <c r="BG142" i="80"/>
  <c r="BE142" i="80"/>
  <c r="T142" i="80"/>
  <c r="R142" i="80"/>
  <c r="P142" i="80"/>
  <c r="J142" i="80"/>
  <c r="BF142" i="80" s="1"/>
  <c r="BK141" i="80"/>
  <c r="BI141" i="80"/>
  <c r="BH141" i="80"/>
  <c r="BG141" i="80"/>
  <c r="BE141" i="80"/>
  <c r="T141" i="80"/>
  <c r="R141" i="80"/>
  <c r="P141" i="80"/>
  <c r="J141" i="80"/>
  <c r="BF141" i="80" s="1"/>
  <c r="BK140" i="80"/>
  <c r="BI140" i="80"/>
  <c r="BH140" i="80"/>
  <c r="BG140" i="80"/>
  <c r="BF140" i="80"/>
  <c r="BE140" i="80"/>
  <c r="T140" i="80"/>
  <c r="R140" i="80"/>
  <c r="P140" i="80"/>
  <c r="J140" i="80"/>
  <c r="BK139" i="80"/>
  <c r="BI139" i="80"/>
  <c r="BH139" i="80"/>
  <c r="BG139" i="80"/>
  <c r="BF139" i="80"/>
  <c r="BE139" i="80"/>
  <c r="T139" i="80"/>
  <c r="R139" i="80"/>
  <c r="P139" i="80"/>
  <c r="J139" i="80"/>
  <c r="BK138" i="80"/>
  <c r="BI138" i="80"/>
  <c r="BH138" i="80"/>
  <c r="BG138" i="80"/>
  <c r="BE138" i="80"/>
  <c r="T138" i="80"/>
  <c r="R138" i="80"/>
  <c r="P138" i="80"/>
  <c r="J138" i="80"/>
  <c r="BF138" i="80" s="1"/>
  <c r="BK137" i="80"/>
  <c r="BI137" i="80"/>
  <c r="BH137" i="80"/>
  <c r="BG137" i="80"/>
  <c r="BE137" i="80"/>
  <c r="T137" i="80"/>
  <c r="R137" i="80"/>
  <c r="P137" i="80"/>
  <c r="P136" i="80" s="1"/>
  <c r="J137" i="80"/>
  <c r="BF137" i="80" s="1"/>
  <c r="J131" i="80"/>
  <c r="F131" i="80"/>
  <c r="J130" i="80"/>
  <c r="F130" i="80"/>
  <c r="F128" i="80"/>
  <c r="E126" i="80"/>
  <c r="BI113" i="80"/>
  <c r="BH113" i="80"/>
  <c r="BG113" i="80"/>
  <c r="BE113" i="80"/>
  <c r="J92" i="80"/>
  <c r="F92" i="80"/>
  <c r="J91" i="80"/>
  <c r="F91" i="80"/>
  <c r="F89" i="80"/>
  <c r="E87" i="80"/>
  <c r="J39" i="80"/>
  <c r="J38" i="80"/>
  <c r="J37" i="80"/>
  <c r="J12" i="80"/>
  <c r="J89" i="80" s="1"/>
  <c r="E7" i="80"/>
  <c r="E124" i="80" s="1"/>
  <c r="BK200" i="79"/>
  <c r="BI200" i="79"/>
  <c r="BH200" i="79"/>
  <c r="BG200" i="79"/>
  <c r="BE200" i="79"/>
  <c r="T200" i="79"/>
  <c r="R200" i="79"/>
  <c r="P200" i="79"/>
  <c r="P197" i="79" s="1"/>
  <c r="P195" i="79" s="1"/>
  <c r="J200" i="79"/>
  <c r="BF200" i="79" s="1"/>
  <c r="BK199" i="79"/>
  <c r="BI199" i="79"/>
  <c r="BH199" i="79"/>
  <c r="BG199" i="79"/>
  <c r="BE199" i="79"/>
  <c r="T199" i="79"/>
  <c r="T197" i="79" s="1"/>
  <c r="R199" i="79"/>
  <c r="R197" i="79" s="1"/>
  <c r="R195" i="79" s="1"/>
  <c r="P199" i="79"/>
  <c r="J199" i="79"/>
  <c r="BF199" i="79" s="1"/>
  <c r="BK198" i="79"/>
  <c r="BI198" i="79"/>
  <c r="BH198" i="79"/>
  <c r="BG198" i="79"/>
  <c r="BF198" i="79"/>
  <c r="BE198" i="79"/>
  <c r="T198" i="79"/>
  <c r="R198" i="79"/>
  <c r="P198" i="79"/>
  <c r="J198" i="79"/>
  <c r="BK196" i="79"/>
  <c r="BI196" i="79"/>
  <c r="BH196" i="79"/>
  <c r="BG196" i="79"/>
  <c r="BE196" i="79"/>
  <c r="T196" i="79"/>
  <c r="R196" i="79"/>
  <c r="P196" i="79"/>
  <c r="J196" i="79"/>
  <c r="BF196" i="79" s="1"/>
  <c r="BI194" i="79"/>
  <c r="BH194" i="79"/>
  <c r="BG194" i="79"/>
  <c r="BE194" i="79"/>
  <c r="BI193" i="79"/>
  <c r="BH193" i="79"/>
  <c r="BG193" i="79"/>
  <c r="BE193" i="79"/>
  <c r="BI192" i="79"/>
  <c r="BH192" i="79"/>
  <c r="BG192" i="79"/>
  <c r="BE192" i="79"/>
  <c r="BK190" i="79"/>
  <c r="BI190" i="79"/>
  <c r="BH190" i="79"/>
  <c r="BG190" i="79"/>
  <c r="BF190" i="79"/>
  <c r="BE190" i="79"/>
  <c r="T190" i="79"/>
  <c r="R190" i="79"/>
  <c r="P190" i="79"/>
  <c r="J190" i="79"/>
  <c r="BI189" i="79"/>
  <c r="BH189" i="79"/>
  <c r="BG189" i="79"/>
  <c r="BE189" i="79"/>
  <c r="BI188" i="79"/>
  <c r="BH188" i="79"/>
  <c r="BG188" i="79"/>
  <c r="BE188" i="79"/>
  <c r="BI187" i="79"/>
  <c r="BH187" i="79"/>
  <c r="BG187" i="79"/>
  <c r="BE187" i="79"/>
  <c r="BK185" i="79"/>
  <c r="BI185" i="79"/>
  <c r="BH185" i="79"/>
  <c r="BG185" i="79"/>
  <c r="BF185" i="79"/>
  <c r="BE185" i="79"/>
  <c r="T185" i="79"/>
  <c r="R185" i="79"/>
  <c r="P185" i="79"/>
  <c r="J185" i="79"/>
  <c r="BK184" i="79"/>
  <c r="BI184" i="79"/>
  <c r="BH184" i="79"/>
  <c r="BG184" i="79"/>
  <c r="BF184" i="79"/>
  <c r="BE184" i="79"/>
  <c r="T184" i="79"/>
  <c r="R184" i="79"/>
  <c r="P184" i="79"/>
  <c r="J184" i="79"/>
  <c r="BK183" i="79"/>
  <c r="BI183" i="79"/>
  <c r="BH183" i="79"/>
  <c r="BG183" i="79"/>
  <c r="BE183" i="79"/>
  <c r="T183" i="79"/>
  <c r="R183" i="79"/>
  <c r="P183" i="79"/>
  <c r="J183" i="79"/>
  <c r="BF183" i="79" s="1"/>
  <c r="BK182" i="79"/>
  <c r="BI182" i="79"/>
  <c r="BH182" i="79"/>
  <c r="BG182" i="79"/>
  <c r="BE182" i="79"/>
  <c r="T182" i="79"/>
  <c r="R182" i="79"/>
  <c r="P182" i="79"/>
  <c r="J182" i="79"/>
  <c r="BF182" i="79" s="1"/>
  <c r="BK181" i="79"/>
  <c r="BI181" i="79"/>
  <c r="BH181" i="79"/>
  <c r="BG181" i="79"/>
  <c r="BF181" i="79"/>
  <c r="BE181" i="79"/>
  <c r="T181" i="79"/>
  <c r="R181" i="79"/>
  <c r="P181" i="79"/>
  <c r="J181" i="79"/>
  <c r="BK180" i="79"/>
  <c r="BI180" i="79"/>
  <c r="BH180" i="79"/>
  <c r="BG180" i="79"/>
  <c r="BF180" i="79"/>
  <c r="BE180" i="79"/>
  <c r="T180" i="79"/>
  <c r="R180" i="79"/>
  <c r="P180" i="79"/>
  <c r="J180" i="79"/>
  <c r="BK179" i="79"/>
  <c r="BI179" i="79"/>
  <c r="BH179" i="79"/>
  <c r="BG179" i="79"/>
  <c r="BE179" i="79"/>
  <c r="T179" i="79"/>
  <c r="R179" i="79"/>
  <c r="P179" i="79"/>
  <c r="J179" i="79"/>
  <c r="BF179" i="79" s="1"/>
  <c r="BK178" i="79"/>
  <c r="BI178" i="79"/>
  <c r="BH178" i="79"/>
  <c r="BG178" i="79"/>
  <c r="BE178" i="79"/>
  <c r="T178" i="79"/>
  <c r="R178" i="79"/>
  <c r="P178" i="79"/>
  <c r="J178" i="79"/>
  <c r="BF178" i="79" s="1"/>
  <c r="BK177" i="79"/>
  <c r="BI177" i="79"/>
  <c r="BH177" i="79"/>
  <c r="BG177" i="79"/>
  <c r="BE177" i="79"/>
  <c r="T177" i="79"/>
  <c r="R177" i="79"/>
  <c r="P177" i="79"/>
  <c r="J177" i="79"/>
  <c r="BF177" i="79" s="1"/>
  <c r="BK176" i="79"/>
  <c r="BI176" i="79"/>
  <c r="BH176" i="79"/>
  <c r="BG176" i="79"/>
  <c r="BF176" i="79"/>
  <c r="BE176" i="79"/>
  <c r="T176" i="79"/>
  <c r="R176" i="79"/>
  <c r="P176" i="79"/>
  <c r="J176" i="79"/>
  <c r="BK175" i="79"/>
  <c r="BI175" i="79"/>
  <c r="BH175" i="79"/>
  <c r="BG175" i="79"/>
  <c r="BE175" i="79"/>
  <c r="T175" i="79"/>
  <c r="R175" i="79"/>
  <c r="P175" i="79"/>
  <c r="J175" i="79"/>
  <c r="BF175" i="79" s="1"/>
  <c r="BK174" i="79"/>
  <c r="BI174" i="79"/>
  <c r="BH174" i="79"/>
  <c r="BG174" i="79"/>
  <c r="BE174" i="79"/>
  <c r="T174" i="79"/>
  <c r="R174" i="79"/>
  <c r="P174" i="79"/>
  <c r="J174" i="79"/>
  <c r="BF174" i="79" s="1"/>
  <c r="BK173" i="79"/>
  <c r="BI173" i="79"/>
  <c r="BH173" i="79"/>
  <c r="BG173" i="79"/>
  <c r="BF173" i="79"/>
  <c r="BE173" i="79"/>
  <c r="T173" i="79"/>
  <c r="R173" i="79"/>
  <c r="P173" i="79"/>
  <c r="J173" i="79"/>
  <c r="BK172" i="79"/>
  <c r="BI172" i="79"/>
  <c r="BH172" i="79"/>
  <c r="BG172" i="79"/>
  <c r="BE172" i="79"/>
  <c r="T172" i="79"/>
  <c r="R172" i="79"/>
  <c r="P172" i="79"/>
  <c r="J172" i="79"/>
  <c r="BF172" i="79" s="1"/>
  <c r="BK171" i="79"/>
  <c r="BI171" i="79"/>
  <c r="BH171" i="79"/>
  <c r="BG171" i="79"/>
  <c r="BE171" i="79"/>
  <c r="T171" i="79"/>
  <c r="R171" i="79"/>
  <c r="P171" i="79"/>
  <c r="J171" i="79"/>
  <c r="BF171" i="79" s="1"/>
  <c r="BK170" i="79"/>
  <c r="BI170" i="79"/>
  <c r="BH170" i="79"/>
  <c r="BG170" i="79"/>
  <c r="BE170" i="79"/>
  <c r="T170" i="79"/>
  <c r="R170" i="79"/>
  <c r="P170" i="79"/>
  <c r="J170" i="79"/>
  <c r="BF170" i="79" s="1"/>
  <c r="BK169" i="79"/>
  <c r="BI169" i="79"/>
  <c r="BH169" i="79"/>
  <c r="BG169" i="79"/>
  <c r="BE169" i="79"/>
  <c r="T169" i="79"/>
  <c r="R169" i="79"/>
  <c r="P169" i="79"/>
  <c r="J169" i="79"/>
  <c r="BF169" i="79" s="1"/>
  <c r="BK168" i="79"/>
  <c r="BI168" i="79"/>
  <c r="BH168" i="79"/>
  <c r="BG168" i="79"/>
  <c r="BF168" i="79"/>
  <c r="BE168" i="79"/>
  <c r="T168" i="79"/>
  <c r="R168" i="79"/>
  <c r="P168" i="79"/>
  <c r="J168" i="79"/>
  <c r="BK167" i="79"/>
  <c r="BI167" i="79"/>
  <c r="BH167" i="79"/>
  <c r="BG167" i="79"/>
  <c r="BE167" i="79"/>
  <c r="T167" i="79"/>
  <c r="R167" i="79"/>
  <c r="P167" i="79"/>
  <c r="J167" i="79"/>
  <c r="BF167" i="79" s="1"/>
  <c r="BK166" i="79"/>
  <c r="BI166" i="79"/>
  <c r="BH166" i="79"/>
  <c r="BG166" i="79"/>
  <c r="BE166" i="79"/>
  <c r="T166" i="79"/>
  <c r="R166" i="79"/>
  <c r="P166" i="79"/>
  <c r="J166" i="79"/>
  <c r="BF166" i="79" s="1"/>
  <c r="BK165" i="79"/>
  <c r="BI165" i="79"/>
  <c r="BH165" i="79"/>
  <c r="BG165" i="79"/>
  <c r="BF165" i="79"/>
  <c r="BE165" i="79"/>
  <c r="T165" i="79"/>
  <c r="R165" i="79"/>
  <c r="P165" i="79"/>
  <c r="J165" i="79"/>
  <c r="BK164" i="79"/>
  <c r="BI164" i="79"/>
  <c r="BH164" i="79"/>
  <c r="BG164" i="79"/>
  <c r="BE164" i="79"/>
  <c r="T164" i="79"/>
  <c r="R164" i="79"/>
  <c r="P164" i="79"/>
  <c r="J164" i="79"/>
  <c r="BF164" i="79" s="1"/>
  <c r="BK163" i="79"/>
  <c r="BI163" i="79"/>
  <c r="BH163" i="79"/>
  <c r="BG163" i="79"/>
  <c r="BE163" i="79"/>
  <c r="T163" i="79"/>
  <c r="R163" i="79"/>
  <c r="P163" i="79"/>
  <c r="J163" i="79"/>
  <c r="BF163" i="79" s="1"/>
  <c r="BK162" i="79"/>
  <c r="BI162" i="79"/>
  <c r="BH162" i="79"/>
  <c r="BG162" i="79"/>
  <c r="BE162" i="79"/>
  <c r="T162" i="79"/>
  <c r="R162" i="79"/>
  <c r="P162" i="79"/>
  <c r="J162" i="79"/>
  <c r="BF162" i="79" s="1"/>
  <c r="BK161" i="79"/>
  <c r="BI161" i="79"/>
  <c r="BH161" i="79"/>
  <c r="BG161" i="79"/>
  <c r="BE161" i="79"/>
  <c r="T161" i="79"/>
  <c r="R161" i="79"/>
  <c r="P161" i="79"/>
  <c r="J161" i="79"/>
  <c r="BF161" i="79" s="1"/>
  <c r="BK159" i="79"/>
  <c r="BI159" i="79"/>
  <c r="BH159" i="79"/>
  <c r="BG159" i="79"/>
  <c r="BE159" i="79"/>
  <c r="T159" i="79"/>
  <c r="R159" i="79"/>
  <c r="P159" i="79"/>
  <c r="J159" i="79"/>
  <c r="BF159" i="79" s="1"/>
  <c r="BK158" i="79"/>
  <c r="BI158" i="79"/>
  <c r="BH158" i="79"/>
  <c r="BG158" i="79"/>
  <c r="BE158" i="79"/>
  <c r="T158" i="79"/>
  <c r="R158" i="79"/>
  <c r="P158" i="79"/>
  <c r="J158" i="79"/>
  <c r="BF158" i="79" s="1"/>
  <c r="BK157" i="79"/>
  <c r="BI157" i="79"/>
  <c r="BH157" i="79"/>
  <c r="BG157" i="79"/>
  <c r="BE157" i="79"/>
  <c r="T157" i="79"/>
  <c r="R157" i="79"/>
  <c r="P157" i="79"/>
  <c r="J157" i="79"/>
  <c r="BF157" i="79" s="1"/>
  <c r="BK156" i="79"/>
  <c r="BI156" i="79"/>
  <c r="BH156" i="79"/>
  <c r="BG156" i="79"/>
  <c r="BE156" i="79"/>
  <c r="T156" i="79"/>
  <c r="R156" i="79"/>
  <c r="P156" i="79"/>
  <c r="J156" i="79"/>
  <c r="BF156" i="79" s="1"/>
  <c r="BK155" i="79"/>
  <c r="BI155" i="79"/>
  <c r="BH155" i="79"/>
  <c r="BG155" i="79"/>
  <c r="BE155" i="79"/>
  <c r="T155" i="79"/>
  <c r="R155" i="79"/>
  <c r="P155" i="79"/>
  <c r="J155" i="79"/>
  <c r="BF155" i="79" s="1"/>
  <c r="BK154" i="79"/>
  <c r="BI154" i="79"/>
  <c r="BH154" i="79"/>
  <c r="BG154" i="79"/>
  <c r="BE154" i="79"/>
  <c r="T154" i="79"/>
  <c r="R154" i="79"/>
  <c r="P154" i="79"/>
  <c r="J154" i="79"/>
  <c r="BF154" i="79" s="1"/>
  <c r="BK153" i="79"/>
  <c r="BI153" i="79"/>
  <c r="BH153" i="79"/>
  <c r="BG153" i="79"/>
  <c r="BE153" i="79"/>
  <c r="T153" i="79"/>
  <c r="R153" i="79"/>
  <c r="P153" i="79"/>
  <c r="J153" i="79"/>
  <c r="BF153" i="79" s="1"/>
  <c r="BK152" i="79"/>
  <c r="BI152" i="79"/>
  <c r="BH152" i="79"/>
  <c r="BG152" i="79"/>
  <c r="BE152" i="79"/>
  <c r="T152" i="79"/>
  <c r="R152" i="79"/>
  <c r="P152" i="79"/>
  <c r="J152" i="79"/>
  <c r="BF152" i="79" s="1"/>
  <c r="BK151" i="79"/>
  <c r="BI151" i="79"/>
  <c r="BH151" i="79"/>
  <c r="BG151" i="79"/>
  <c r="BE151" i="79"/>
  <c r="T151" i="79"/>
  <c r="R151" i="79"/>
  <c r="R148" i="79" s="1"/>
  <c r="P151" i="79"/>
  <c r="P148" i="79" s="1"/>
  <c r="J151" i="79"/>
  <c r="BF151" i="79" s="1"/>
  <c r="BK150" i="79"/>
  <c r="BI150" i="79"/>
  <c r="BH150" i="79"/>
  <c r="BG150" i="79"/>
  <c r="BE150" i="79"/>
  <c r="T150" i="79"/>
  <c r="T148" i="79" s="1"/>
  <c r="R150" i="79"/>
  <c r="P150" i="79"/>
  <c r="J150" i="79"/>
  <c r="BF150" i="79" s="1"/>
  <c r="BK149" i="79"/>
  <c r="BI149" i="79"/>
  <c r="BH149" i="79"/>
  <c r="BG149" i="79"/>
  <c r="BF149" i="79"/>
  <c r="BE149" i="79"/>
  <c r="T149" i="79"/>
  <c r="R149" i="79"/>
  <c r="P149" i="79"/>
  <c r="J149" i="79"/>
  <c r="BK147" i="79"/>
  <c r="BI147" i="79"/>
  <c r="BH147" i="79"/>
  <c r="BG147" i="79"/>
  <c r="BE147" i="79"/>
  <c r="T147" i="79"/>
  <c r="R147" i="79"/>
  <c r="P147" i="79"/>
  <c r="J147" i="79"/>
  <c r="BF147" i="79" s="1"/>
  <c r="BK146" i="79"/>
  <c r="BI146" i="79"/>
  <c r="BH146" i="79"/>
  <c r="BG146" i="79"/>
  <c r="BE146" i="79"/>
  <c r="T146" i="79"/>
  <c r="R146" i="79"/>
  <c r="P146" i="79"/>
  <c r="J146" i="79"/>
  <c r="BF146" i="79" s="1"/>
  <c r="BK145" i="79"/>
  <c r="BI145" i="79"/>
  <c r="BH145" i="79"/>
  <c r="BG145" i="79"/>
  <c r="BE145" i="79"/>
  <c r="T145" i="79"/>
  <c r="R145" i="79"/>
  <c r="P145" i="79"/>
  <c r="J145" i="79"/>
  <c r="BF145" i="79" s="1"/>
  <c r="BK144" i="79"/>
  <c r="BI144" i="79"/>
  <c r="BH144" i="79"/>
  <c r="BG144" i="79"/>
  <c r="BE144" i="79"/>
  <c r="T144" i="79"/>
  <c r="R144" i="79"/>
  <c r="P144" i="79"/>
  <c r="J144" i="79"/>
  <c r="BF144" i="79" s="1"/>
  <c r="BK143" i="79"/>
  <c r="BI143" i="79"/>
  <c r="BH143" i="79"/>
  <c r="BG143" i="79"/>
  <c r="BF143" i="79"/>
  <c r="BE143" i="79"/>
  <c r="T143" i="79"/>
  <c r="R143" i="79"/>
  <c r="P143" i="79"/>
  <c r="J143" i="79"/>
  <c r="BK142" i="79"/>
  <c r="BI142" i="79"/>
  <c r="BH142" i="79"/>
  <c r="BG142" i="79"/>
  <c r="BE142" i="79"/>
  <c r="T142" i="79"/>
  <c r="R142" i="79"/>
  <c r="P142" i="79"/>
  <c r="J142" i="79"/>
  <c r="BF142" i="79" s="1"/>
  <c r="BK141" i="79"/>
  <c r="BI141" i="79"/>
  <c r="BH141" i="79"/>
  <c r="BG141" i="79"/>
  <c r="BE141" i="79"/>
  <c r="T141" i="79"/>
  <c r="R141" i="79"/>
  <c r="P141" i="79"/>
  <c r="J141" i="79"/>
  <c r="BF141" i="79" s="1"/>
  <c r="BK140" i="79"/>
  <c r="BI140" i="79"/>
  <c r="BH140" i="79"/>
  <c r="BG140" i="79"/>
  <c r="BF140" i="79"/>
  <c r="BE140" i="79"/>
  <c r="T140" i="79"/>
  <c r="R140" i="79"/>
  <c r="P140" i="79"/>
  <c r="J140" i="79"/>
  <c r="BI139" i="79"/>
  <c r="BH139" i="79"/>
  <c r="BG139" i="79"/>
  <c r="BE139" i="79"/>
  <c r="BK138" i="79"/>
  <c r="BI138" i="79"/>
  <c r="BH138" i="79"/>
  <c r="BG138" i="79"/>
  <c r="BE138" i="79"/>
  <c r="T138" i="79"/>
  <c r="R138" i="79"/>
  <c r="P138" i="79"/>
  <c r="J138" i="79"/>
  <c r="BF138" i="79" s="1"/>
  <c r="BK137" i="79"/>
  <c r="BI137" i="79"/>
  <c r="BH137" i="79"/>
  <c r="BG137" i="79"/>
  <c r="BE137" i="79"/>
  <c r="T137" i="79"/>
  <c r="R137" i="79"/>
  <c r="P137" i="79"/>
  <c r="J137" i="79"/>
  <c r="BF137" i="79" s="1"/>
  <c r="BK136" i="79"/>
  <c r="BI136" i="79"/>
  <c r="BH136" i="79"/>
  <c r="BG136" i="79"/>
  <c r="BF136" i="79"/>
  <c r="BE136" i="79"/>
  <c r="T136" i="79"/>
  <c r="R136" i="79"/>
  <c r="P136" i="79"/>
  <c r="J136" i="79"/>
  <c r="BK135" i="79"/>
  <c r="BI135" i="79"/>
  <c r="BH135" i="79"/>
  <c r="BG135" i="79"/>
  <c r="BF135" i="79"/>
  <c r="BE135" i="79"/>
  <c r="T135" i="79"/>
  <c r="R135" i="79"/>
  <c r="P135" i="79"/>
  <c r="J135" i="79"/>
  <c r="BK134" i="79"/>
  <c r="BI134" i="79"/>
  <c r="BH134" i="79"/>
  <c r="BG134" i="79"/>
  <c r="BE134" i="79"/>
  <c r="T134" i="79"/>
  <c r="R134" i="79"/>
  <c r="P134" i="79"/>
  <c r="J134" i="79"/>
  <c r="BF134" i="79" s="1"/>
  <c r="BK133" i="79"/>
  <c r="BI133" i="79"/>
  <c r="BH133" i="79"/>
  <c r="BG133" i="79"/>
  <c r="BE133" i="79"/>
  <c r="T133" i="79"/>
  <c r="R133" i="79"/>
  <c r="P133" i="79"/>
  <c r="J133" i="79"/>
  <c r="BF133" i="79" s="1"/>
  <c r="BK132" i="79"/>
  <c r="BI132" i="79"/>
  <c r="BH132" i="79"/>
  <c r="BG132" i="79"/>
  <c r="BE132" i="79"/>
  <c r="T132" i="79"/>
  <c r="R132" i="79"/>
  <c r="P132" i="79"/>
  <c r="J132" i="79"/>
  <c r="BF132" i="79" s="1"/>
  <c r="BK131" i="79"/>
  <c r="BI131" i="79"/>
  <c r="BH131" i="79"/>
  <c r="BG131" i="79"/>
  <c r="BF131" i="79"/>
  <c r="BE131" i="79"/>
  <c r="T131" i="79"/>
  <c r="R131" i="79"/>
  <c r="P131" i="79"/>
  <c r="J131" i="79"/>
  <c r="J122" i="79"/>
  <c r="F122" i="79"/>
  <c r="E120" i="79"/>
  <c r="F89" i="79"/>
  <c r="E87" i="79"/>
  <c r="E85" i="79"/>
  <c r="J39" i="79"/>
  <c r="J38" i="79"/>
  <c r="J37" i="79"/>
  <c r="J31" i="79"/>
  <c r="J24" i="79"/>
  <c r="E24" i="79"/>
  <c r="J125" i="79" s="1"/>
  <c r="J23" i="79"/>
  <c r="J21" i="79"/>
  <c r="E21" i="79"/>
  <c r="J124" i="79" s="1"/>
  <c r="J20" i="79"/>
  <c r="J18" i="79"/>
  <c r="E18" i="79"/>
  <c r="F125" i="79" s="1"/>
  <c r="J17" i="79"/>
  <c r="J15" i="79"/>
  <c r="E15" i="79"/>
  <c r="F91" i="79" s="1"/>
  <c r="J14" i="79"/>
  <c r="J12" i="79"/>
  <c r="J89" i="79" s="1"/>
  <c r="E7" i="79"/>
  <c r="E118" i="79" s="1"/>
  <c r="BI183" i="78"/>
  <c r="BH183" i="78"/>
  <c r="BG183" i="78"/>
  <c r="BE183" i="78"/>
  <c r="BI181" i="78"/>
  <c r="BH181" i="78"/>
  <c r="BG181" i="78"/>
  <c r="BE181" i="78"/>
  <c r="BK180" i="78"/>
  <c r="BI180" i="78"/>
  <c r="BH180" i="78"/>
  <c r="BG180" i="78"/>
  <c r="BF180" i="78"/>
  <c r="BE180" i="78"/>
  <c r="T180" i="78"/>
  <c r="R180" i="78"/>
  <c r="P180" i="78"/>
  <c r="J180" i="78"/>
  <c r="BK179" i="78"/>
  <c r="BI179" i="78"/>
  <c r="BH179" i="78"/>
  <c r="BG179" i="78"/>
  <c r="BE179" i="78"/>
  <c r="T179" i="78"/>
  <c r="R179" i="78"/>
  <c r="P179" i="78"/>
  <c r="J179" i="78"/>
  <c r="BF179" i="78" s="1"/>
  <c r="BK178" i="78"/>
  <c r="BI178" i="78"/>
  <c r="BH178" i="78"/>
  <c r="BG178" i="78"/>
  <c r="BE178" i="78"/>
  <c r="T178" i="78"/>
  <c r="R178" i="78"/>
  <c r="P178" i="78"/>
  <c r="J178" i="78"/>
  <c r="BF178" i="78" s="1"/>
  <c r="BK175" i="78"/>
  <c r="BI175" i="78"/>
  <c r="BH175" i="78"/>
  <c r="BG175" i="78"/>
  <c r="BF175" i="78"/>
  <c r="BE175" i="78"/>
  <c r="T175" i="78"/>
  <c r="R175" i="78"/>
  <c r="P175" i="78"/>
  <c r="J175" i="78"/>
  <c r="BK174" i="78"/>
  <c r="BI174" i="78"/>
  <c r="BH174" i="78"/>
  <c r="BG174" i="78"/>
  <c r="BE174" i="78"/>
  <c r="T174" i="78"/>
  <c r="R174" i="78"/>
  <c r="P174" i="78"/>
  <c r="J174" i="78"/>
  <c r="BF174" i="78" s="1"/>
  <c r="BK173" i="78"/>
  <c r="BI173" i="78"/>
  <c r="BH173" i="78"/>
  <c r="BG173" i="78"/>
  <c r="BE173" i="78"/>
  <c r="T173" i="78"/>
  <c r="R173" i="78"/>
  <c r="P173" i="78"/>
  <c r="J173" i="78"/>
  <c r="BF173" i="78" s="1"/>
  <c r="BK172" i="78"/>
  <c r="BI172" i="78"/>
  <c r="BH172" i="78"/>
  <c r="BG172" i="78"/>
  <c r="BF172" i="78"/>
  <c r="BE172" i="78"/>
  <c r="T172" i="78"/>
  <c r="R172" i="78"/>
  <c r="P172" i="78"/>
  <c r="J172" i="78"/>
  <c r="BK171" i="78"/>
  <c r="BI171" i="78"/>
  <c r="BH171" i="78"/>
  <c r="BG171" i="78"/>
  <c r="BE171" i="78"/>
  <c r="T171" i="78"/>
  <c r="R171" i="78"/>
  <c r="P171" i="78"/>
  <c r="J171" i="78"/>
  <c r="BF171" i="78" s="1"/>
  <c r="BK170" i="78"/>
  <c r="BI170" i="78"/>
  <c r="BH170" i="78"/>
  <c r="BG170" i="78"/>
  <c r="BE170" i="78"/>
  <c r="T170" i="78"/>
  <c r="R170" i="78"/>
  <c r="P170" i="78"/>
  <c r="J170" i="78"/>
  <c r="BF170" i="78" s="1"/>
  <c r="BK169" i="78"/>
  <c r="BI169" i="78"/>
  <c r="BH169" i="78"/>
  <c r="BG169" i="78"/>
  <c r="BE169" i="78"/>
  <c r="T169" i="78"/>
  <c r="R169" i="78"/>
  <c r="P169" i="78"/>
  <c r="J169" i="78"/>
  <c r="BF169" i="78" s="1"/>
  <c r="BK168" i="78"/>
  <c r="BI168" i="78"/>
  <c r="BH168" i="78"/>
  <c r="BG168" i="78"/>
  <c r="BE168" i="78"/>
  <c r="T168" i="78"/>
  <c r="R168" i="78"/>
  <c r="P168" i="78"/>
  <c r="J168" i="78"/>
  <c r="BF168" i="78" s="1"/>
  <c r="BK166" i="78"/>
  <c r="BK165" i="78" s="1"/>
  <c r="J165" i="78" s="1"/>
  <c r="J100" i="78" s="1"/>
  <c r="BI166" i="78"/>
  <c r="BH166" i="78"/>
  <c r="BG166" i="78"/>
  <c r="BF166" i="78"/>
  <c r="BE166" i="78"/>
  <c r="T166" i="78"/>
  <c r="R166" i="78"/>
  <c r="R165" i="78" s="1"/>
  <c r="P166" i="78"/>
  <c r="P165" i="78" s="1"/>
  <c r="J166" i="78"/>
  <c r="T165" i="78"/>
  <c r="BK164" i="78"/>
  <c r="BI164" i="78"/>
  <c r="BH164" i="78"/>
  <c r="BG164" i="78"/>
  <c r="BE164" i="78"/>
  <c r="T164" i="78"/>
  <c r="R164" i="78"/>
  <c r="P164" i="78"/>
  <c r="J164" i="78"/>
  <c r="BF164" i="78" s="1"/>
  <c r="BK163" i="78"/>
  <c r="BI163" i="78"/>
  <c r="BH163" i="78"/>
  <c r="BG163" i="78"/>
  <c r="BF163" i="78"/>
  <c r="BE163" i="78"/>
  <c r="T163" i="78"/>
  <c r="R163" i="78"/>
  <c r="P163" i="78"/>
  <c r="J163" i="78"/>
  <c r="BK162" i="78"/>
  <c r="BI162" i="78"/>
  <c r="BH162" i="78"/>
  <c r="BG162" i="78"/>
  <c r="BE162" i="78"/>
  <c r="T162" i="78"/>
  <c r="R162" i="78"/>
  <c r="P162" i="78"/>
  <c r="J162" i="78"/>
  <c r="BF162" i="78" s="1"/>
  <c r="BK161" i="78"/>
  <c r="BI161" i="78"/>
  <c r="BH161" i="78"/>
  <c r="BG161" i="78"/>
  <c r="BF161" i="78"/>
  <c r="BE161" i="78"/>
  <c r="T161" i="78"/>
  <c r="R161" i="78"/>
  <c r="P161" i="78"/>
  <c r="J161" i="78"/>
  <c r="BK160" i="78"/>
  <c r="BI160" i="78"/>
  <c r="BH160" i="78"/>
  <c r="BG160" i="78"/>
  <c r="BE160" i="78"/>
  <c r="T160" i="78"/>
  <c r="R160" i="78"/>
  <c r="P160" i="78"/>
  <c r="J160" i="78"/>
  <c r="BF160" i="78" s="1"/>
  <c r="BK159" i="78"/>
  <c r="BI159" i="78"/>
  <c r="BH159" i="78"/>
  <c r="BG159" i="78"/>
  <c r="BE159" i="78"/>
  <c r="T159" i="78"/>
  <c r="R159" i="78"/>
  <c r="P159" i="78"/>
  <c r="J159" i="78"/>
  <c r="BF159" i="78" s="1"/>
  <c r="BK158" i="78"/>
  <c r="BI158" i="78"/>
  <c r="BH158" i="78"/>
  <c r="BG158" i="78"/>
  <c r="BE158" i="78"/>
  <c r="T158" i="78"/>
  <c r="R158" i="78"/>
  <c r="P158" i="78"/>
  <c r="J158" i="78"/>
  <c r="BF158" i="78" s="1"/>
  <c r="BK157" i="78"/>
  <c r="BI157" i="78"/>
  <c r="BH157" i="78"/>
  <c r="BG157" i="78"/>
  <c r="BF157" i="78"/>
  <c r="BE157" i="78"/>
  <c r="T157" i="78"/>
  <c r="R157" i="78"/>
  <c r="P157" i="78"/>
  <c r="J157" i="78"/>
  <c r="BK156" i="78"/>
  <c r="BI156" i="78"/>
  <c r="BH156" i="78"/>
  <c r="BG156" i="78"/>
  <c r="BE156" i="78"/>
  <c r="T156" i="78"/>
  <c r="R156" i="78"/>
  <c r="P156" i="78"/>
  <c r="J156" i="78"/>
  <c r="BF156" i="78" s="1"/>
  <c r="BK155" i="78"/>
  <c r="BI155" i="78"/>
  <c r="BH155" i="78"/>
  <c r="BG155" i="78"/>
  <c r="BE155" i="78"/>
  <c r="T155" i="78"/>
  <c r="R155" i="78"/>
  <c r="P155" i="78"/>
  <c r="J155" i="78"/>
  <c r="BF155" i="78" s="1"/>
  <c r="BK154" i="78"/>
  <c r="BI154" i="78"/>
  <c r="BH154" i="78"/>
  <c r="BG154" i="78"/>
  <c r="BF154" i="78"/>
  <c r="BE154" i="78"/>
  <c r="T154" i="78"/>
  <c r="R154" i="78"/>
  <c r="P154" i="78"/>
  <c r="J154" i="78"/>
  <c r="BK153" i="78"/>
  <c r="BI153" i="78"/>
  <c r="BH153" i="78"/>
  <c r="BG153" i="78"/>
  <c r="BE153" i="78"/>
  <c r="T153" i="78"/>
  <c r="R153" i="78"/>
  <c r="P153" i="78"/>
  <c r="J153" i="78"/>
  <c r="BF153" i="78" s="1"/>
  <c r="BK152" i="78"/>
  <c r="BI152" i="78"/>
  <c r="BH152" i="78"/>
  <c r="BG152" i="78"/>
  <c r="BE152" i="78"/>
  <c r="T152" i="78"/>
  <c r="R152" i="78"/>
  <c r="P152" i="78"/>
  <c r="J152" i="78"/>
  <c r="BF152" i="78" s="1"/>
  <c r="BK151" i="78"/>
  <c r="BI151" i="78"/>
  <c r="BH151" i="78"/>
  <c r="BG151" i="78"/>
  <c r="BE151" i="78"/>
  <c r="T151" i="78"/>
  <c r="R151" i="78"/>
  <c r="P151" i="78"/>
  <c r="J151" i="78"/>
  <c r="BF151" i="78" s="1"/>
  <c r="BK150" i="78"/>
  <c r="BI150" i="78"/>
  <c r="BH150" i="78"/>
  <c r="BG150" i="78"/>
  <c r="BE150" i="78"/>
  <c r="T150" i="78"/>
  <c r="R150" i="78"/>
  <c r="P150" i="78"/>
  <c r="J150" i="78"/>
  <c r="BF150" i="78" s="1"/>
  <c r="BK149" i="78"/>
  <c r="BI149" i="78"/>
  <c r="BH149" i="78"/>
  <c r="BG149" i="78"/>
  <c r="BE149" i="78"/>
  <c r="T149" i="78"/>
  <c r="R149" i="78"/>
  <c r="P149" i="78"/>
  <c r="J149" i="78"/>
  <c r="BF149" i="78" s="1"/>
  <c r="BK148" i="78"/>
  <c r="BI148" i="78"/>
  <c r="BH148" i="78"/>
  <c r="BG148" i="78"/>
  <c r="BE148" i="78"/>
  <c r="T148" i="78"/>
  <c r="R148" i="78"/>
  <c r="P148" i="78"/>
  <c r="J148" i="78"/>
  <c r="BF148" i="78" s="1"/>
  <c r="BK146" i="78"/>
  <c r="BI146" i="78"/>
  <c r="BH146" i="78"/>
  <c r="BG146" i="78"/>
  <c r="BE146" i="78"/>
  <c r="T146" i="78"/>
  <c r="R146" i="78"/>
  <c r="P146" i="78"/>
  <c r="J146" i="78"/>
  <c r="BF146" i="78" s="1"/>
  <c r="BK145" i="78"/>
  <c r="BI145" i="78"/>
  <c r="BH145" i="78"/>
  <c r="BG145" i="78"/>
  <c r="BF145" i="78"/>
  <c r="BE145" i="78"/>
  <c r="T145" i="78"/>
  <c r="R145" i="78"/>
  <c r="P145" i="78"/>
  <c r="J145" i="78"/>
  <c r="BK144" i="78"/>
  <c r="BI144" i="78"/>
  <c r="BH144" i="78"/>
  <c r="BG144" i="78"/>
  <c r="BE144" i="78"/>
  <c r="T144" i="78"/>
  <c r="R144" i="78"/>
  <c r="P144" i="78"/>
  <c r="J144" i="78"/>
  <c r="BF144" i="78" s="1"/>
  <c r="BK143" i="78"/>
  <c r="BI143" i="78"/>
  <c r="BH143" i="78"/>
  <c r="BG143" i="78"/>
  <c r="BE143" i="78"/>
  <c r="T143" i="78"/>
  <c r="R143" i="78"/>
  <c r="P143" i="78"/>
  <c r="J143" i="78"/>
  <c r="BF143" i="78" s="1"/>
  <c r="BK142" i="78"/>
  <c r="BI142" i="78"/>
  <c r="BH142" i="78"/>
  <c r="BG142" i="78"/>
  <c r="BE142" i="78"/>
  <c r="T142" i="78"/>
  <c r="R142" i="78"/>
  <c r="P142" i="78"/>
  <c r="J142" i="78"/>
  <c r="BF142" i="78" s="1"/>
  <c r="BK141" i="78"/>
  <c r="BI141" i="78"/>
  <c r="BH141" i="78"/>
  <c r="BG141" i="78"/>
  <c r="BE141" i="78"/>
  <c r="T141" i="78"/>
  <c r="R141" i="78"/>
  <c r="P141" i="78"/>
  <c r="P139" i="78" s="1"/>
  <c r="J141" i="78"/>
  <c r="BF141" i="78" s="1"/>
  <c r="BK140" i="78"/>
  <c r="BI140" i="78"/>
  <c r="BH140" i="78"/>
  <c r="BG140" i="78"/>
  <c r="BE140" i="78"/>
  <c r="T140" i="78"/>
  <c r="R140" i="78"/>
  <c r="P140" i="78"/>
  <c r="J140" i="78"/>
  <c r="BF140" i="78" s="1"/>
  <c r="BK138" i="78"/>
  <c r="BI138" i="78"/>
  <c r="BH138" i="78"/>
  <c r="BG138" i="78"/>
  <c r="BE138" i="78"/>
  <c r="T138" i="78"/>
  <c r="R138" i="78"/>
  <c r="P138" i="78"/>
  <c r="J138" i="78"/>
  <c r="BF138" i="78" s="1"/>
  <c r="BK137" i="78"/>
  <c r="BI137" i="78"/>
  <c r="BH137" i="78"/>
  <c r="BG137" i="78"/>
  <c r="BE137" i="78"/>
  <c r="T137" i="78"/>
  <c r="R137" i="78"/>
  <c r="P137" i="78"/>
  <c r="J137" i="78"/>
  <c r="BF137" i="78" s="1"/>
  <c r="BK136" i="78"/>
  <c r="BI136" i="78"/>
  <c r="BH136" i="78"/>
  <c r="BG136" i="78"/>
  <c r="BE136" i="78"/>
  <c r="T136" i="78"/>
  <c r="R136" i="78"/>
  <c r="P136" i="78"/>
  <c r="J136" i="78"/>
  <c r="BF136" i="78" s="1"/>
  <c r="BK135" i="78"/>
  <c r="BI135" i="78"/>
  <c r="BH135" i="78"/>
  <c r="BG135" i="78"/>
  <c r="BE135" i="78"/>
  <c r="T135" i="78"/>
  <c r="R135" i="78"/>
  <c r="P135" i="78"/>
  <c r="J135" i="78"/>
  <c r="BF135" i="78" s="1"/>
  <c r="BK134" i="78"/>
  <c r="BI134" i="78"/>
  <c r="BH134" i="78"/>
  <c r="BG134" i="78"/>
  <c r="BF134" i="78"/>
  <c r="BE134" i="78"/>
  <c r="T134" i="78"/>
  <c r="R134" i="78"/>
  <c r="P134" i="78"/>
  <c r="J134" i="78"/>
  <c r="BK133" i="78"/>
  <c r="BI133" i="78"/>
  <c r="BH133" i="78"/>
  <c r="BG133" i="78"/>
  <c r="BF133" i="78"/>
  <c r="BE133" i="78"/>
  <c r="T133" i="78"/>
  <c r="R133" i="78"/>
  <c r="P133" i="78"/>
  <c r="J133" i="78"/>
  <c r="BK132" i="78"/>
  <c r="BI132" i="78"/>
  <c r="BH132" i="78"/>
  <c r="BG132" i="78"/>
  <c r="BE132" i="78"/>
  <c r="T132" i="78"/>
  <c r="R132" i="78"/>
  <c r="P132" i="78"/>
  <c r="J132" i="78"/>
  <c r="BF132" i="78" s="1"/>
  <c r="BK131" i="78"/>
  <c r="BK130" i="78" s="1"/>
  <c r="BI131" i="78"/>
  <c r="BH131" i="78"/>
  <c r="BG131" i="78"/>
  <c r="BE131" i="78"/>
  <c r="T131" i="78"/>
  <c r="R131" i="78"/>
  <c r="P131" i="78"/>
  <c r="J131" i="78"/>
  <c r="BF131" i="78" s="1"/>
  <c r="BK129" i="78"/>
  <c r="BI129" i="78"/>
  <c r="BH129" i="78"/>
  <c r="BG129" i="78"/>
  <c r="BE129" i="78"/>
  <c r="T129" i="78"/>
  <c r="R129" i="78"/>
  <c r="P129" i="78"/>
  <c r="J129" i="78"/>
  <c r="BF129" i="78" s="1"/>
  <c r="F122" i="78"/>
  <c r="E120" i="78"/>
  <c r="F89" i="78"/>
  <c r="E87" i="78"/>
  <c r="J39" i="78"/>
  <c r="J38" i="78"/>
  <c r="J37" i="78"/>
  <c r="J31" i="78"/>
  <c r="J24" i="78"/>
  <c r="E24" i="78"/>
  <c r="J125" i="78" s="1"/>
  <c r="J23" i="78"/>
  <c r="J21" i="78"/>
  <c r="E21" i="78"/>
  <c r="J91" i="78" s="1"/>
  <c r="J20" i="78"/>
  <c r="J18" i="78"/>
  <c r="E18" i="78"/>
  <c r="F125" i="78" s="1"/>
  <c r="J17" i="78"/>
  <c r="J15" i="78"/>
  <c r="E15" i="78"/>
  <c r="F91" i="78" s="1"/>
  <c r="J14" i="78"/>
  <c r="J12" i="78"/>
  <c r="J122" i="78" s="1"/>
  <c r="E7" i="78"/>
  <c r="E118" i="78" s="1"/>
  <c r="BI190" i="77"/>
  <c r="BH190" i="77"/>
  <c r="BG190" i="77"/>
  <c r="BE190" i="77"/>
  <c r="BI188" i="77"/>
  <c r="BH188" i="77"/>
  <c r="BG188" i="77"/>
  <c r="BE188" i="77"/>
  <c r="BK187" i="77"/>
  <c r="BI187" i="77"/>
  <c r="BH187" i="77"/>
  <c r="BG187" i="77"/>
  <c r="BF187" i="77"/>
  <c r="BE187" i="77"/>
  <c r="T187" i="77"/>
  <c r="R187" i="77"/>
  <c r="P187" i="77"/>
  <c r="J187" i="77"/>
  <c r="BK186" i="77"/>
  <c r="BI186" i="77"/>
  <c r="BH186" i="77"/>
  <c r="BG186" i="77"/>
  <c r="BE186" i="77"/>
  <c r="T186" i="77"/>
  <c r="R186" i="77"/>
  <c r="P186" i="77"/>
  <c r="J186" i="77"/>
  <c r="BF186" i="77" s="1"/>
  <c r="BK185" i="77"/>
  <c r="BI185" i="77"/>
  <c r="BH185" i="77"/>
  <c r="BG185" i="77"/>
  <c r="BE185" i="77"/>
  <c r="T185" i="77"/>
  <c r="R185" i="77"/>
  <c r="P185" i="77"/>
  <c r="J185" i="77"/>
  <c r="BF185" i="77" s="1"/>
  <c r="BK182" i="77"/>
  <c r="BI182" i="77"/>
  <c r="BH182" i="77"/>
  <c r="BG182" i="77"/>
  <c r="BE182" i="77"/>
  <c r="T182" i="77"/>
  <c r="R182" i="77"/>
  <c r="P182" i="77"/>
  <c r="J182" i="77"/>
  <c r="BF182" i="77" s="1"/>
  <c r="BK181" i="77"/>
  <c r="BI181" i="77"/>
  <c r="BH181" i="77"/>
  <c r="BG181" i="77"/>
  <c r="BE181" i="77"/>
  <c r="T181" i="77"/>
  <c r="R181" i="77"/>
  <c r="P181" i="77"/>
  <c r="J181" i="77"/>
  <c r="BF181" i="77" s="1"/>
  <c r="BK180" i="77"/>
  <c r="BK178" i="77" s="1"/>
  <c r="J178" i="77" s="1"/>
  <c r="J101" i="77" s="1"/>
  <c r="BI180" i="77"/>
  <c r="BH180" i="77"/>
  <c r="BG180" i="77"/>
  <c r="BE180" i="77"/>
  <c r="T180" i="77"/>
  <c r="R180" i="77"/>
  <c r="R178" i="77" s="1"/>
  <c r="P180" i="77"/>
  <c r="J180" i="77"/>
  <c r="BF180" i="77" s="1"/>
  <c r="BK179" i="77"/>
  <c r="BI179" i="77"/>
  <c r="BH179" i="77"/>
  <c r="BG179" i="77"/>
  <c r="BE179" i="77"/>
  <c r="T179" i="77"/>
  <c r="T178" i="77" s="1"/>
  <c r="R179" i="77"/>
  <c r="P179" i="77"/>
  <c r="J179" i="77"/>
  <c r="BF179" i="77" s="1"/>
  <c r="P178" i="77"/>
  <c r="BK177" i="77"/>
  <c r="BI177" i="77"/>
  <c r="BH177" i="77"/>
  <c r="BG177" i="77"/>
  <c r="BF177" i="77"/>
  <c r="BE177" i="77"/>
  <c r="T177" i="77"/>
  <c r="T176" i="77" s="1"/>
  <c r="R177" i="77"/>
  <c r="R176" i="77" s="1"/>
  <c r="P177" i="77"/>
  <c r="J177" i="77"/>
  <c r="BK176" i="77"/>
  <c r="P176" i="77"/>
  <c r="J176" i="77"/>
  <c r="J100" i="77" s="1"/>
  <c r="BK175" i="77"/>
  <c r="BI175" i="77"/>
  <c r="BH175" i="77"/>
  <c r="BG175" i="77"/>
  <c r="BF175" i="77"/>
  <c r="BE175" i="77"/>
  <c r="T175" i="77"/>
  <c r="R175" i="77"/>
  <c r="P175" i="77"/>
  <c r="J175" i="77"/>
  <c r="BK174" i="77"/>
  <c r="BI174" i="77"/>
  <c r="BH174" i="77"/>
  <c r="BG174" i="77"/>
  <c r="BE174" i="77"/>
  <c r="T174" i="77"/>
  <c r="R174" i="77"/>
  <c r="P174" i="77"/>
  <c r="J174" i="77"/>
  <c r="BF174" i="77" s="1"/>
  <c r="BK173" i="77"/>
  <c r="BI173" i="77"/>
  <c r="BH173" i="77"/>
  <c r="BG173" i="77"/>
  <c r="BF173" i="77"/>
  <c r="BE173" i="77"/>
  <c r="T173" i="77"/>
  <c r="R173" i="77"/>
  <c r="P173" i="77"/>
  <c r="J173" i="77"/>
  <c r="BK172" i="77"/>
  <c r="BI172" i="77"/>
  <c r="BH172" i="77"/>
  <c r="BG172" i="77"/>
  <c r="BE172" i="77"/>
  <c r="T172" i="77"/>
  <c r="R172" i="77"/>
  <c r="P172" i="77"/>
  <c r="J172" i="77"/>
  <c r="BF172" i="77" s="1"/>
  <c r="BK171" i="77"/>
  <c r="BI171" i="77"/>
  <c r="BH171" i="77"/>
  <c r="BG171" i="77"/>
  <c r="BE171" i="77"/>
  <c r="T171" i="77"/>
  <c r="R171" i="77"/>
  <c r="P171" i="77"/>
  <c r="P161" i="77" s="1"/>
  <c r="J171" i="77"/>
  <c r="BF171" i="77" s="1"/>
  <c r="BK170" i="77"/>
  <c r="BI170" i="77"/>
  <c r="BH170" i="77"/>
  <c r="BG170" i="77"/>
  <c r="BE170" i="77"/>
  <c r="T170" i="77"/>
  <c r="R170" i="77"/>
  <c r="P170" i="77"/>
  <c r="J170" i="77"/>
  <c r="BF170" i="77" s="1"/>
  <c r="BK169" i="77"/>
  <c r="BI169" i="77"/>
  <c r="BH169" i="77"/>
  <c r="BG169" i="77"/>
  <c r="BF169" i="77"/>
  <c r="BE169" i="77"/>
  <c r="T169" i="77"/>
  <c r="R169" i="77"/>
  <c r="P169" i="77"/>
  <c r="J169" i="77"/>
  <c r="BK168" i="77"/>
  <c r="BI168" i="77"/>
  <c r="BH168" i="77"/>
  <c r="BG168" i="77"/>
  <c r="BE168" i="77"/>
  <c r="T168" i="77"/>
  <c r="R168" i="77"/>
  <c r="P168" i="77"/>
  <c r="J168" i="77"/>
  <c r="BF168" i="77" s="1"/>
  <c r="BK167" i="77"/>
  <c r="BI167" i="77"/>
  <c r="BH167" i="77"/>
  <c r="BG167" i="77"/>
  <c r="BE167" i="77"/>
  <c r="T167" i="77"/>
  <c r="R167" i="77"/>
  <c r="P167" i="77"/>
  <c r="J167" i="77"/>
  <c r="BF167" i="77" s="1"/>
  <c r="BK166" i="77"/>
  <c r="BI166" i="77"/>
  <c r="BH166" i="77"/>
  <c r="BG166" i="77"/>
  <c r="BE166" i="77"/>
  <c r="T166" i="77"/>
  <c r="R166" i="77"/>
  <c r="P166" i="77"/>
  <c r="J166" i="77"/>
  <c r="BF166" i="77" s="1"/>
  <c r="BK165" i="77"/>
  <c r="BI165" i="77"/>
  <c r="BH165" i="77"/>
  <c r="BG165" i="77"/>
  <c r="BE165" i="77"/>
  <c r="T165" i="77"/>
  <c r="R165" i="77"/>
  <c r="P165" i="77"/>
  <c r="J165" i="77"/>
  <c r="BF165" i="77" s="1"/>
  <c r="BK164" i="77"/>
  <c r="BI164" i="77"/>
  <c r="BH164" i="77"/>
  <c r="BG164" i="77"/>
  <c r="BE164" i="77"/>
  <c r="T164" i="77"/>
  <c r="R164" i="77"/>
  <c r="P164" i="77"/>
  <c r="J164" i="77"/>
  <c r="BF164" i="77" s="1"/>
  <c r="BK163" i="77"/>
  <c r="BI163" i="77"/>
  <c r="BH163" i="77"/>
  <c r="BG163" i="77"/>
  <c r="BE163" i="77"/>
  <c r="T163" i="77"/>
  <c r="R163" i="77"/>
  <c r="P163" i="77"/>
  <c r="J163" i="77"/>
  <c r="BF163" i="77" s="1"/>
  <c r="BK162" i="77"/>
  <c r="BI162" i="77"/>
  <c r="BH162" i="77"/>
  <c r="BG162" i="77"/>
  <c r="BE162" i="77"/>
  <c r="T162" i="77"/>
  <c r="R162" i="77"/>
  <c r="P162" i="77"/>
  <c r="J162" i="77"/>
  <c r="BF162" i="77" s="1"/>
  <c r="BK160" i="77"/>
  <c r="BI160" i="77"/>
  <c r="BH160" i="77"/>
  <c r="BG160" i="77"/>
  <c r="BF160" i="77"/>
  <c r="BE160" i="77"/>
  <c r="T160" i="77"/>
  <c r="R160" i="77"/>
  <c r="P160" i="77"/>
  <c r="J160" i="77"/>
  <c r="BK159" i="77"/>
  <c r="BI159" i="77"/>
  <c r="BH159" i="77"/>
  <c r="BG159" i="77"/>
  <c r="BE159" i="77"/>
  <c r="T159" i="77"/>
  <c r="R159" i="77"/>
  <c r="P159" i="77"/>
  <c r="J159" i="77"/>
  <c r="BF159" i="77" s="1"/>
  <c r="BK158" i="77"/>
  <c r="BI158" i="77"/>
  <c r="BH158" i="77"/>
  <c r="BG158" i="77"/>
  <c r="BE158" i="77"/>
  <c r="T158" i="77"/>
  <c r="R158" i="77"/>
  <c r="P158" i="77"/>
  <c r="J158" i="77"/>
  <c r="BF158" i="77" s="1"/>
  <c r="BK157" i="77"/>
  <c r="BI157" i="77"/>
  <c r="BH157" i="77"/>
  <c r="BG157" i="77"/>
  <c r="BE157" i="77"/>
  <c r="T157" i="77"/>
  <c r="R157" i="77"/>
  <c r="P157" i="77"/>
  <c r="J157" i="77"/>
  <c r="BF157" i="77" s="1"/>
  <c r="BK156" i="77"/>
  <c r="BI156" i="77"/>
  <c r="BH156" i="77"/>
  <c r="BG156" i="77"/>
  <c r="BF156" i="77"/>
  <c r="BE156" i="77"/>
  <c r="T156" i="77"/>
  <c r="R156" i="77"/>
  <c r="P156" i="77"/>
  <c r="J156" i="77"/>
  <c r="BK155" i="77"/>
  <c r="BI155" i="77"/>
  <c r="BH155" i="77"/>
  <c r="BG155" i="77"/>
  <c r="BF155" i="77"/>
  <c r="BE155" i="77"/>
  <c r="T155" i="77"/>
  <c r="R155" i="77"/>
  <c r="P155" i="77"/>
  <c r="J155" i="77"/>
  <c r="BK154" i="77"/>
  <c r="BI154" i="77"/>
  <c r="BH154" i="77"/>
  <c r="BG154" i="77"/>
  <c r="BE154" i="77"/>
  <c r="T154" i="77"/>
  <c r="R154" i="77"/>
  <c r="P154" i="77"/>
  <c r="J154" i="77"/>
  <c r="BF154" i="77" s="1"/>
  <c r="BK153" i="77"/>
  <c r="BI153" i="77"/>
  <c r="BH153" i="77"/>
  <c r="BG153" i="77"/>
  <c r="BE153" i="77"/>
  <c r="T153" i="77"/>
  <c r="R153" i="77"/>
  <c r="P153" i="77"/>
  <c r="J153" i="77"/>
  <c r="BF153" i="77" s="1"/>
  <c r="BK152" i="77"/>
  <c r="BI152" i="77"/>
  <c r="BH152" i="77"/>
  <c r="BG152" i="77"/>
  <c r="BE152" i="77"/>
  <c r="T152" i="77"/>
  <c r="R152" i="77"/>
  <c r="P152" i="77"/>
  <c r="J152" i="77"/>
  <c r="BF152" i="77" s="1"/>
  <c r="BK151" i="77"/>
  <c r="BI151" i="77"/>
  <c r="BH151" i="77"/>
  <c r="BG151" i="77"/>
  <c r="BF151" i="77"/>
  <c r="BE151" i="77"/>
  <c r="T151" i="77"/>
  <c r="R151" i="77"/>
  <c r="P151" i="77"/>
  <c r="J151" i="77"/>
  <c r="BK150" i="77"/>
  <c r="BI150" i="77"/>
  <c r="BH150" i="77"/>
  <c r="BG150" i="77"/>
  <c r="BE150" i="77"/>
  <c r="T150" i="77"/>
  <c r="R150" i="77"/>
  <c r="P150" i="77"/>
  <c r="J150" i="77"/>
  <c r="BF150" i="77" s="1"/>
  <c r="BK149" i="77"/>
  <c r="BI149" i="77"/>
  <c r="BH149" i="77"/>
  <c r="BG149" i="77"/>
  <c r="BE149" i="77"/>
  <c r="T149" i="77"/>
  <c r="R149" i="77"/>
  <c r="P149" i="77"/>
  <c r="J149" i="77"/>
  <c r="BF149" i="77" s="1"/>
  <c r="BK148" i="77"/>
  <c r="BI148" i="77"/>
  <c r="BH148" i="77"/>
  <c r="BG148" i="77"/>
  <c r="BE148" i="77"/>
  <c r="T148" i="77"/>
  <c r="R148" i="77"/>
  <c r="P148" i="77"/>
  <c r="J148" i="77"/>
  <c r="BF148" i="77" s="1"/>
  <c r="BK147" i="77"/>
  <c r="BI147" i="77"/>
  <c r="BH147" i="77"/>
  <c r="BG147" i="77"/>
  <c r="BE147" i="77"/>
  <c r="T147" i="77"/>
  <c r="R147" i="77"/>
  <c r="P147" i="77"/>
  <c r="J147" i="77"/>
  <c r="BF147" i="77" s="1"/>
  <c r="BK146" i="77"/>
  <c r="BI146" i="77"/>
  <c r="BH146" i="77"/>
  <c r="BG146" i="77"/>
  <c r="BE146" i="77"/>
  <c r="T146" i="77"/>
  <c r="R146" i="77"/>
  <c r="P146" i="77"/>
  <c r="J146" i="77"/>
  <c r="BF146" i="77" s="1"/>
  <c r="BK145" i="77"/>
  <c r="BI145" i="77"/>
  <c r="BH145" i="77"/>
  <c r="BG145" i="77"/>
  <c r="BE145" i="77"/>
  <c r="T145" i="77"/>
  <c r="R145" i="77"/>
  <c r="P145" i="77"/>
  <c r="J145" i="77"/>
  <c r="BF145" i="77" s="1"/>
  <c r="BK144" i="77"/>
  <c r="BI144" i="77"/>
  <c r="BH144" i="77"/>
  <c r="BG144" i="77"/>
  <c r="BF144" i="77"/>
  <c r="BE144" i="77"/>
  <c r="T144" i="77"/>
  <c r="R144" i="77"/>
  <c r="P144" i="77"/>
  <c r="P143" i="77" s="1"/>
  <c r="J144" i="77"/>
  <c r="BK142" i="77"/>
  <c r="BI142" i="77"/>
  <c r="BH142" i="77"/>
  <c r="BG142" i="77"/>
  <c r="BE142" i="77"/>
  <c r="T142" i="77"/>
  <c r="R142" i="77"/>
  <c r="P142" i="77"/>
  <c r="J142" i="77"/>
  <c r="BF142" i="77" s="1"/>
  <c r="BK141" i="77"/>
  <c r="BI141" i="77"/>
  <c r="BH141" i="77"/>
  <c r="BG141" i="77"/>
  <c r="BE141" i="77"/>
  <c r="T141" i="77"/>
  <c r="R141" i="77"/>
  <c r="P141" i="77"/>
  <c r="J141" i="77"/>
  <c r="BF141" i="77" s="1"/>
  <c r="BK140" i="77"/>
  <c r="BI140" i="77"/>
  <c r="BH140" i="77"/>
  <c r="BG140" i="77"/>
  <c r="BE140" i="77"/>
  <c r="T140" i="77"/>
  <c r="R140" i="77"/>
  <c r="P140" i="77"/>
  <c r="J140" i="77"/>
  <c r="BF140" i="77" s="1"/>
  <c r="BK139" i="77"/>
  <c r="BI139" i="77"/>
  <c r="BH139" i="77"/>
  <c r="BG139" i="77"/>
  <c r="BE139" i="77"/>
  <c r="T139" i="77"/>
  <c r="R139" i="77"/>
  <c r="P139" i="77"/>
  <c r="J139" i="77"/>
  <c r="BF139" i="77" s="1"/>
  <c r="BK138" i="77"/>
  <c r="BI138" i="77"/>
  <c r="BH138" i="77"/>
  <c r="BG138" i="77"/>
  <c r="BE138" i="77"/>
  <c r="T138" i="77"/>
  <c r="R138" i="77"/>
  <c r="P138" i="77"/>
  <c r="J138" i="77"/>
  <c r="BF138" i="77" s="1"/>
  <c r="BK137" i="77"/>
  <c r="BI137" i="77"/>
  <c r="BH137" i="77"/>
  <c r="BG137" i="77"/>
  <c r="BE137" i="77"/>
  <c r="T137" i="77"/>
  <c r="R137" i="77"/>
  <c r="P137" i="77"/>
  <c r="J137" i="77"/>
  <c r="BF137" i="77" s="1"/>
  <c r="BK136" i="77"/>
  <c r="BI136" i="77"/>
  <c r="BH136" i="77"/>
  <c r="BG136" i="77"/>
  <c r="BF136" i="77"/>
  <c r="BE136" i="77"/>
  <c r="T136" i="77"/>
  <c r="R136" i="77"/>
  <c r="P136" i="77"/>
  <c r="J136" i="77"/>
  <c r="BK135" i="77"/>
  <c r="BI135" i="77"/>
  <c r="BH135" i="77"/>
  <c r="BG135" i="77"/>
  <c r="BE135" i="77"/>
  <c r="T135" i="77"/>
  <c r="R135" i="77"/>
  <c r="P135" i="77"/>
  <c r="J135" i="77"/>
  <c r="BF135" i="77" s="1"/>
  <c r="BK134" i="77"/>
  <c r="BI134" i="77"/>
  <c r="BH134" i="77"/>
  <c r="BG134" i="77"/>
  <c r="BE134" i="77"/>
  <c r="T134" i="77"/>
  <c r="R134" i="77"/>
  <c r="P134" i="77"/>
  <c r="J134" i="77"/>
  <c r="BF134" i="77" s="1"/>
  <c r="BK133" i="77"/>
  <c r="BI133" i="77"/>
  <c r="BH133" i="77"/>
  <c r="BG133" i="77"/>
  <c r="BE133" i="77"/>
  <c r="T133" i="77"/>
  <c r="R133" i="77"/>
  <c r="P133" i="77"/>
  <c r="J133" i="77"/>
  <c r="BF133" i="77" s="1"/>
  <c r="BK132" i="77"/>
  <c r="BI132" i="77"/>
  <c r="BH132" i="77"/>
  <c r="BG132" i="77"/>
  <c r="BE132" i="77"/>
  <c r="T132" i="77"/>
  <c r="R132" i="77"/>
  <c r="P132" i="77"/>
  <c r="J132" i="77"/>
  <c r="BF132" i="77" s="1"/>
  <c r="BK131" i="77"/>
  <c r="BI131" i="77"/>
  <c r="BH131" i="77"/>
  <c r="BG131" i="77"/>
  <c r="BE131" i="77"/>
  <c r="T131" i="77"/>
  <c r="R131" i="77"/>
  <c r="P131" i="77"/>
  <c r="J131" i="77"/>
  <c r="BF131" i="77" s="1"/>
  <c r="BK130" i="77"/>
  <c r="BI130" i="77"/>
  <c r="BH130" i="77"/>
  <c r="BG130" i="77"/>
  <c r="BE130" i="77"/>
  <c r="T130" i="77"/>
  <c r="R130" i="77"/>
  <c r="R129" i="77" s="1"/>
  <c r="P130" i="77"/>
  <c r="P129" i="77" s="1"/>
  <c r="J130" i="77"/>
  <c r="BF130" i="77" s="1"/>
  <c r="F122" i="77"/>
  <c r="E120" i="77"/>
  <c r="F89" i="77"/>
  <c r="E87" i="77"/>
  <c r="E85" i="77"/>
  <c r="J39" i="77"/>
  <c r="J38" i="77"/>
  <c r="J37" i="77"/>
  <c r="J31" i="77"/>
  <c r="J24" i="77"/>
  <c r="E24" i="77"/>
  <c r="J125" i="77" s="1"/>
  <c r="J23" i="77"/>
  <c r="J21" i="77"/>
  <c r="E21" i="77"/>
  <c r="J124" i="77" s="1"/>
  <c r="J20" i="77"/>
  <c r="J18" i="77"/>
  <c r="E18" i="77"/>
  <c r="F125" i="77" s="1"/>
  <c r="J17" i="77"/>
  <c r="J15" i="77"/>
  <c r="E15" i="77"/>
  <c r="F91" i="77" s="1"/>
  <c r="J14" i="77"/>
  <c r="J12" i="77"/>
  <c r="J89" i="77" s="1"/>
  <c r="E7" i="77"/>
  <c r="E118" i="77" s="1"/>
  <c r="BI198" i="76"/>
  <c r="BH198" i="76"/>
  <c r="BG198" i="76"/>
  <c r="BE198" i="76"/>
  <c r="BI197" i="76"/>
  <c r="BH197" i="76"/>
  <c r="BG197" i="76"/>
  <c r="BE197" i="76"/>
  <c r="BI196" i="76"/>
  <c r="BH196" i="76"/>
  <c r="BG196" i="76"/>
  <c r="BE196" i="76"/>
  <c r="BI194" i="76"/>
  <c r="BH194" i="76"/>
  <c r="BG194" i="76"/>
  <c r="BE194" i="76"/>
  <c r="BI193" i="76"/>
  <c r="BH193" i="76"/>
  <c r="BG193" i="76"/>
  <c r="BE193" i="76"/>
  <c r="BI192" i="76"/>
  <c r="BH192" i="76"/>
  <c r="BG192" i="76"/>
  <c r="BE192" i="76"/>
  <c r="BI190" i="76"/>
  <c r="BH190" i="76"/>
  <c r="BG190" i="76"/>
  <c r="BE190" i="76"/>
  <c r="BK189" i="76"/>
  <c r="BI189" i="76"/>
  <c r="BH189" i="76"/>
  <c r="BG189" i="76"/>
  <c r="BE189" i="76"/>
  <c r="T189" i="76"/>
  <c r="R189" i="76"/>
  <c r="P189" i="76"/>
  <c r="J189" i="76"/>
  <c r="BF189" i="76" s="1"/>
  <c r="BK188" i="76"/>
  <c r="BI188" i="76"/>
  <c r="BH188" i="76"/>
  <c r="BG188" i="76"/>
  <c r="BE188" i="76"/>
  <c r="T188" i="76"/>
  <c r="R188" i="76"/>
  <c r="P188" i="76"/>
  <c r="J188" i="76"/>
  <c r="BF188" i="76" s="1"/>
  <c r="BK187" i="76"/>
  <c r="BI187" i="76"/>
  <c r="BH187" i="76"/>
  <c r="BG187" i="76"/>
  <c r="BE187" i="76"/>
  <c r="T187" i="76"/>
  <c r="R187" i="76"/>
  <c r="P187" i="76"/>
  <c r="J187" i="76"/>
  <c r="BF187" i="76" s="1"/>
  <c r="BK184" i="76"/>
  <c r="BI184" i="76"/>
  <c r="BH184" i="76"/>
  <c r="BG184" i="76"/>
  <c r="BF184" i="76"/>
  <c r="BE184" i="76"/>
  <c r="T184" i="76"/>
  <c r="R184" i="76"/>
  <c r="P184" i="76"/>
  <c r="J184" i="76"/>
  <c r="BK183" i="76"/>
  <c r="BI183" i="76"/>
  <c r="BH183" i="76"/>
  <c r="BG183" i="76"/>
  <c r="BF183" i="76"/>
  <c r="BE183" i="76"/>
  <c r="T183" i="76"/>
  <c r="R183" i="76"/>
  <c r="P183" i="76"/>
  <c r="J183" i="76"/>
  <c r="BK182" i="76"/>
  <c r="BI182" i="76"/>
  <c r="BH182" i="76"/>
  <c r="BG182" i="76"/>
  <c r="BE182" i="76"/>
  <c r="T182" i="76"/>
  <c r="R182" i="76"/>
  <c r="P182" i="76"/>
  <c r="J182" i="76"/>
  <c r="BF182" i="76" s="1"/>
  <c r="BK181" i="76"/>
  <c r="BK180" i="76" s="1"/>
  <c r="J180" i="76" s="1"/>
  <c r="J101" i="76" s="1"/>
  <c r="BI181" i="76"/>
  <c r="BH181" i="76"/>
  <c r="BG181" i="76"/>
  <c r="BE181" i="76"/>
  <c r="T181" i="76"/>
  <c r="R181" i="76"/>
  <c r="R180" i="76" s="1"/>
  <c r="P181" i="76"/>
  <c r="P180" i="76" s="1"/>
  <c r="J181" i="76"/>
  <c r="BF181" i="76" s="1"/>
  <c r="BK179" i="76"/>
  <c r="BK178" i="76" s="1"/>
  <c r="J178" i="76" s="1"/>
  <c r="J100" i="76" s="1"/>
  <c r="BI179" i="76"/>
  <c r="BH179" i="76"/>
  <c r="BG179" i="76"/>
  <c r="BE179" i="76"/>
  <c r="T179" i="76"/>
  <c r="T178" i="76" s="1"/>
  <c r="R179" i="76"/>
  <c r="P179" i="76"/>
  <c r="P178" i="76" s="1"/>
  <c r="J179" i="76"/>
  <c r="BF179" i="76" s="1"/>
  <c r="R178" i="76"/>
  <c r="BK177" i="76"/>
  <c r="BI177" i="76"/>
  <c r="BH177" i="76"/>
  <c r="BG177" i="76"/>
  <c r="BE177" i="76"/>
  <c r="T177" i="76"/>
  <c r="R177" i="76"/>
  <c r="P177" i="76"/>
  <c r="J177" i="76"/>
  <c r="BF177" i="76" s="1"/>
  <c r="BK176" i="76"/>
  <c r="BI176" i="76"/>
  <c r="BH176" i="76"/>
  <c r="BG176" i="76"/>
  <c r="BE176" i="76"/>
  <c r="T176" i="76"/>
  <c r="R176" i="76"/>
  <c r="P176" i="76"/>
  <c r="J176" i="76"/>
  <c r="BF176" i="76" s="1"/>
  <c r="BK175" i="76"/>
  <c r="BI175" i="76"/>
  <c r="BH175" i="76"/>
  <c r="BG175" i="76"/>
  <c r="BE175" i="76"/>
  <c r="T175" i="76"/>
  <c r="R175" i="76"/>
  <c r="P175" i="76"/>
  <c r="J175" i="76"/>
  <c r="BF175" i="76" s="1"/>
  <c r="BK174" i="76"/>
  <c r="BI174" i="76"/>
  <c r="BH174" i="76"/>
  <c r="BG174" i="76"/>
  <c r="BF174" i="76"/>
  <c r="BE174" i="76"/>
  <c r="T174" i="76"/>
  <c r="R174" i="76"/>
  <c r="P174" i="76"/>
  <c r="J174" i="76"/>
  <c r="BK173" i="76"/>
  <c r="BI173" i="76"/>
  <c r="BH173" i="76"/>
  <c r="BG173" i="76"/>
  <c r="BE173" i="76"/>
  <c r="T173" i="76"/>
  <c r="R173" i="76"/>
  <c r="P173" i="76"/>
  <c r="J173" i="76"/>
  <c r="BF173" i="76" s="1"/>
  <c r="BK172" i="76"/>
  <c r="BI172" i="76"/>
  <c r="BH172" i="76"/>
  <c r="BG172" i="76"/>
  <c r="BE172" i="76"/>
  <c r="T172" i="76"/>
  <c r="R172" i="76"/>
  <c r="P172" i="76"/>
  <c r="J172" i="76"/>
  <c r="BF172" i="76" s="1"/>
  <c r="BK171" i="76"/>
  <c r="BI171" i="76"/>
  <c r="BH171" i="76"/>
  <c r="BG171" i="76"/>
  <c r="BE171" i="76"/>
  <c r="T171" i="76"/>
  <c r="R171" i="76"/>
  <c r="P171" i="76"/>
  <c r="J171" i="76"/>
  <c r="BF171" i="76" s="1"/>
  <c r="BK170" i="76"/>
  <c r="BI170" i="76"/>
  <c r="BH170" i="76"/>
  <c r="BG170" i="76"/>
  <c r="BF170" i="76"/>
  <c r="BE170" i="76"/>
  <c r="T170" i="76"/>
  <c r="R170" i="76"/>
  <c r="P170" i="76"/>
  <c r="J170" i="76"/>
  <c r="BK169" i="76"/>
  <c r="BI169" i="76"/>
  <c r="BH169" i="76"/>
  <c r="BG169" i="76"/>
  <c r="BE169" i="76"/>
  <c r="T169" i="76"/>
  <c r="R169" i="76"/>
  <c r="P169" i="76"/>
  <c r="J169" i="76"/>
  <c r="BF169" i="76" s="1"/>
  <c r="BK168" i="76"/>
  <c r="BI168" i="76"/>
  <c r="BH168" i="76"/>
  <c r="BG168" i="76"/>
  <c r="BE168" i="76"/>
  <c r="T168" i="76"/>
  <c r="R168" i="76"/>
  <c r="P168" i="76"/>
  <c r="J168" i="76"/>
  <c r="BF168" i="76" s="1"/>
  <c r="BK167" i="76"/>
  <c r="BI167" i="76"/>
  <c r="BH167" i="76"/>
  <c r="BG167" i="76"/>
  <c r="BE167" i="76"/>
  <c r="T167" i="76"/>
  <c r="R167" i="76"/>
  <c r="P167" i="76"/>
  <c r="J167" i="76"/>
  <c r="BF167" i="76" s="1"/>
  <c r="BK166" i="76"/>
  <c r="BI166" i="76"/>
  <c r="BH166" i="76"/>
  <c r="BG166" i="76"/>
  <c r="BE166" i="76"/>
  <c r="T166" i="76"/>
  <c r="R166" i="76"/>
  <c r="P166" i="76"/>
  <c r="J166" i="76"/>
  <c r="BF166" i="76" s="1"/>
  <c r="BK165" i="76"/>
  <c r="BI165" i="76"/>
  <c r="BH165" i="76"/>
  <c r="BG165" i="76"/>
  <c r="BE165" i="76"/>
  <c r="T165" i="76"/>
  <c r="R165" i="76"/>
  <c r="P165" i="76"/>
  <c r="J165" i="76"/>
  <c r="BF165" i="76" s="1"/>
  <c r="BK164" i="76"/>
  <c r="BI164" i="76"/>
  <c r="BH164" i="76"/>
  <c r="BG164" i="76"/>
  <c r="BE164" i="76"/>
  <c r="T164" i="76"/>
  <c r="R164" i="76"/>
  <c r="R161" i="76" s="1"/>
  <c r="P164" i="76"/>
  <c r="J164" i="76"/>
  <c r="BF164" i="76" s="1"/>
  <c r="BK163" i="76"/>
  <c r="BI163" i="76"/>
  <c r="BH163" i="76"/>
  <c r="BG163" i="76"/>
  <c r="BE163" i="76"/>
  <c r="T163" i="76"/>
  <c r="T161" i="76" s="1"/>
  <c r="R163" i="76"/>
  <c r="P163" i="76"/>
  <c r="J163" i="76"/>
  <c r="BF163" i="76" s="1"/>
  <c r="BK162" i="76"/>
  <c r="BI162" i="76"/>
  <c r="BH162" i="76"/>
  <c r="BG162" i="76"/>
  <c r="BF162" i="76"/>
  <c r="BE162" i="76"/>
  <c r="T162" i="76"/>
  <c r="R162" i="76"/>
  <c r="P162" i="76"/>
  <c r="J162" i="76"/>
  <c r="BK160" i="76"/>
  <c r="BI160" i="76"/>
  <c r="BH160" i="76"/>
  <c r="BG160" i="76"/>
  <c r="BE160" i="76"/>
  <c r="T160" i="76"/>
  <c r="R160" i="76"/>
  <c r="P160" i="76"/>
  <c r="J160" i="76"/>
  <c r="BF160" i="76" s="1"/>
  <c r="BK159" i="76"/>
  <c r="BI159" i="76"/>
  <c r="BH159" i="76"/>
  <c r="BG159" i="76"/>
  <c r="BE159" i="76"/>
  <c r="T159" i="76"/>
  <c r="R159" i="76"/>
  <c r="P159" i="76"/>
  <c r="J159" i="76"/>
  <c r="BF159" i="76" s="1"/>
  <c r="BK158" i="76"/>
  <c r="BI158" i="76"/>
  <c r="BH158" i="76"/>
  <c r="BG158" i="76"/>
  <c r="BE158" i="76"/>
  <c r="T158" i="76"/>
  <c r="R158" i="76"/>
  <c r="P158" i="76"/>
  <c r="J158" i="76"/>
  <c r="BF158" i="76" s="1"/>
  <c r="BK157" i="76"/>
  <c r="BI157" i="76"/>
  <c r="BH157" i="76"/>
  <c r="BG157" i="76"/>
  <c r="BF157" i="76"/>
  <c r="BE157" i="76"/>
  <c r="T157" i="76"/>
  <c r="T146" i="76" s="1"/>
  <c r="R157" i="76"/>
  <c r="P157" i="76"/>
  <c r="J157" i="76"/>
  <c r="BK156" i="76"/>
  <c r="BI156" i="76"/>
  <c r="BH156" i="76"/>
  <c r="BG156" i="76"/>
  <c r="BF156" i="76"/>
  <c r="BE156" i="76"/>
  <c r="T156" i="76"/>
  <c r="R156" i="76"/>
  <c r="P156" i="76"/>
  <c r="J156" i="76"/>
  <c r="BK155" i="76"/>
  <c r="BI155" i="76"/>
  <c r="BH155" i="76"/>
  <c r="BG155" i="76"/>
  <c r="BE155" i="76"/>
  <c r="T155" i="76"/>
  <c r="R155" i="76"/>
  <c r="P155" i="76"/>
  <c r="J155" i="76"/>
  <c r="BF155" i="76" s="1"/>
  <c r="BK154" i="76"/>
  <c r="BI154" i="76"/>
  <c r="BH154" i="76"/>
  <c r="BG154" i="76"/>
  <c r="BE154" i="76"/>
  <c r="T154" i="76"/>
  <c r="R154" i="76"/>
  <c r="P154" i="76"/>
  <c r="J154" i="76"/>
  <c r="BF154" i="76" s="1"/>
  <c r="BK153" i="76"/>
  <c r="BI153" i="76"/>
  <c r="BH153" i="76"/>
  <c r="BG153" i="76"/>
  <c r="BE153" i="76"/>
  <c r="T153" i="76"/>
  <c r="R153" i="76"/>
  <c r="P153" i="76"/>
  <c r="J153" i="76"/>
  <c r="BF153" i="76" s="1"/>
  <c r="BK152" i="76"/>
  <c r="BI152" i="76"/>
  <c r="BH152" i="76"/>
  <c r="BG152" i="76"/>
  <c r="BF152" i="76"/>
  <c r="BE152" i="76"/>
  <c r="T152" i="76"/>
  <c r="R152" i="76"/>
  <c r="P152" i="76"/>
  <c r="J152" i="76"/>
  <c r="BK151" i="76"/>
  <c r="BI151" i="76"/>
  <c r="BH151" i="76"/>
  <c r="BG151" i="76"/>
  <c r="BF151" i="76"/>
  <c r="BE151" i="76"/>
  <c r="T151" i="76"/>
  <c r="R151" i="76"/>
  <c r="P151" i="76"/>
  <c r="J151" i="76"/>
  <c r="BK150" i="76"/>
  <c r="BI150" i="76"/>
  <c r="BH150" i="76"/>
  <c r="BG150" i="76"/>
  <c r="BE150" i="76"/>
  <c r="T150" i="76"/>
  <c r="R150" i="76"/>
  <c r="P150" i="76"/>
  <c r="J150" i="76"/>
  <c r="BF150" i="76" s="1"/>
  <c r="BK149" i="76"/>
  <c r="BI149" i="76"/>
  <c r="BH149" i="76"/>
  <c r="BG149" i="76"/>
  <c r="BE149" i="76"/>
  <c r="T149" i="76"/>
  <c r="R149" i="76"/>
  <c r="P149" i="76"/>
  <c r="J149" i="76"/>
  <c r="BF149" i="76" s="1"/>
  <c r="BK148" i="76"/>
  <c r="BI148" i="76"/>
  <c r="BH148" i="76"/>
  <c r="BG148" i="76"/>
  <c r="BE148" i="76"/>
  <c r="T148" i="76"/>
  <c r="R148" i="76"/>
  <c r="P148" i="76"/>
  <c r="J148" i="76"/>
  <c r="BF148" i="76" s="1"/>
  <c r="BK147" i="76"/>
  <c r="BI147" i="76"/>
  <c r="BH147" i="76"/>
  <c r="BG147" i="76"/>
  <c r="BF147" i="76"/>
  <c r="BE147" i="76"/>
  <c r="T147" i="76"/>
  <c r="R147" i="76"/>
  <c r="P147" i="76"/>
  <c r="J147" i="76"/>
  <c r="BK145" i="76"/>
  <c r="BI145" i="76"/>
  <c r="BH145" i="76"/>
  <c r="BG145" i="76"/>
  <c r="BF145" i="76"/>
  <c r="BE145" i="76"/>
  <c r="T145" i="76"/>
  <c r="R145" i="76"/>
  <c r="P145" i="76"/>
  <c r="J145" i="76"/>
  <c r="BK144" i="76"/>
  <c r="BI144" i="76"/>
  <c r="BH144" i="76"/>
  <c r="BG144" i="76"/>
  <c r="BE144" i="76"/>
  <c r="T144" i="76"/>
  <c r="R144" i="76"/>
  <c r="P144" i="76"/>
  <c r="J144" i="76"/>
  <c r="BF144" i="76" s="1"/>
  <c r="BK143" i="76"/>
  <c r="BI143" i="76"/>
  <c r="BH143" i="76"/>
  <c r="BG143" i="76"/>
  <c r="BE143" i="76"/>
  <c r="T143" i="76"/>
  <c r="R143" i="76"/>
  <c r="P143" i="76"/>
  <c r="J143" i="76"/>
  <c r="BF143" i="76" s="1"/>
  <c r="BK142" i="76"/>
  <c r="BI142" i="76"/>
  <c r="BH142" i="76"/>
  <c r="BG142" i="76"/>
  <c r="BE142" i="76"/>
  <c r="T142" i="76"/>
  <c r="R142" i="76"/>
  <c r="P142" i="76"/>
  <c r="J142" i="76"/>
  <c r="BF142" i="76" s="1"/>
  <c r="BK141" i="76"/>
  <c r="BI141" i="76"/>
  <c r="BH141" i="76"/>
  <c r="BG141" i="76"/>
  <c r="BF141" i="76"/>
  <c r="BE141" i="76"/>
  <c r="T141" i="76"/>
  <c r="R141" i="76"/>
  <c r="P141" i="76"/>
  <c r="J141" i="76"/>
  <c r="BK140" i="76"/>
  <c r="BI140" i="76"/>
  <c r="BH140" i="76"/>
  <c r="BG140" i="76"/>
  <c r="BE140" i="76"/>
  <c r="T140" i="76"/>
  <c r="R140" i="76"/>
  <c r="P140" i="76"/>
  <c r="J140" i="76"/>
  <c r="BF140" i="76" s="1"/>
  <c r="BK139" i="76"/>
  <c r="BI139" i="76"/>
  <c r="BH139" i="76"/>
  <c r="BG139" i="76"/>
  <c r="BE139" i="76"/>
  <c r="T139" i="76"/>
  <c r="R139" i="76"/>
  <c r="P139" i="76"/>
  <c r="J139" i="76"/>
  <c r="BF139" i="76" s="1"/>
  <c r="BK138" i="76"/>
  <c r="BI138" i="76"/>
  <c r="BH138" i="76"/>
  <c r="BG138" i="76"/>
  <c r="BE138" i="76"/>
  <c r="T138" i="76"/>
  <c r="R138" i="76"/>
  <c r="P138" i="76"/>
  <c r="J138" i="76"/>
  <c r="BF138" i="76" s="1"/>
  <c r="BK137" i="76"/>
  <c r="BI137" i="76"/>
  <c r="BH137" i="76"/>
  <c r="BG137" i="76"/>
  <c r="BE137" i="76"/>
  <c r="T137" i="76"/>
  <c r="R137" i="76"/>
  <c r="P137" i="76"/>
  <c r="J137" i="76"/>
  <c r="BF137" i="76" s="1"/>
  <c r="BK136" i="76"/>
  <c r="BI136" i="76"/>
  <c r="BH136" i="76"/>
  <c r="BG136" i="76"/>
  <c r="BE136" i="76"/>
  <c r="T136" i="76"/>
  <c r="R136" i="76"/>
  <c r="P136" i="76"/>
  <c r="J136" i="76"/>
  <c r="BF136" i="76" s="1"/>
  <c r="BK135" i="76"/>
  <c r="BI135" i="76"/>
  <c r="BH135" i="76"/>
  <c r="BG135" i="76"/>
  <c r="BE135" i="76"/>
  <c r="T135" i="76"/>
  <c r="R135" i="76"/>
  <c r="P135" i="76"/>
  <c r="J135" i="76"/>
  <c r="BF135" i="76" s="1"/>
  <c r="BK134" i="76"/>
  <c r="BI134" i="76"/>
  <c r="BH134" i="76"/>
  <c r="BG134" i="76"/>
  <c r="BF134" i="76"/>
  <c r="BE134" i="76"/>
  <c r="T134" i="76"/>
  <c r="R134" i="76"/>
  <c r="P134" i="76"/>
  <c r="J134" i="76"/>
  <c r="BK133" i="76"/>
  <c r="BI133" i="76"/>
  <c r="BH133" i="76"/>
  <c r="BG133" i="76"/>
  <c r="BE133" i="76"/>
  <c r="T133" i="76"/>
  <c r="R133" i="76"/>
  <c r="P133" i="76"/>
  <c r="J133" i="76"/>
  <c r="BF133" i="76" s="1"/>
  <c r="BK132" i="76"/>
  <c r="BI132" i="76"/>
  <c r="BH132" i="76"/>
  <c r="BG132" i="76"/>
  <c r="BE132" i="76"/>
  <c r="T132" i="76"/>
  <c r="R132" i="76"/>
  <c r="P132" i="76"/>
  <c r="J132" i="76"/>
  <c r="BF132" i="76" s="1"/>
  <c r="BK131" i="76"/>
  <c r="BI131" i="76"/>
  <c r="BH131" i="76"/>
  <c r="BG131" i="76"/>
  <c r="BF131" i="76"/>
  <c r="BE131" i="76"/>
  <c r="T131" i="76"/>
  <c r="R131" i="76"/>
  <c r="P131" i="76"/>
  <c r="J131" i="76"/>
  <c r="F123" i="76"/>
  <c r="E121" i="76"/>
  <c r="F89" i="76"/>
  <c r="E87" i="76"/>
  <c r="E85" i="76"/>
  <c r="J39" i="76"/>
  <c r="J38" i="76"/>
  <c r="J37" i="76"/>
  <c r="J31" i="76"/>
  <c r="J24" i="76"/>
  <c r="E24" i="76"/>
  <c r="J126" i="76" s="1"/>
  <c r="J23" i="76"/>
  <c r="J21" i="76"/>
  <c r="E21" i="76"/>
  <c r="J91" i="76" s="1"/>
  <c r="J20" i="76"/>
  <c r="J18" i="76"/>
  <c r="E18" i="76"/>
  <c r="F92" i="76" s="1"/>
  <c r="J17" i="76"/>
  <c r="J15" i="76"/>
  <c r="E15" i="76"/>
  <c r="F91" i="76" s="1"/>
  <c r="J14" i="76"/>
  <c r="J12" i="76"/>
  <c r="J89" i="76" s="1"/>
  <c r="E7" i="76"/>
  <c r="E119" i="76" s="1"/>
  <c r="BK189" i="75"/>
  <c r="BI189" i="75"/>
  <c r="BH189" i="75"/>
  <c r="BG189" i="75"/>
  <c r="BF189" i="75"/>
  <c r="BE189" i="75"/>
  <c r="T189" i="75"/>
  <c r="R189" i="75"/>
  <c r="P189" i="75"/>
  <c r="J189" i="75"/>
  <c r="BK188" i="75"/>
  <c r="BI188" i="75"/>
  <c r="BH188" i="75"/>
  <c r="BG188" i="75"/>
  <c r="BE188" i="75"/>
  <c r="T188" i="75"/>
  <c r="R188" i="75"/>
  <c r="P188" i="75"/>
  <c r="P187" i="75" s="1"/>
  <c r="J188" i="75"/>
  <c r="BF188" i="75" s="1"/>
  <c r="T187" i="75"/>
  <c r="R187" i="75"/>
  <c r="BK186" i="75"/>
  <c r="BI186" i="75"/>
  <c r="BH186" i="75"/>
  <c r="BG186" i="75"/>
  <c r="BE186" i="75"/>
  <c r="T186" i="75"/>
  <c r="R186" i="75"/>
  <c r="P186" i="75"/>
  <c r="J186" i="75"/>
  <c r="BF186" i="75" s="1"/>
  <c r="BK185" i="75"/>
  <c r="BI185" i="75"/>
  <c r="BH185" i="75"/>
  <c r="BG185" i="75"/>
  <c r="BE185" i="75"/>
  <c r="T185" i="75"/>
  <c r="R185" i="75"/>
  <c r="P185" i="75"/>
  <c r="J185" i="75"/>
  <c r="BF185" i="75" s="1"/>
  <c r="BK184" i="75"/>
  <c r="BI184" i="75"/>
  <c r="BH184" i="75"/>
  <c r="BG184" i="75"/>
  <c r="BE184" i="75"/>
  <c r="T184" i="75"/>
  <c r="R184" i="75"/>
  <c r="P184" i="75"/>
  <c r="J184" i="75"/>
  <c r="BF184" i="75" s="1"/>
  <c r="BK183" i="75"/>
  <c r="BI183" i="75"/>
  <c r="BH183" i="75"/>
  <c r="BG183" i="75"/>
  <c r="BE183" i="75"/>
  <c r="T183" i="75"/>
  <c r="R183" i="75"/>
  <c r="P183" i="75"/>
  <c r="J183" i="75"/>
  <c r="BF183" i="75" s="1"/>
  <c r="BK182" i="75"/>
  <c r="BI182" i="75"/>
  <c r="BH182" i="75"/>
  <c r="BG182" i="75"/>
  <c r="BE182" i="75"/>
  <c r="T182" i="75"/>
  <c r="R182" i="75"/>
  <c r="P182" i="75"/>
  <c r="J182" i="75"/>
  <c r="BF182" i="75" s="1"/>
  <c r="BK181" i="75"/>
  <c r="BI181" i="75"/>
  <c r="BH181" i="75"/>
  <c r="BG181" i="75"/>
  <c r="BE181" i="75"/>
  <c r="T181" i="75"/>
  <c r="R181" i="75"/>
  <c r="P181" i="75"/>
  <c r="J181" i="75"/>
  <c r="BF181" i="75" s="1"/>
  <c r="BK180" i="75"/>
  <c r="BI180" i="75"/>
  <c r="BH180" i="75"/>
  <c r="BG180" i="75"/>
  <c r="BE180" i="75"/>
  <c r="T180" i="75"/>
  <c r="R180" i="75"/>
  <c r="P180" i="75"/>
  <c r="J180" i="75"/>
  <c r="BF180" i="75" s="1"/>
  <c r="BK179" i="75"/>
  <c r="BI179" i="75"/>
  <c r="BH179" i="75"/>
  <c r="BG179" i="75"/>
  <c r="BE179" i="75"/>
  <c r="T179" i="75"/>
  <c r="R179" i="75"/>
  <c r="P179" i="75"/>
  <c r="J179" i="75"/>
  <c r="BF179" i="75" s="1"/>
  <c r="BK178" i="75"/>
  <c r="BI178" i="75"/>
  <c r="BH178" i="75"/>
  <c r="BG178" i="75"/>
  <c r="BE178" i="75"/>
  <c r="T178" i="75"/>
  <c r="R178" i="75"/>
  <c r="P178" i="75"/>
  <c r="J178" i="75"/>
  <c r="BF178" i="75" s="1"/>
  <c r="BK177" i="75"/>
  <c r="BI177" i="75"/>
  <c r="BH177" i="75"/>
  <c r="BG177" i="75"/>
  <c r="BE177" i="75"/>
  <c r="T177" i="75"/>
  <c r="R177" i="75"/>
  <c r="P177" i="75"/>
  <c r="J177" i="75"/>
  <c r="BF177" i="75" s="1"/>
  <c r="BK176" i="75"/>
  <c r="BI176" i="75"/>
  <c r="BH176" i="75"/>
  <c r="BG176" i="75"/>
  <c r="BE176" i="75"/>
  <c r="T176" i="75"/>
  <c r="R176" i="75"/>
  <c r="P176" i="75"/>
  <c r="J176" i="75"/>
  <c r="BF176" i="75" s="1"/>
  <c r="BK175" i="75"/>
  <c r="BI175" i="75"/>
  <c r="BH175" i="75"/>
  <c r="BG175" i="75"/>
  <c r="BE175" i="75"/>
  <c r="T175" i="75"/>
  <c r="R175" i="75"/>
  <c r="P175" i="75"/>
  <c r="J175" i="75"/>
  <c r="BF175" i="75" s="1"/>
  <c r="BK174" i="75"/>
  <c r="BI174" i="75"/>
  <c r="BH174" i="75"/>
  <c r="BG174" i="75"/>
  <c r="BE174" i="75"/>
  <c r="T174" i="75"/>
  <c r="R174" i="75"/>
  <c r="P174" i="75"/>
  <c r="J174" i="75"/>
  <c r="BF174" i="75" s="1"/>
  <c r="BK173" i="75"/>
  <c r="BI173" i="75"/>
  <c r="BH173" i="75"/>
  <c r="BG173" i="75"/>
  <c r="BE173" i="75"/>
  <c r="T173" i="75"/>
  <c r="R173" i="75"/>
  <c r="P173" i="75"/>
  <c r="P167" i="75" s="1"/>
  <c r="J173" i="75"/>
  <c r="BF173" i="75" s="1"/>
  <c r="BK172" i="75"/>
  <c r="BI172" i="75"/>
  <c r="BH172" i="75"/>
  <c r="BG172" i="75"/>
  <c r="BE172" i="75"/>
  <c r="T172" i="75"/>
  <c r="R172" i="75"/>
  <c r="P172" i="75"/>
  <c r="J172" i="75"/>
  <c r="BF172" i="75" s="1"/>
  <c r="BK171" i="75"/>
  <c r="BI171" i="75"/>
  <c r="BH171" i="75"/>
  <c r="BG171" i="75"/>
  <c r="BF171" i="75"/>
  <c r="BE171" i="75"/>
  <c r="T171" i="75"/>
  <c r="R171" i="75"/>
  <c r="P171" i="75"/>
  <c r="J171" i="75"/>
  <c r="BK170" i="75"/>
  <c r="BI170" i="75"/>
  <c r="BH170" i="75"/>
  <c r="BG170" i="75"/>
  <c r="BF170" i="75"/>
  <c r="BE170" i="75"/>
  <c r="T170" i="75"/>
  <c r="R170" i="75"/>
  <c r="P170" i="75"/>
  <c r="J170" i="75"/>
  <c r="BK169" i="75"/>
  <c r="BI169" i="75"/>
  <c r="BH169" i="75"/>
  <c r="BG169" i="75"/>
  <c r="BE169" i="75"/>
  <c r="T169" i="75"/>
  <c r="R169" i="75"/>
  <c r="P169" i="75"/>
  <c r="J169" i="75"/>
  <c r="BF169" i="75" s="1"/>
  <c r="BK168" i="75"/>
  <c r="BI168" i="75"/>
  <c r="BH168" i="75"/>
  <c r="BG168" i="75"/>
  <c r="BE168" i="75"/>
  <c r="T168" i="75"/>
  <c r="R168" i="75"/>
  <c r="P168" i="75"/>
  <c r="J168" i="75"/>
  <c r="BF168" i="75" s="1"/>
  <c r="BK166" i="75"/>
  <c r="BI166" i="75"/>
  <c r="BH166" i="75"/>
  <c r="BG166" i="75"/>
  <c r="BE166" i="75"/>
  <c r="T166" i="75"/>
  <c r="R166" i="75"/>
  <c r="P166" i="75"/>
  <c r="J166" i="75"/>
  <c r="BF166" i="75" s="1"/>
  <c r="BK165" i="75"/>
  <c r="BI165" i="75"/>
  <c r="BH165" i="75"/>
  <c r="BG165" i="75"/>
  <c r="BE165" i="75"/>
  <c r="T165" i="75"/>
  <c r="R165" i="75"/>
  <c r="P165" i="75"/>
  <c r="J165" i="75"/>
  <c r="BF165" i="75" s="1"/>
  <c r="BK164" i="75"/>
  <c r="BI164" i="75"/>
  <c r="BH164" i="75"/>
  <c r="BG164" i="75"/>
  <c r="BE164" i="75"/>
  <c r="T164" i="75"/>
  <c r="R164" i="75"/>
  <c r="P164" i="75"/>
  <c r="J164" i="75"/>
  <c r="BF164" i="75" s="1"/>
  <c r="BK163" i="75"/>
  <c r="BI163" i="75"/>
  <c r="BH163" i="75"/>
  <c r="BG163" i="75"/>
  <c r="BE163" i="75"/>
  <c r="T163" i="75"/>
  <c r="R163" i="75"/>
  <c r="P163" i="75"/>
  <c r="J163" i="75"/>
  <c r="BF163" i="75" s="1"/>
  <c r="BK162" i="75"/>
  <c r="BI162" i="75"/>
  <c r="BH162" i="75"/>
  <c r="BG162" i="75"/>
  <c r="BE162" i="75"/>
  <c r="T162" i="75"/>
  <c r="R162" i="75"/>
  <c r="P162" i="75"/>
  <c r="J162" i="75"/>
  <c r="BF162" i="75" s="1"/>
  <c r="BK161" i="75"/>
  <c r="BI161" i="75"/>
  <c r="BH161" i="75"/>
  <c r="BG161" i="75"/>
  <c r="BE161" i="75"/>
  <c r="T161" i="75"/>
  <c r="R161" i="75"/>
  <c r="P161" i="75"/>
  <c r="J161" i="75"/>
  <c r="BF161" i="75" s="1"/>
  <c r="BK160" i="75"/>
  <c r="BI160" i="75"/>
  <c r="BH160" i="75"/>
  <c r="BG160" i="75"/>
  <c r="BE160" i="75"/>
  <c r="T160" i="75"/>
  <c r="R160" i="75"/>
  <c r="P160" i="75"/>
  <c r="J160" i="75"/>
  <c r="BF160" i="75" s="1"/>
  <c r="BK159" i="75"/>
  <c r="BI159" i="75"/>
  <c r="BH159" i="75"/>
  <c r="BG159" i="75"/>
  <c r="BE159" i="75"/>
  <c r="T159" i="75"/>
  <c r="R159" i="75"/>
  <c r="P159" i="75"/>
  <c r="J159" i="75"/>
  <c r="BF159" i="75" s="1"/>
  <c r="BK158" i="75"/>
  <c r="BI158" i="75"/>
  <c r="BH158" i="75"/>
  <c r="BG158" i="75"/>
  <c r="BE158" i="75"/>
  <c r="T158" i="75"/>
  <c r="R158" i="75"/>
  <c r="P158" i="75"/>
  <c r="J158" i="75"/>
  <c r="BF158" i="75" s="1"/>
  <c r="BK157" i="75"/>
  <c r="BI157" i="75"/>
  <c r="BH157" i="75"/>
  <c r="BG157" i="75"/>
  <c r="BE157" i="75"/>
  <c r="T157" i="75"/>
  <c r="R157" i="75"/>
  <c r="R156" i="75" s="1"/>
  <c r="P157" i="75"/>
  <c r="J157" i="75"/>
  <c r="BF157" i="75" s="1"/>
  <c r="BI154" i="75"/>
  <c r="BH154" i="75"/>
  <c r="BG154" i="75"/>
  <c r="BE154" i="75"/>
  <c r="BK152" i="75"/>
  <c r="BI152" i="75"/>
  <c r="BH152" i="75"/>
  <c r="BG152" i="75"/>
  <c r="BE152" i="75"/>
  <c r="T152" i="75"/>
  <c r="R152" i="75"/>
  <c r="P152" i="75"/>
  <c r="J152" i="75"/>
  <c r="BF152" i="75" s="1"/>
  <c r="BK151" i="75"/>
  <c r="BI151" i="75"/>
  <c r="BH151" i="75"/>
  <c r="BG151" i="75"/>
  <c r="BE151" i="75"/>
  <c r="T151" i="75"/>
  <c r="R151" i="75"/>
  <c r="P151" i="75"/>
  <c r="J151" i="75"/>
  <c r="BF151" i="75" s="1"/>
  <c r="BK150" i="75"/>
  <c r="BI150" i="75"/>
  <c r="BH150" i="75"/>
  <c r="BG150" i="75"/>
  <c r="BE150" i="75"/>
  <c r="T150" i="75"/>
  <c r="R150" i="75"/>
  <c r="P150" i="75"/>
  <c r="P148" i="75" s="1"/>
  <c r="J150" i="75"/>
  <c r="BF150" i="75" s="1"/>
  <c r="BK149" i="75"/>
  <c r="BI149" i="75"/>
  <c r="BH149" i="75"/>
  <c r="BG149" i="75"/>
  <c r="BE149" i="75"/>
  <c r="T149" i="75"/>
  <c r="T148" i="75" s="1"/>
  <c r="R149" i="75"/>
  <c r="R148" i="75" s="1"/>
  <c r="P149" i="75"/>
  <c r="J149" i="75"/>
  <c r="BF149" i="75" s="1"/>
  <c r="BK147" i="75"/>
  <c r="BI147" i="75"/>
  <c r="BH147" i="75"/>
  <c r="BG147" i="75"/>
  <c r="BE147" i="75"/>
  <c r="T147" i="75"/>
  <c r="R147" i="75"/>
  <c r="P147" i="75"/>
  <c r="J147" i="75"/>
  <c r="BF147" i="75" s="1"/>
  <c r="BK146" i="75"/>
  <c r="BI146" i="75"/>
  <c r="BH146" i="75"/>
  <c r="BG146" i="75"/>
  <c r="BF146" i="75"/>
  <c r="BE146" i="75"/>
  <c r="T146" i="75"/>
  <c r="R146" i="75"/>
  <c r="P146" i="75"/>
  <c r="J146" i="75"/>
  <c r="BK145" i="75"/>
  <c r="BI145" i="75"/>
  <c r="BH145" i="75"/>
  <c r="BG145" i="75"/>
  <c r="BE145" i="75"/>
  <c r="T145" i="75"/>
  <c r="R145" i="75"/>
  <c r="P145" i="75"/>
  <c r="J145" i="75"/>
  <c r="BF145" i="75" s="1"/>
  <c r="BK144" i="75"/>
  <c r="BI144" i="75"/>
  <c r="BH144" i="75"/>
  <c r="BG144" i="75"/>
  <c r="BE144" i="75"/>
  <c r="T144" i="75"/>
  <c r="R144" i="75"/>
  <c r="P144" i="75"/>
  <c r="J144" i="75"/>
  <c r="BF144" i="75" s="1"/>
  <c r="BK143" i="75"/>
  <c r="BI143" i="75"/>
  <c r="BH143" i="75"/>
  <c r="BG143" i="75"/>
  <c r="BE143" i="75"/>
  <c r="T143" i="75"/>
  <c r="R143" i="75"/>
  <c r="P143" i="75"/>
  <c r="J143" i="75"/>
  <c r="BF143" i="75" s="1"/>
  <c r="BK142" i="75"/>
  <c r="BI142" i="75"/>
  <c r="BH142" i="75"/>
  <c r="BG142" i="75"/>
  <c r="BE142" i="75"/>
  <c r="T142" i="75"/>
  <c r="R142" i="75"/>
  <c r="P142" i="75"/>
  <c r="J142" i="75"/>
  <c r="BF142" i="75" s="1"/>
  <c r="BK141" i="75"/>
  <c r="BI141" i="75"/>
  <c r="BH141" i="75"/>
  <c r="BG141" i="75"/>
  <c r="BE141" i="75"/>
  <c r="T141" i="75"/>
  <c r="R141" i="75"/>
  <c r="P141" i="75"/>
  <c r="J141" i="75"/>
  <c r="BF141" i="75" s="1"/>
  <c r="BK140" i="75"/>
  <c r="BI140" i="75"/>
  <c r="BH140" i="75"/>
  <c r="BG140" i="75"/>
  <c r="BE140" i="75"/>
  <c r="T140" i="75"/>
  <c r="R140" i="75"/>
  <c r="P140" i="75"/>
  <c r="J140" i="75"/>
  <c r="BF140" i="75" s="1"/>
  <c r="BK139" i="75"/>
  <c r="BK137" i="75" s="1"/>
  <c r="J137" i="75" s="1"/>
  <c r="J99" i="75" s="1"/>
  <c r="BI139" i="75"/>
  <c r="BH139" i="75"/>
  <c r="BG139" i="75"/>
  <c r="BF139" i="75"/>
  <c r="BE139" i="75"/>
  <c r="T139" i="75"/>
  <c r="R139" i="75"/>
  <c r="P139" i="75"/>
  <c r="J139" i="75"/>
  <c r="BK138" i="75"/>
  <c r="BI138" i="75"/>
  <c r="BH138" i="75"/>
  <c r="BG138" i="75"/>
  <c r="BE138" i="75"/>
  <c r="T138" i="75"/>
  <c r="T137" i="75" s="1"/>
  <c r="R138" i="75"/>
  <c r="P138" i="75"/>
  <c r="J138" i="75"/>
  <c r="BF138" i="75" s="1"/>
  <c r="P137" i="75"/>
  <c r="BI136" i="75"/>
  <c r="BH136" i="75"/>
  <c r="BG136" i="75"/>
  <c r="BE136" i="75"/>
  <c r="BK135" i="75"/>
  <c r="BI135" i="75"/>
  <c r="BH135" i="75"/>
  <c r="BG135" i="75"/>
  <c r="BE135" i="75"/>
  <c r="T135" i="75"/>
  <c r="R135" i="75"/>
  <c r="P135" i="75"/>
  <c r="J135" i="75"/>
  <c r="BF135" i="75" s="1"/>
  <c r="BK134" i="75"/>
  <c r="BI134" i="75"/>
  <c r="BH134" i="75"/>
  <c r="BG134" i="75"/>
  <c r="BE134" i="75"/>
  <c r="T134" i="75"/>
  <c r="R134" i="75"/>
  <c r="P134" i="75"/>
  <c r="J134" i="75"/>
  <c r="BF134" i="75" s="1"/>
  <c r="BK133" i="75"/>
  <c r="BI133" i="75"/>
  <c r="BH133" i="75"/>
  <c r="BG133" i="75"/>
  <c r="BE133" i="75"/>
  <c r="T133" i="75"/>
  <c r="R133" i="75"/>
  <c r="P133" i="75"/>
  <c r="J133" i="75"/>
  <c r="BF133" i="75" s="1"/>
  <c r="F124" i="75"/>
  <c r="E122" i="75"/>
  <c r="E120" i="75"/>
  <c r="BI109" i="75"/>
  <c r="BH109" i="75"/>
  <c r="BG109" i="75"/>
  <c r="BF109" i="75"/>
  <c r="BE109" i="75"/>
  <c r="J108" i="75"/>
  <c r="J31" i="75" s="1"/>
  <c r="F89" i="75"/>
  <c r="E87" i="75"/>
  <c r="E85" i="75"/>
  <c r="J39" i="75"/>
  <c r="J38" i="75"/>
  <c r="J37" i="75"/>
  <c r="J24" i="75"/>
  <c r="E24" i="75"/>
  <c r="J127" i="75" s="1"/>
  <c r="J23" i="75"/>
  <c r="J21" i="75"/>
  <c r="E21" i="75"/>
  <c r="J126" i="75" s="1"/>
  <c r="J20" i="75"/>
  <c r="J18" i="75"/>
  <c r="E18" i="75"/>
  <c r="F127" i="75" s="1"/>
  <c r="J17" i="75"/>
  <c r="J15" i="75"/>
  <c r="E15" i="75"/>
  <c r="F126" i="75" s="1"/>
  <c r="J14" i="75"/>
  <c r="J12" i="75"/>
  <c r="J124" i="75" s="1"/>
  <c r="E7" i="75"/>
  <c r="BK215" i="74"/>
  <c r="BI215" i="74"/>
  <c r="BH215" i="74"/>
  <c r="BG215" i="74"/>
  <c r="BE215" i="74"/>
  <c r="T215" i="74"/>
  <c r="R215" i="74"/>
  <c r="P215" i="74"/>
  <c r="J215" i="74"/>
  <c r="BF215" i="74" s="1"/>
  <c r="BK214" i="74"/>
  <c r="BK213" i="74" s="1"/>
  <c r="J213" i="74" s="1"/>
  <c r="J105" i="74" s="1"/>
  <c r="BI214" i="74"/>
  <c r="BH214" i="74"/>
  <c r="BG214" i="74"/>
  <c r="BE214" i="74"/>
  <c r="T214" i="74"/>
  <c r="R214" i="74"/>
  <c r="R213" i="74" s="1"/>
  <c r="P214" i="74"/>
  <c r="P213" i="74" s="1"/>
  <c r="J214" i="74"/>
  <c r="BF214" i="74" s="1"/>
  <c r="T213" i="74"/>
  <c r="BK212" i="74"/>
  <c r="BI212" i="74"/>
  <c r="BH212" i="74"/>
  <c r="BG212" i="74"/>
  <c r="BE212" i="74"/>
  <c r="T212" i="74"/>
  <c r="R212" i="74"/>
  <c r="P212" i="74"/>
  <c r="J212" i="74"/>
  <c r="BF212" i="74" s="1"/>
  <c r="BK211" i="74"/>
  <c r="BI211" i="74"/>
  <c r="BH211" i="74"/>
  <c r="BG211" i="74"/>
  <c r="BF211" i="74"/>
  <c r="BE211" i="74"/>
  <c r="T211" i="74"/>
  <c r="R211" i="74"/>
  <c r="P211" i="74"/>
  <c r="J211" i="74"/>
  <c r="BK210" i="74"/>
  <c r="BI210" i="74"/>
  <c r="BH210" i="74"/>
  <c r="BG210" i="74"/>
  <c r="BE210" i="74"/>
  <c r="T210" i="74"/>
  <c r="R210" i="74"/>
  <c r="P210" i="74"/>
  <c r="J210" i="74"/>
  <c r="BF210" i="74" s="1"/>
  <c r="BK209" i="74"/>
  <c r="BI209" i="74"/>
  <c r="BH209" i="74"/>
  <c r="BG209" i="74"/>
  <c r="BF209" i="74"/>
  <c r="BE209" i="74"/>
  <c r="T209" i="74"/>
  <c r="R209" i="74"/>
  <c r="P209" i="74"/>
  <c r="J209" i="74"/>
  <c r="BK208" i="74"/>
  <c r="BI208" i="74"/>
  <c r="BH208" i="74"/>
  <c r="BG208" i="74"/>
  <c r="BE208" i="74"/>
  <c r="T208" i="74"/>
  <c r="R208" i="74"/>
  <c r="P208" i="74"/>
  <c r="J208" i="74"/>
  <c r="BF208" i="74" s="1"/>
  <c r="BK207" i="74"/>
  <c r="BI207" i="74"/>
  <c r="BH207" i="74"/>
  <c r="BG207" i="74"/>
  <c r="BE207" i="74"/>
  <c r="T207" i="74"/>
  <c r="R207" i="74"/>
  <c r="P207" i="74"/>
  <c r="J207" i="74"/>
  <c r="BF207" i="74" s="1"/>
  <c r="BK206" i="74"/>
  <c r="BI206" i="74"/>
  <c r="BH206" i="74"/>
  <c r="BG206" i="74"/>
  <c r="BE206" i="74"/>
  <c r="T206" i="74"/>
  <c r="R206" i="74"/>
  <c r="P206" i="74"/>
  <c r="J206" i="74"/>
  <c r="BF206" i="74" s="1"/>
  <c r="BK205" i="74"/>
  <c r="BI205" i="74"/>
  <c r="BH205" i="74"/>
  <c r="BG205" i="74"/>
  <c r="BE205" i="74"/>
  <c r="T205" i="74"/>
  <c r="R205" i="74"/>
  <c r="P205" i="74"/>
  <c r="J205" i="74"/>
  <c r="BF205" i="74" s="1"/>
  <c r="BK204" i="74"/>
  <c r="BI204" i="74"/>
  <c r="BH204" i="74"/>
  <c r="BG204" i="74"/>
  <c r="BE204" i="74"/>
  <c r="T204" i="74"/>
  <c r="R204" i="74"/>
  <c r="P204" i="74"/>
  <c r="J204" i="74"/>
  <c r="BF204" i="74" s="1"/>
  <c r="BK203" i="74"/>
  <c r="BI203" i="74"/>
  <c r="BH203" i="74"/>
  <c r="BG203" i="74"/>
  <c r="BE203" i="74"/>
  <c r="T203" i="74"/>
  <c r="R203" i="74"/>
  <c r="P203" i="74"/>
  <c r="J203" i="74"/>
  <c r="BF203" i="74" s="1"/>
  <c r="BK202" i="74"/>
  <c r="BI202" i="74"/>
  <c r="BH202" i="74"/>
  <c r="BG202" i="74"/>
  <c r="BE202" i="74"/>
  <c r="T202" i="74"/>
  <c r="R202" i="74"/>
  <c r="P202" i="74"/>
  <c r="J202" i="74"/>
  <c r="BF202" i="74" s="1"/>
  <c r="BK201" i="74"/>
  <c r="BI201" i="74"/>
  <c r="BH201" i="74"/>
  <c r="BG201" i="74"/>
  <c r="BE201" i="74"/>
  <c r="T201" i="74"/>
  <c r="R201" i="74"/>
  <c r="P201" i="74"/>
  <c r="J201" i="74"/>
  <c r="BF201" i="74" s="1"/>
  <c r="BK200" i="74"/>
  <c r="BI200" i="74"/>
  <c r="BH200" i="74"/>
  <c r="BG200" i="74"/>
  <c r="BE200" i="74"/>
  <c r="T200" i="74"/>
  <c r="R200" i="74"/>
  <c r="P200" i="74"/>
  <c r="J200" i="74"/>
  <c r="BF200" i="74" s="1"/>
  <c r="BK199" i="74"/>
  <c r="BI199" i="74"/>
  <c r="BH199" i="74"/>
  <c r="BG199" i="74"/>
  <c r="BE199" i="74"/>
  <c r="T199" i="74"/>
  <c r="R199" i="74"/>
  <c r="P199" i="74"/>
  <c r="J199" i="74"/>
  <c r="BF199" i="74" s="1"/>
  <c r="BK198" i="74"/>
  <c r="BI198" i="74"/>
  <c r="BH198" i="74"/>
  <c r="BG198" i="74"/>
  <c r="BE198" i="74"/>
  <c r="T198" i="74"/>
  <c r="R198" i="74"/>
  <c r="P198" i="74"/>
  <c r="J198" i="74"/>
  <c r="BF198" i="74" s="1"/>
  <c r="BK197" i="74"/>
  <c r="BI197" i="74"/>
  <c r="BH197" i="74"/>
  <c r="BG197" i="74"/>
  <c r="BF197" i="74"/>
  <c r="BE197" i="74"/>
  <c r="T197" i="74"/>
  <c r="R197" i="74"/>
  <c r="P197" i="74"/>
  <c r="J197" i="74"/>
  <c r="BK196" i="74"/>
  <c r="BI196" i="74"/>
  <c r="BH196" i="74"/>
  <c r="BG196" i="74"/>
  <c r="BE196" i="74"/>
  <c r="T196" i="74"/>
  <c r="R196" i="74"/>
  <c r="P196" i="74"/>
  <c r="J196" i="74"/>
  <c r="BF196" i="74" s="1"/>
  <c r="BK195" i="74"/>
  <c r="BI195" i="74"/>
  <c r="BH195" i="74"/>
  <c r="BG195" i="74"/>
  <c r="BE195" i="74"/>
  <c r="T195" i="74"/>
  <c r="R195" i="74"/>
  <c r="P195" i="74"/>
  <c r="J195" i="74"/>
  <c r="BF195" i="74" s="1"/>
  <c r="BK194" i="74"/>
  <c r="BI194" i="74"/>
  <c r="BH194" i="74"/>
  <c r="BG194" i="74"/>
  <c r="BE194" i="74"/>
  <c r="T194" i="74"/>
  <c r="R194" i="74"/>
  <c r="P194" i="74"/>
  <c r="J194" i="74"/>
  <c r="BF194" i="74" s="1"/>
  <c r="BK193" i="74"/>
  <c r="BI193" i="74"/>
  <c r="BH193" i="74"/>
  <c r="BG193" i="74"/>
  <c r="BE193" i="74"/>
  <c r="T193" i="74"/>
  <c r="R193" i="74"/>
  <c r="P193" i="74"/>
  <c r="J193" i="74"/>
  <c r="BF193" i="74" s="1"/>
  <c r="BK192" i="74"/>
  <c r="BI192" i="74"/>
  <c r="BH192" i="74"/>
  <c r="BG192" i="74"/>
  <c r="BE192" i="74"/>
  <c r="T192" i="74"/>
  <c r="R192" i="74"/>
  <c r="P192" i="74"/>
  <c r="J192" i="74"/>
  <c r="BF192" i="74" s="1"/>
  <c r="BK191" i="74"/>
  <c r="BI191" i="74"/>
  <c r="BH191" i="74"/>
  <c r="BG191" i="74"/>
  <c r="BE191" i="74"/>
  <c r="T191" i="74"/>
  <c r="R191" i="74"/>
  <c r="P191" i="74"/>
  <c r="J191" i="74"/>
  <c r="BF191" i="74" s="1"/>
  <c r="BK190" i="74"/>
  <c r="BI190" i="74"/>
  <c r="BH190" i="74"/>
  <c r="BG190" i="74"/>
  <c r="BE190" i="74"/>
  <c r="T190" i="74"/>
  <c r="T189" i="74" s="1"/>
  <c r="R190" i="74"/>
  <c r="P190" i="74"/>
  <c r="J190" i="74"/>
  <c r="BF190" i="74" s="1"/>
  <c r="P189" i="74"/>
  <c r="BK188" i="74"/>
  <c r="BI188" i="74"/>
  <c r="BH188" i="74"/>
  <c r="BG188" i="74"/>
  <c r="BE188" i="74"/>
  <c r="T188" i="74"/>
  <c r="R188" i="74"/>
  <c r="P188" i="74"/>
  <c r="J188" i="74"/>
  <c r="BF188" i="74" s="1"/>
  <c r="BK187" i="74"/>
  <c r="BI187" i="74"/>
  <c r="BH187" i="74"/>
  <c r="BG187" i="74"/>
  <c r="BE187" i="74"/>
  <c r="T187" i="74"/>
  <c r="R187" i="74"/>
  <c r="P187" i="74"/>
  <c r="J187" i="74"/>
  <c r="BF187" i="74" s="1"/>
  <c r="BK186" i="74"/>
  <c r="BI186" i="74"/>
  <c r="BH186" i="74"/>
  <c r="BG186" i="74"/>
  <c r="BE186" i="74"/>
  <c r="T186" i="74"/>
  <c r="R186" i="74"/>
  <c r="P186" i="74"/>
  <c r="J186" i="74"/>
  <c r="BF186" i="74" s="1"/>
  <c r="BK185" i="74"/>
  <c r="BI185" i="74"/>
  <c r="BH185" i="74"/>
  <c r="BG185" i="74"/>
  <c r="BE185" i="74"/>
  <c r="T185" i="74"/>
  <c r="R185" i="74"/>
  <c r="P185" i="74"/>
  <c r="J185" i="74"/>
  <c r="BF185" i="74" s="1"/>
  <c r="BK184" i="74"/>
  <c r="BI184" i="74"/>
  <c r="BH184" i="74"/>
  <c r="BG184" i="74"/>
  <c r="BE184" i="74"/>
  <c r="T184" i="74"/>
  <c r="R184" i="74"/>
  <c r="P184" i="74"/>
  <c r="J184" i="74"/>
  <c r="BF184" i="74" s="1"/>
  <c r="BK183" i="74"/>
  <c r="BI183" i="74"/>
  <c r="BH183" i="74"/>
  <c r="BG183" i="74"/>
  <c r="BE183" i="74"/>
  <c r="T183" i="74"/>
  <c r="R183" i="74"/>
  <c r="P183" i="74"/>
  <c r="J183" i="74"/>
  <c r="BF183" i="74" s="1"/>
  <c r="BK182" i="74"/>
  <c r="BI182" i="74"/>
  <c r="BH182" i="74"/>
  <c r="BG182" i="74"/>
  <c r="BE182" i="74"/>
  <c r="T182" i="74"/>
  <c r="R182" i="74"/>
  <c r="P182" i="74"/>
  <c r="J182" i="74"/>
  <c r="BF182" i="74" s="1"/>
  <c r="BK181" i="74"/>
  <c r="BI181" i="74"/>
  <c r="BH181" i="74"/>
  <c r="BG181" i="74"/>
  <c r="BE181" i="74"/>
  <c r="T181" i="74"/>
  <c r="R181" i="74"/>
  <c r="P181" i="74"/>
  <c r="J181" i="74"/>
  <c r="BF181" i="74" s="1"/>
  <c r="BK180" i="74"/>
  <c r="BI180" i="74"/>
  <c r="BH180" i="74"/>
  <c r="BG180" i="74"/>
  <c r="BE180" i="74"/>
  <c r="T180" i="74"/>
  <c r="R180" i="74"/>
  <c r="P180" i="74"/>
  <c r="J180" i="74"/>
  <c r="BF180" i="74" s="1"/>
  <c r="BK179" i="74"/>
  <c r="BI179" i="74"/>
  <c r="BH179" i="74"/>
  <c r="BG179" i="74"/>
  <c r="BE179" i="74"/>
  <c r="T179" i="74"/>
  <c r="R179" i="74"/>
  <c r="P179" i="74"/>
  <c r="J179" i="74"/>
  <c r="BF179" i="74" s="1"/>
  <c r="BK178" i="74"/>
  <c r="BI178" i="74"/>
  <c r="BH178" i="74"/>
  <c r="BG178" i="74"/>
  <c r="BE178" i="74"/>
  <c r="T178" i="74"/>
  <c r="R178" i="74"/>
  <c r="P178" i="74"/>
  <c r="J178" i="74"/>
  <c r="BF178" i="74" s="1"/>
  <c r="BK177" i="74"/>
  <c r="BI177" i="74"/>
  <c r="BH177" i="74"/>
  <c r="BG177" i="74"/>
  <c r="BE177" i="74"/>
  <c r="T177" i="74"/>
  <c r="R177" i="74"/>
  <c r="P177" i="74"/>
  <c r="J177" i="74"/>
  <c r="BF177" i="74" s="1"/>
  <c r="BK176" i="74"/>
  <c r="BI176" i="74"/>
  <c r="BH176" i="74"/>
  <c r="BG176" i="74"/>
  <c r="BE176" i="74"/>
  <c r="T176" i="74"/>
  <c r="R176" i="74"/>
  <c r="P176" i="74"/>
  <c r="J176" i="74"/>
  <c r="BF176" i="74" s="1"/>
  <c r="BK175" i="74"/>
  <c r="BI175" i="74"/>
  <c r="BH175" i="74"/>
  <c r="BG175" i="74"/>
  <c r="BE175" i="74"/>
  <c r="T175" i="74"/>
  <c r="R175" i="74"/>
  <c r="P175" i="74"/>
  <c r="J175" i="74"/>
  <c r="BF175" i="74" s="1"/>
  <c r="BK174" i="74"/>
  <c r="BI174" i="74"/>
  <c r="BH174" i="74"/>
  <c r="BG174" i="74"/>
  <c r="BE174" i="74"/>
  <c r="T174" i="74"/>
  <c r="R174" i="74"/>
  <c r="P174" i="74"/>
  <c r="J174" i="74"/>
  <c r="BF174" i="74" s="1"/>
  <c r="BK173" i="74"/>
  <c r="BI173" i="74"/>
  <c r="BH173" i="74"/>
  <c r="BG173" i="74"/>
  <c r="BE173" i="74"/>
  <c r="T173" i="74"/>
  <c r="R173" i="74"/>
  <c r="P173" i="74"/>
  <c r="J173" i="74"/>
  <c r="BF173" i="74" s="1"/>
  <c r="BK172" i="74"/>
  <c r="BI172" i="74"/>
  <c r="BH172" i="74"/>
  <c r="BG172" i="74"/>
  <c r="BE172" i="74"/>
  <c r="T172" i="74"/>
  <c r="R172" i="74"/>
  <c r="P172" i="74"/>
  <c r="J172" i="74"/>
  <c r="BF172" i="74" s="1"/>
  <c r="BK171" i="74"/>
  <c r="BI171" i="74"/>
  <c r="BH171" i="74"/>
  <c r="BG171" i="74"/>
  <c r="BF171" i="74"/>
  <c r="BE171" i="74"/>
  <c r="T171" i="74"/>
  <c r="R171" i="74"/>
  <c r="P171" i="74"/>
  <c r="J171" i="74"/>
  <c r="BK170" i="74"/>
  <c r="BI170" i="74"/>
  <c r="BH170" i="74"/>
  <c r="BG170" i="74"/>
  <c r="BE170" i="74"/>
  <c r="T170" i="74"/>
  <c r="R170" i="74"/>
  <c r="P170" i="74"/>
  <c r="J170" i="74"/>
  <c r="BF170" i="74" s="1"/>
  <c r="BK169" i="74"/>
  <c r="BI169" i="74"/>
  <c r="BH169" i="74"/>
  <c r="BG169" i="74"/>
  <c r="BE169" i="74"/>
  <c r="T169" i="74"/>
  <c r="R169" i="74"/>
  <c r="P169" i="74"/>
  <c r="J169" i="74"/>
  <c r="BF169" i="74" s="1"/>
  <c r="BK168" i="74"/>
  <c r="BI168" i="74"/>
  <c r="BH168" i="74"/>
  <c r="BG168" i="74"/>
  <c r="BE168" i="74"/>
  <c r="T168" i="74"/>
  <c r="R168" i="74"/>
  <c r="P168" i="74"/>
  <c r="J168" i="74"/>
  <c r="BF168" i="74" s="1"/>
  <c r="BK167" i="74"/>
  <c r="BI167" i="74"/>
  <c r="BH167" i="74"/>
  <c r="BG167" i="74"/>
  <c r="BE167" i="74"/>
  <c r="T167" i="74"/>
  <c r="R167" i="74"/>
  <c r="P167" i="74"/>
  <c r="J167" i="74"/>
  <c r="BF167" i="74" s="1"/>
  <c r="BK166" i="74"/>
  <c r="BI166" i="74"/>
  <c r="BH166" i="74"/>
  <c r="BG166" i="74"/>
  <c r="BE166" i="74"/>
  <c r="T166" i="74"/>
  <c r="R166" i="74"/>
  <c r="P166" i="74"/>
  <c r="J166" i="74"/>
  <c r="BF166" i="74" s="1"/>
  <c r="BK165" i="74"/>
  <c r="BI165" i="74"/>
  <c r="BH165" i="74"/>
  <c r="BG165" i="74"/>
  <c r="BE165" i="74"/>
  <c r="T165" i="74"/>
  <c r="R165" i="74"/>
  <c r="P165" i="74"/>
  <c r="J165" i="74"/>
  <c r="BF165" i="74" s="1"/>
  <c r="BK164" i="74"/>
  <c r="BI164" i="74"/>
  <c r="BH164" i="74"/>
  <c r="BG164" i="74"/>
  <c r="BE164" i="74"/>
  <c r="T164" i="74"/>
  <c r="R164" i="74"/>
  <c r="P164" i="74"/>
  <c r="J164" i="74"/>
  <c r="BF164" i="74" s="1"/>
  <c r="BK163" i="74"/>
  <c r="BI163" i="74"/>
  <c r="BH163" i="74"/>
  <c r="BG163" i="74"/>
  <c r="BE163" i="74"/>
  <c r="T163" i="74"/>
  <c r="R163" i="74"/>
  <c r="P163" i="74"/>
  <c r="J163" i="74"/>
  <c r="BF163" i="74" s="1"/>
  <c r="BK162" i="74"/>
  <c r="BI162" i="74"/>
  <c r="BH162" i="74"/>
  <c r="BG162" i="74"/>
  <c r="BE162" i="74"/>
  <c r="T162" i="74"/>
  <c r="R162" i="74"/>
  <c r="P162" i="74"/>
  <c r="J162" i="74"/>
  <c r="BF162" i="74" s="1"/>
  <c r="BK161" i="74"/>
  <c r="BI161" i="74"/>
  <c r="BH161" i="74"/>
  <c r="BG161" i="74"/>
  <c r="BE161" i="74"/>
  <c r="T161" i="74"/>
  <c r="R161" i="74"/>
  <c r="P161" i="74"/>
  <c r="J161" i="74"/>
  <c r="BF161" i="74" s="1"/>
  <c r="BK160" i="74"/>
  <c r="BI160" i="74"/>
  <c r="BH160" i="74"/>
  <c r="BG160" i="74"/>
  <c r="BE160" i="74"/>
  <c r="T160" i="74"/>
  <c r="R160" i="74"/>
  <c r="P160" i="74"/>
  <c r="J160" i="74"/>
  <c r="BF160" i="74" s="1"/>
  <c r="BK159" i="74"/>
  <c r="BI159" i="74"/>
  <c r="BH159" i="74"/>
  <c r="BG159" i="74"/>
  <c r="BF159" i="74"/>
  <c r="BE159" i="74"/>
  <c r="T159" i="74"/>
  <c r="R159" i="74"/>
  <c r="P159" i="74"/>
  <c r="J159" i="74"/>
  <c r="BK158" i="74"/>
  <c r="BI158" i="74"/>
  <c r="BH158" i="74"/>
  <c r="BG158" i="74"/>
  <c r="BE158" i="74"/>
  <c r="T158" i="74"/>
  <c r="R158" i="74"/>
  <c r="P158" i="74"/>
  <c r="J158" i="74"/>
  <c r="BF158" i="74" s="1"/>
  <c r="BK157" i="74"/>
  <c r="BI157" i="74"/>
  <c r="BH157" i="74"/>
  <c r="BG157" i="74"/>
  <c r="BE157" i="74"/>
  <c r="T157" i="74"/>
  <c r="R157" i="74"/>
  <c r="P157" i="74"/>
  <c r="J157" i="74"/>
  <c r="BF157" i="74" s="1"/>
  <c r="BK156" i="74"/>
  <c r="BI156" i="74"/>
  <c r="BH156" i="74"/>
  <c r="BG156" i="74"/>
  <c r="BE156" i="74"/>
  <c r="T156" i="74"/>
  <c r="R156" i="74"/>
  <c r="R155" i="74" s="1"/>
  <c r="P156" i="74"/>
  <c r="J156" i="74"/>
  <c r="BF156" i="74" s="1"/>
  <c r="BI153" i="74"/>
  <c r="BH153" i="74"/>
  <c r="BG153" i="74"/>
  <c r="BE153" i="74"/>
  <c r="BK151" i="74"/>
  <c r="BI151" i="74"/>
  <c r="BH151" i="74"/>
  <c r="BG151" i="74"/>
  <c r="BF151" i="74"/>
  <c r="BE151" i="74"/>
  <c r="T151" i="74"/>
  <c r="R151" i="74"/>
  <c r="P151" i="74"/>
  <c r="J151" i="74"/>
  <c r="BK150" i="74"/>
  <c r="BI150" i="74"/>
  <c r="BH150" i="74"/>
  <c r="BG150" i="74"/>
  <c r="BE150" i="74"/>
  <c r="T150" i="74"/>
  <c r="R150" i="74"/>
  <c r="P150" i="74"/>
  <c r="P149" i="74" s="1"/>
  <c r="J150" i="74"/>
  <c r="BF150" i="74" s="1"/>
  <c r="BK149" i="74"/>
  <c r="J149" i="74" s="1"/>
  <c r="J100" i="74" s="1"/>
  <c r="T149" i="74"/>
  <c r="R149" i="74"/>
  <c r="BK148" i="74"/>
  <c r="BI148" i="74"/>
  <c r="BH148" i="74"/>
  <c r="BG148" i="74"/>
  <c r="BE148" i="74"/>
  <c r="T148" i="74"/>
  <c r="R148" i="74"/>
  <c r="P148" i="74"/>
  <c r="J148" i="74"/>
  <c r="BF148" i="74" s="1"/>
  <c r="BK147" i="74"/>
  <c r="BI147" i="74"/>
  <c r="BH147" i="74"/>
  <c r="BG147" i="74"/>
  <c r="BE147" i="74"/>
  <c r="T147" i="74"/>
  <c r="R147" i="74"/>
  <c r="P147" i="74"/>
  <c r="J147" i="74"/>
  <c r="BF147" i="74" s="1"/>
  <c r="BK146" i="74"/>
  <c r="BI146" i="74"/>
  <c r="BH146" i="74"/>
  <c r="BG146" i="74"/>
  <c r="BE146" i="74"/>
  <c r="T146" i="74"/>
  <c r="R146" i="74"/>
  <c r="P146" i="74"/>
  <c r="J146" i="74"/>
  <c r="BF146" i="74" s="1"/>
  <c r="BK145" i="74"/>
  <c r="BI145" i="74"/>
  <c r="BH145" i="74"/>
  <c r="BG145" i="74"/>
  <c r="BE145" i="74"/>
  <c r="T145" i="74"/>
  <c r="R145" i="74"/>
  <c r="P145" i="74"/>
  <c r="J145" i="74"/>
  <c r="BF145" i="74" s="1"/>
  <c r="BK144" i="74"/>
  <c r="BI144" i="74"/>
  <c r="BH144" i="74"/>
  <c r="BG144" i="74"/>
  <c r="BE144" i="74"/>
  <c r="T144" i="74"/>
  <c r="R144" i="74"/>
  <c r="P144" i="74"/>
  <c r="J144" i="74"/>
  <c r="BF144" i="74" s="1"/>
  <c r="BK143" i="74"/>
  <c r="BI143" i="74"/>
  <c r="BH143" i="74"/>
  <c r="BG143" i="74"/>
  <c r="BE143" i="74"/>
  <c r="T143" i="74"/>
  <c r="R143" i="74"/>
  <c r="P143" i="74"/>
  <c r="J143" i="74"/>
  <c r="BF143" i="74" s="1"/>
  <c r="BK142" i="74"/>
  <c r="BI142" i="74"/>
  <c r="BH142" i="74"/>
  <c r="BG142" i="74"/>
  <c r="BE142" i="74"/>
  <c r="T142" i="74"/>
  <c r="R142" i="74"/>
  <c r="P142" i="74"/>
  <c r="J142" i="74"/>
  <c r="BF142" i="74" s="1"/>
  <c r="BK141" i="74"/>
  <c r="BI141" i="74"/>
  <c r="BH141" i="74"/>
  <c r="BG141" i="74"/>
  <c r="BE141" i="74"/>
  <c r="T141" i="74"/>
  <c r="R141" i="74"/>
  <c r="P141" i="74"/>
  <c r="J141" i="74"/>
  <c r="BF141" i="74" s="1"/>
  <c r="BK140" i="74"/>
  <c r="BI140" i="74"/>
  <c r="BH140" i="74"/>
  <c r="BG140" i="74"/>
  <c r="BE140" i="74"/>
  <c r="T140" i="74"/>
  <c r="R140" i="74"/>
  <c r="P140" i="74"/>
  <c r="J140" i="74"/>
  <c r="BF140" i="74" s="1"/>
  <c r="BK139" i="74"/>
  <c r="BI139" i="74"/>
  <c r="BH139" i="74"/>
  <c r="BG139" i="74"/>
  <c r="BE139" i="74"/>
  <c r="T139" i="74"/>
  <c r="R139" i="74"/>
  <c r="P139" i="74"/>
  <c r="J139" i="74"/>
  <c r="BF139" i="74" s="1"/>
  <c r="BK138" i="74"/>
  <c r="BI138" i="74"/>
  <c r="BH138" i="74"/>
  <c r="BG138" i="74"/>
  <c r="BE138" i="74"/>
  <c r="T138" i="74"/>
  <c r="R138" i="74"/>
  <c r="R137" i="74" s="1"/>
  <c r="P138" i="74"/>
  <c r="J138" i="74"/>
  <c r="BF138" i="74" s="1"/>
  <c r="BI136" i="74"/>
  <c r="BH136" i="74"/>
  <c r="BG136" i="74"/>
  <c r="BE136" i="74"/>
  <c r="BK135" i="74"/>
  <c r="BI135" i="74"/>
  <c r="BH135" i="74"/>
  <c r="BG135" i="74"/>
  <c r="BE135" i="74"/>
  <c r="T135" i="74"/>
  <c r="R135" i="74"/>
  <c r="P135" i="74"/>
  <c r="J135" i="74"/>
  <c r="BF135" i="74" s="1"/>
  <c r="BK134" i="74"/>
  <c r="BI134" i="74"/>
  <c r="BH134" i="74"/>
  <c r="BG134" i="74"/>
  <c r="BF134" i="74"/>
  <c r="BE134" i="74"/>
  <c r="T134" i="74"/>
  <c r="R134" i="74"/>
  <c r="P134" i="74"/>
  <c r="J134" i="74"/>
  <c r="BK133" i="74"/>
  <c r="BI133" i="74"/>
  <c r="BH133" i="74"/>
  <c r="BG133" i="74"/>
  <c r="BE133" i="74"/>
  <c r="T133" i="74"/>
  <c r="R133" i="74"/>
  <c r="P133" i="74"/>
  <c r="J133" i="74"/>
  <c r="BF133" i="74" s="1"/>
  <c r="F124" i="74"/>
  <c r="E122" i="74"/>
  <c r="BI109" i="74"/>
  <c r="BH109" i="74"/>
  <c r="BG109" i="74"/>
  <c r="BE109" i="74"/>
  <c r="F89" i="74"/>
  <c r="E87" i="74"/>
  <c r="E85" i="74"/>
  <c r="J39" i="74"/>
  <c r="J38" i="74"/>
  <c r="J37" i="74"/>
  <c r="J24" i="74"/>
  <c r="E24" i="74"/>
  <c r="J92" i="74" s="1"/>
  <c r="J23" i="74"/>
  <c r="J21" i="74"/>
  <c r="E21" i="74"/>
  <c r="J126" i="74" s="1"/>
  <c r="J20" i="74"/>
  <c r="J18" i="74"/>
  <c r="E18" i="74"/>
  <c r="F92" i="74" s="1"/>
  <c r="J17" i="74"/>
  <c r="J15" i="74"/>
  <c r="E15" i="74"/>
  <c r="F126" i="74" s="1"/>
  <c r="J14" i="74"/>
  <c r="J12" i="74"/>
  <c r="J124" i="74" s="1"/>
  <c r="E7" i="74"/>
  <c r="E120" i="74" s="1"/>
  <c r="BK164" i="73"/>
  <c r="BK163" i="73" s="1"/>
  <c r="J163" i="73" s="1"/>
  <c r="J104" i="73" s="1"/>
  <c r="BI164" i="73"/>
  <c r="BH164" i="73"/>
  <c r="BG164" i="73"/>
  <c r="BF164" i="73"/>
  <c r="BE164" i="73"/>
  <c r="T164" i="73"/>
  <c r="R164" i="73"/>
  <c r="P164" i="73"/>
  <c r="J164" i="73"/>
  <c r="T163" i="73"/>
  <c r="R163" i="73"/>
  <c r="P163" i="73"/>
  <c r="BK162" i="73"/>
  <c r="BI162" i="73"/>
  <c r="BH162" i="73"/>
  <c r="BG162" i="73"/>
  <c r="BE162" i="73"/>
  <c r="T162" i="73"/>
  <c r="R162" i="73"/>
  <c r="P162" i="73"/>
  <c r="J162" i="73"/>
  <c r="BF162" i="73" s="1"/>
  <c r="BK161" i="73"/>
  <c r="BI161" i="73"/>
  <c r="BH161" i="73"/>
  <c r="BG161" i="73"/>
  <c r="BE161" i="73"/>
  <c r="T161" i="73"/>
  <c r="R161" i="73"/>
  <c r="P161" i="73"/>
  <c r="J161" i="73"/>
  <c r="BF161" i="73" s="1"/>
  <c r="BK160" i="73"/>
  <c r="BI160" i="73"/>
  <c r="BH160" i="73"/>
  <c r="BG160" i="73"/>
  <c r="BE160" i="73"/>
  <c r="T160" i="73"/>
  <c r="T159" i="73" s="1"/>
  <c r="R160" i="73"/>
  <c r="R159" i="73" s="1"/>
  <c r="P160" i="73"/>
  <c r="J160" i="73"/>
  <c r="BF160" i="73" s="1"/>
  <c r="BK158" i="73"/>
  <c r="BI158" i="73"/>
  <c r="BH158" i="73"/>
  <c r="BG158" i="73"/>
  <c r="BE158" i="73"/>
  <c r="T158" i="73"/>
  <c r="R158" i="73"/>
  <c r="P158" i="73"/>
  <c r="J158" i="73"/>
  <c r="BF158" i="73" s="1"/>
  <c r="BK157" i="73"/>
  <c r="BI157" i="73"/>
  <c r="BH157" i="73"/>
  <c r="BG157" i="73"/>
  <c r="BE157" i="73"/>
  <c r="T157" i="73"/>
  <c r="R157" i="73"/>
  <c r="P157" i="73"/>
  <c r="J157" i="73"/>
  <c r="BF157" i="73" s="1"/>
  <c r="BI156" i="73"/>
  <c r="BH156" i="73"/>
  <c r="BG156" i="73"/>
  <c r="BE156" i="73"/>
  <c r="BK155" i="73"/>
  <c r="BI155" i="73"/>
  <c r="BH155" i="73"/>
  <c r="BG155" i="73"/>
  <c r="BE155" i="73"/>
  <c r="T155" i="73"/>
  <c r="R155" i="73"/>
  <c r="P155" i="73"/>
  <c r="J155" i="73"/>
  <c r="BF155" i="73" s="1"/>
  <c r="BK153" i="73"/>
  <c r="BK152" i="73" s="1"/>
  <c r="J152" i="73" s="1"/>
  <c r="J101" i="73" s="1"/>
  <c r="BI153" i="73"/>
  <c r="BH153" i="73"/>
  <c r="BG153" i="73"/>
  <c r="BE153" i="73"/>
  <c r="T153" i="73"/>
  <c r="R153" i="73"/>
  <c r="P153" i="73"/>
  <c r="P152" i="73" s="1"/>
  <c r="J153" i="73"/>
  <c r="BF153" i="73" s="1"/>
  <c r="T152" i="73"/>
  <c r="R152" i="73"/>
  <c r="BK151" i="73"/>
  <c r="BI151" i="73"/>
  <c r="BH151" i="73"/>
  <c r="BG151" i="73"/>
  <c r="BE151" i="73"/>
  <c r="T151" i="73"/>
  <c r="R151" i="73"/>
  <c r="P151" i="73"/>
  <c r="J151" i="73"/>
  <c r="BF151" i="73" s="1"/>
  <c r="BK150" i="73"/>
  <c r="BI150" i="73"/>
  <c r="BH150" i="73"/>
  <c r="BG150" i="73"/>
  <c r="BE150" i="73"/>
  <c r="T150" i="73"/>
  <c r="R150" i="73"/>
  <c r="P150" i="73"/>
  <c r="J150" i="73"/>
  <c r="BF150" i="73" s="1"/>
  <c r="BK149" i="73"/>
  <c r="BI149" i="73"/>
  <c r="BH149" i="73"/>
  <c r="BG149" i="73"/>
  <c r="BE149" i="73"/>
  <c r="T149" i="73"/>
  <c r="R149" i="73"/>
  <c r="P149" i="73"/>
  <c r="J149" i="73"/>
  <c r="BF149" i="73" s="1"/>
  <c r="BK148" i="73"/>
  <c r="BK147" i="73" s="1"/>
  <c r="J147" i="73" s="1"/>
  <c r="J100" i="73" s="1"/>
  <c r="BI148" i="73"/>
  <c r="BH148" i="73"/>
  <c r="BG148" i="73"/>
  <c r="BE148" i="73"/>
  <c r="T148" i="73"/>
  <c r="R148" i="73"/>
  <c r="R147" i="73" s="1"/>
  <c r="P148" i="73"/>
  <c r="P147" i="73" s="1"/>
  <c r="J148" i="73"/>
  <c r="BF148" i="73" s="1"/>
  <c r="T147" i="73"/>
  <c r="BK146" i="73"/>
  <c r="BI146" i="73"/>
  <c r="BH146" i="73"/>
  <c r="BG146" i="73"/>
  <c r="BF146" i="73"/>
  <c r="BE146" i="73"/>
  <c r="T146" i="73"/>
  <c r="R146" i="73"/>
  <c r="P146" i="73"/>
  <c r="J146" i="73"/>
  <c r="BK145" i="73"/>
  <c r="BI145" i="73"/>
  <c r="BH145" i="73"/>
  <c r="BG145" i="73"/>
  <c r="BF145" i="73"/>
  <c r="BE145" i="73"/>
  <c r="T145" i="73"/>
  <c r="R145" i="73"/>
  <c r="P145" i="73"/>
  <c r="J145" i="73"/>
  <c r="BK144" i="73"/>
  <c r="BI144" i="73"/>
  <c r="BH144" i="73"/>
  <c r="BG144" i="73"/>
  <c r="BE144" i="73"/>
  <c r="T144" i="73"/>
  <c r="R144" i="73"/>
  <c r="P144" i="73"/>
  <c r="J144" i="73"/>
  <c r="BF144" i="73" s="1"/>
  <c r="BK143" i="73"/>
  <c r="BI143" i="73"/>
  <c r="BH143" i="73"/>
  <c r="BG143" i="73"/>
  <c r="BE143" i="73"/>
  <c r="T143" i="73"/>
  <c r="T141" i="73" s="1"/>
  <c r="R143" i="73"/>
  <c r="P143" i="73"/>
  <c r="J143" i="73"/>
  <c r="BF143" i="73" s="1"/>
  <c r="BK142" i="73"/>
  <c r="BI142" i="73"/>
  <c r="BH142" i="73"/>
  <c r="BG142" i="73"/>
  <c r="BF142" i="73"/>
  <c r="BE142" i="73"/>
  <c r="T142" i="73"/>
  <c r="R142" i="73"/>
  <c r="P142" i="73"/>
  <c r="P141" i="73" s="1"/>
  <c r="J142" i="73"/>
  <c r="R141" i="73"/>
  <c r="BK140" i="73"/>
  <c r="BI140" i="73"/>
  <c r="BH140" i="73"/>
  <c r="BG140" i="73"/>
  <c r="BE140" i="73"/>
  <c r="T140" i="73"/>
  <c r="R140" i="73"/>
  <c r="P140" i="73"/>
  <c r="J140" i="73"/>
  <c r="BF140" i="73" s="1"/>
  <c r="BK139" i="73"/>
  <c r="BI139" i="73"/>
  <c r="BH139" i="73"/>
  <c r="BG139" i="73"/>
  <c r="BE139" i="73"/>
  <c r="T139" i="73"/>
  <c r="R139" i="73"/>
  <c r="P139" i="73"/>
  <c r="J139" i="73"/>
  <c r="BF139" i="73" s="1"/>
  <c r="BK138" i="73"/>
  <c r="BI138" i="73"/>
  <c r="BH138" i="73"/>
  <c r="BG138" i="73"/>
  <c r="BE138" i="73"/>
  <c r="T138" i="73"/>
  <c r="R138" i="73"/>
  <c r="P138" i="73"/>
  <c r="J138" i="73"/>
  <c r="BF138" i="73" s="1"/>
  <c r="BI137" i="73"/>
  <c r="BH137" i="73"/>
  <c r="BG137" i="73"/>
  <c r="BE137" i="73"/>
  <c r="BK136" i="73"/>
  <c r="BI136" i="73"/>
  <c r="BH136" i="73"/>
  <c r="BG136" i="73"/>
  <c r="BE136" i="73"/>
  <c r="T136" i="73"/>
  <c r="R136" i="73"/>
  <c r="P136" i="73"/>
  <c r="J136" i="73"/>
  <c r="BF136" i="73" s="1"/>
  <c r="BK135" i="73"/>
  <c r="BI135" i="73"/>
  <c r="BH135" i="73"/>
  <c r="BG135" i="73"/>
  <c r="BE135" i="73"/>
  <c r="T135" i="73"/>
  <c r="R135" i="73"/>
  <c r="P135" i="73"/>
  <c r="J135" i="73"/>
  <c r="BF135" i="73" s="1"/>
  <c r="BK134" i="73"/>
  <c r="BI134" i="73"/>
  <c r="BH134" i="73"/>
  <c r="BG134" i="73"/>
  <c r="BE134" i="73"/>
  <c r="T134" i="73"/>
  <c r="R134" i="73"/>
  <c r="P134" i="73"/>
  <c r="J134" i="73"/>
  <c r="BF134" i="73" s="1"/>
  <c r="BK133" i="73"/>
  <c r="BI133" i="73"/>
  <c r="BH133" i="73"/>
  <c r="BG133" i="73"/>
  <c r="BE133" i="73"/>
  <c r="T133" i="73"/>
  <c r="R133" i="73"/>
  <c r="P133" i="73"/>
  <c r="J133" i="73"/>
  <c r="BF133" i="73" s="1"/>
  <c r="BK132" i="73"/>
  <c r="BI132" i="73"/>
  <c r="BH132" i="73"/>
  <c r="BG132" i="73"/>
  <c r="BE132" i="73"/>
  <c r="T132" i="73"/>
  <c r="R132" i="73"/>
  <c r="P132" i="73"/>
  <c r="J132" i="73"/>
  <c r="BF132" i="73" s="1"/>
  <c r="BK131" i="73"/>
  <c r="BI131" i="73"/>
  <c r="BH131" i="73"/>
  <c r="BG131" i="73"/>
  <c r="BE131" i="73"/>
  <c r="T131" i="73"/>
  <c r="R131" i="73"/>
  <c r="P131" i="73"/>
  <c r="J131" i="73"/>
  <c r="BF131" i="73" s="1"/>
  <c r="J124" i="73"/>
  <c r="F122" i="73"/>
  <c r="E120" i="73"/>
  <c r="E118" i="73"/>
  <c r="F89" i="73"/>
  <c r="E87" i="73"/>
  <c r="J39" i="73"/>
  <c r="J38" i="73"/>
  <c r="J37" i="73"/>
  <c r="J31" i="73"/>
  <c r="J24" i="73"/>
  <c r="E24" i="73"/>
  <c r="J125" i="73" s="1"/>
  <c r="J23" i="73"/>
  <c r="J21" i="73"/>
  <c r="E21" i="73"/>
  <c r="J91" i="73" s="1"/>
  <c r="J20" i="73"/>
  <c r="J18" i="73"/>
  <c r="E18" i="73"/>
  <c r="F125" i="73" s="1"/>
  <c r="J17" i="73"/>
  <c r="J15" i="73"/>
  <c r="E15" i="73"/>
  <c r="F124" i="73" s="1"/>
  <c r="J14" i="73"/>
  <c r="J12" i="73"/>
  <c r="J122" i="73" s="1"/>
  <c r="E7" i="73"/>
  <c r="E85" i="73" s="1"/>
  <c r="BK165" i="72"/>
  <c r="BK164" i="72" s="1"/>
  <c r="J164" i="72" s="1"/>
  <c r="J104" i="72" s="1"/>
  <c r="BI165" i="72"/>
  <c r="BH165" i="72"/>
  <c r="BG165" i="72"/>
  <c r="BE165" i="72"/>
  <c r="T165" i="72"/>
  <c r="R165" i="72"/>
  <c r="P165" i="72"/>
  <c r="P164" i="72" s="1"/>
  <c r="J165" i="72"/>
  <c r="BF165" i="72" s="1"/>
  <c r="T164" i="72"/>
  <c r="R164" i="72"/>
  <c r="BI163" i="72"/>
  <c r="BH163" i="72"/>
  <c r="BG163" i="72"/>
  <c r="BE163" i="72"/>
  <c r="BI162" i="72"/>
  <c r="BH162" i="72"/>
  <c r="BG162" i="72"/>
  <c r="BE162" i="72"/>
  <c r="BI161" i="72"/>
  <c r="BH161" i="72"/>
  <c r="BG161" i="72"/>
  <c r="BE161" i="72"/>
  <c r="BK159" i="72"/>
  <c r="BI159" i="72"/>
  <c r="BH159" i="72"/>
  <c r="BG159" i="72"/>
  <c r="BE159" i="72"/>
  <c r="T159" i="72"/>
  <c r="R159" i="72"/>
  <c r="P159" i="72"/>
  <c r="J159" i="72"/>
  <c r="BF159" i="72" s="1"/>
  <c r="BI158" i="72"/>
  <c r="BH158" i="72"/>
  <c r="BG158" i="72"/>
  <c r="BE158" i="72"/>
  <c r="BI157" i="72"/>
  <c r="BH157" i="72"/>
  <c r="BG157" i="72"/>
  <c r="BE157" i="72"/>
  <c r="BI156" i="72"/>
  <c r="BH156" i="72"/>
  <c r="BG156" i="72"/>
  <c r="BE156" i="72"/>
  <c r="BK154" i="72"/>
  <c r="BK153" i="72" s="1"/>
  <c r="J153" i="72" s="1"/>
  <c r="J101" i="72" s="1"/>
  <c r="BI154" i="72"/>
  <c r="BH154" i="72"/>
  <c r="BG154" i="72"/>
  <c r="BE154" i="72"/>
  <c r="T154" i="72"/>
  <c r="R154" i="72"/>
  <c r="P154" i="72"/>
  <c r="J154" i="72"/>
  <c r="BF154" i="72" s="1"/>
  <c r="T153" i="72"/>
  <c r="R153" i="72"/>
  <c r="P153" i="72"/>
  <c r="BK152" i="72"/>
  <c r="BI152" i="72"/>
  <c r="BH152" i="72"/>
  <c r="BG152" i="72"/>
  <c r="BE152" i="72"/>
  <c r="T152" i="72"/>
  <c r="R152" i="72"/>
  <c r="P152" i="72"/>
  <c r="J152" i="72"/>
  <c r="BF152" i="72" s="1"/>
  <c r="BK151" i="72"/>
  <c r="BI151" i="72"/>
  <c r="BH151" i="72"/>
  <c r="BG151" i="72"/>
  <c r="BF151" i="72"/>
  <c r="BE151" i="72"/>
  <c r="T151" i="72"/>
  <c r="R151" i="72"/>
  <c r="P151" i="72"/>
  <c r="J151" i="72"/>
  <c r="BK150" i="72"/>
  <c r="BI150" i="72"/>
  <c r="BH150" i="72"/>
  <c r="BG150" i="72"/>
  <c r="BE150" i="72"/>
  <c r="T150" i="72"/>
  <c r="R150" i="72"/>
  <c r="R147" i="72" s="1"/>
  <c r="P150" i="72"/>
  <c r="J150" i="72"/>
  <c r="BF150" i="72" s="1"/>
  <c r="BK149" i="72"/>
  <c r="BI149" i="72"/>
  <c r="BH149" i="72"/>
  <c r="BG149" i="72"/>
  <c r="BF149" i="72"/>
  <c r="BE149" i="72"/>
  <c r="T149" i="72"/>
  <c r="R149" i="72"/>
  <c r="P149" i="72"/>
  <c r="J149" i="72"/>
  <c r="BK148" i="72"/>
  <c r="BI148" i="72"/>
  <c r="BH148" i="72"/>
  <c r="BG148" i="72"/>
  <c r="BE148" i="72"/>
  <c r="T148" i="72"/>
  <c r="R148" i="72"/>
  <c r="P148" i="72"/>
  <c r="P147" i="72" s="1"/>
  <c r="J148" i="72"/>
  <c r="BF148" i="72" s="1"/>
  <c r="BK147" i="72"/>
  <c r="J147" i="72" s="1"/>
  <c r="J100" i="72" s="1"/>
  <c r="BK146" i="72"/>
  <c r="BI146" i="72"/>
  <c r="BH146" i="72"/>
  <c r="BG146" i="72"/>
  <c r="BF146" i="72"/>
  <c r="BE146" i="72"/>
  <c r="T146" i="72"/>
  <c r="R146" i="72"/>
  <c r="P146" i="72"/>
  <c r="J146" i="72"/>
  <c r="BK145" i="72"/>
  <c r="BI145" i="72"/>
  <c r="BH145" i="72"/>
  <c r="BG145" i="72"/>
  <c r="BE145" i="72"/>
  <c r="T145" i="72"/>
  <c r="R145" i="72"/>
  <c r="P145" i="72"/>
  <c r="J145" i="72"/>
  <c r="BF145" i="72" s="1"/>
  <c r="BK144" i="72"/>
  <c r="BI144" i="72"/>
  <c r="BH144" i="72"/>
  <c r="BG144" i="72"/>
  <c r="BE144" i="72"/>
  <c r="T144" i="72"/>
  <c r="R144" i="72"/>
  <c r="P144" i="72"/>
  <c r="J144" i="72"/>
  <c r="BF144" i="72" s="1"/>
  <c r="BK143" i="72"/>
  <c r="BI143" i="72"/>
  <c r="BH143" i="72"/>
  <c r="BG143" i="72"/>
  <c r="BE143" i="72"/>
  <c r="T143" i="72"/>
  <c r="R143" i="72"/>
  <c r="P143" i="72"/>
  <c r="J143" i="72"/>
  <c r="BF143" i="72" s="1"/>
  <c r="BK142" i="72"/>
  <c r="BI142" i="72"/>
  <c r="BH142" i="72"/>
  <c r="BG142" i="72"/>
  <c r="BE142" i="72"/>
  <c r="T142" i="72"/>
  <c r="R142" i="72"/>
  <c r="R141" i="72" s="1"/>
  <c r="P142" i="72"/>
  <c r="P141" i="72" s="1"/>
  <c r="J142" i="72"/>
  <c r="BF142" i="72" s="1"/>
  <c r="T141" i="72"/>
  <c r="BK140" i="72"/>
  <c r="BI140" i="72"/>
  <c r="BH140" i="72"/>
  <c r="BG140" i="72"/>
  <c r="BF140" i="72"/>
  <c r="BE140" i="72"/>
  <c r="T140" i="72"/>
  <c r="R140" i="72"/>
  <c r="P140" i="72"/>
  <c r="J140" i="72"/>
  <c r="BK139" i="72"/>
  <c r="BI139" i="72"/>
  <c r="BH139" i="72"/>
  <c r="BG139" i="72"/>
  <c r="BE139" i="72"/>
  <c r="T139" i="72"/>
  <c r="R139" i="72"/>
  <c r="P139" i="72"/>
  <c r="J139" i="72"/>
  <c r="BF139" i="72" s="1"/>
  <c r="BK138" i="72"/>
  <c r="BI138" i="72"/>
  <c r="BH138" i="72"/>
  <c r="BG138" i="72"/>
  <c r="BF138" i="72"/>
  <c r="BE138" i="72"/>
  <c r="T138" i="72"/>
  <c r="R138" i="72"/>
  <c r="P138" i="72"/>
  <c r="J138" i="72"/>
  <c r="BI137" i="72"/>
  <c r="BH137" i="72"/>
  <c r="BG137" i="72"/>
  <c r="BE137" i="72"/>
  <c r="BK136" i="72"/>
  <c r="BI136" i="72"/>
  <c r="BH136" i="72"/>
  <c r="BG136" i="72"/>
  <c r="BF136" i="72"/>
  <c r="BE136" i="72"/>
  <c r="T136" i="72"/>
  <c r="R136" i="72"/>
  <c r="P136" i="72"/>
  <c r="J136" i="72"/>
  <c r="BK135" i="72"/>
  <c r="BI135" i="72"/>
  <c r="BH135" i="72"/>
  <c r="BG135" i="72"/>
  <c r="BE135" i="72"/>
  <c r="T135" i="72"/>
  <c r="R135" i="72"/>
  <c r="P135" i="72"/>
  <c r="J135" i="72"/>
  <c r="BF135" i="72" s="1"/>
  <c r="BK134" i="72"/>
  <c r="BI134" i="72"/>
  <c r="BH134" i="72"/>
  <c r="BG134" i="72"/>
  <c r="BF134" i="72"/>
  <c r="BE134" i="72"/>
  <c r="T134" i="72"/>
  <c r="R134" i="72"/>
  <c r="P134" i="72"/>
  <c r="J134" i="72"/>
  <c r="BK133" i="72"/>
  <c r="BI133" i="72"/>
  <c r="BH133" i="72"/>
  <c r="BG133" i="72"/>
  <c r="BE133" i="72"/>
  <c r="T133" i="72"/>
  <c r="R133" i="72"/>
  <c r="P133" i="72"/>
  <c r="J133" i="72"/>
  <c r="BF133" i="72" s="1"/>
  <c r="BK132" i="72"/>
  <c r="BI132" i="72"/>
  <c r="BH132" i="72"/>
  <c r="BG132" i="72"/>
  <c r="BE132" i="72"/>
  <c r="T132" i="72"/>
  <c r="R132" i="72"/>
  <c r="P132" i="72"/>
  <c r="J132" i="72"/>
  <c r="BF132" i="72" s="1"/>
  <c r="BK131" i="72"/>
  <c r="BI131" i="72"/>
  <c r="BH131" i="72"/>
  <c r="BG131" i="72"/>
  <c r="BE131" i="72"/>
  <c r="T131" i="72"/>
  <c r="R131" i="72"/>
  <c r="P131" i="72"/>
  <c r="J131" i="72"/>
  <c r="BF131" i="72" s="1"/>
  <c r="F122" i="72"/>
  <c r="E120" i="72"/>
  <c r="F89" i="72"/>
  <c r="E87" i="72"/>
  <c r="E85" i="72"/>
  <c r="J39" i="72"/>
  <c r="J38" i="72"/>
  <c r="J37" i="72"/>
  <c r="J31" i="72"/>
  <c r="J24" i="72"/>
  <c r="E24" i="72"/>
  <c r="J23" i="72"/>
  <c r="J21" i="72"/>
  <c r="E21" i="72"/>
  <c r="J91" i="72" s="1"/>
  <c r="J20" i="72"/>
  <c r="J18" i="72"/>
  <c r="E18" i="72"/>
  <c r="F92" i="72" s="1"/>
  <c r="J17" i="72"/>
  <c r="J15" i="72"/>
  <c r="E15" i="72"/>
  <c r="F124" i="72" s="1"/>
  <c r="J14" i="72"/>
  <c r="J12" i="72"/>
  <c r="J122" i="72" s="1"/>
  <c r="E7" i="72"/>
  <c r="E118" i="72" s="1"/>
  <c r="BK165" i="71"/>
  <c r="BK164" i="71" s="1"/>
  <c r="J164" i="71" s="1"/>
  <c r="J104" i="71" s="1"/>
  <c r="BI165" i="71"/>
  <c r="BH165" i="71"/>
  <c r="BG165" i="71"/>
  <c r="BF165" i="71"/>
  <c r="BE165" i="71"/>
  <c r="T165" i="71"/>
  <c r="R165" i="71"/>
  <c r="R164" i="71" s="1"/>
  <c r="P165" i="71"/>
  <c r="P164" i="71" s="1"/>
  <c r="J165" i="71"/>
  <c r="T164" i="71"/>
  <c r="BI163" i="71"/>
  <c r="BH163" i="71"/>
  <c r="BG163" i="71"/>
  <c r="BE163" i="71"/>
  <c r="BI162" i="71"/>
  <c r="BH162" i="71"/>
  <c r="BG162" i="71"/>
  <c r="BE162" i="71"/>
  <c r="BI161" i="71"/>
  <c r="BH161" i="71"/>
  <c r="BG161" i="71"/>
  <c r="BE161" i="71"/>
  <c r="BK159" i="71"/>
  <c r="BI159" i="71"/>
  <c r="BH159" i="71"/>
  <c r="BG159" i="71"/>
  <c r="BE159" i="71"/>
  <c r="T159" i="71"/>
  <c r="R159" i="71"/>
  <c r="P159" i="71"/>
  <c r="J159" i="71"/>
  <c r="BF159" i="71" s="1"/>
  <c r="BI158" i="71"/>
  <c r="BH158" i="71"/>
  <c r="BG158" i="71"/>
  <c r="BE158" i="71"/>
  <c r="BI157" i="71"/>
  <c r="BH157" i="71"/>
  <c r="BG157" i="71"/>
  <c r="BE157" i="71"/>
  <c r="BI156" i="71"/>
  <c r="BH156" i="71"/>
  <c r="BG156" i="71"/>
  <c r="BE156" i="71"/>
  <c r="BK154" i="71"/>
  <c r="BK153" i="71" s="1"/>
  <c r="J153" i="71" s="1"/>
  <c r="BI154" i="71"/>
  <c r="BH154" i="71"/>
  <c r="BG154" i="71"/>
  <c r="BF154" i="71"/>
  <c r="BE154" i="71"/>
  <c r="T154" i="71"/>
  <c r="R154" i="71"/>
  <c r="P154" i="71"/>
  <c r="P153" i="71" s="1"/>
  <c r="J154" i="71"/>
  <c r="T153" i="71"/>
  <c r="R153" i="71"/>
  <c r="BK152" i="71"/>
  <c r="BI152" i="71"/>
  <c r="BH152" i="71"/>
  <c r="BG152" i="71"/>
  <c r="BE152" i="71"/>
  <c r="T152" i="71"/>
  <c r="R152" i="71"/>
  <c r="P152" i="71"/>
  <c r="J152" i="71"/>
  <c r="BF152" i="71" s="1"/>
  <c r="BK151" i="71"/>
  <c r="BI151" i="71"/>
  <c r="BH151" i="71"/>
  <c r="BG151" i="71"/>
  <c r="BE151" i="71"/>
  <c r="T151" i="71"/>
  <c r="R151" i="71"/>
  <c r="P151" i="71"/>
  <c r="J151" i="71"/>
  <c r="BF151" i="71" s="1"/>
  <c r="BK150" i="71"/>
  <c r="BI150" i="71"/>
  <c r="BH150" i="71"/>
  <c r="BG150" i="71"/>
  <c r="BE150" i="71"/>
  <c r="T150" i="71"/>
  <c r="R150" i="71"/>
  <c r="P150" i="71"/>
  <c r="J150" i="71"/>
  <c r="BF150" i="71" s="1"/>
  <c r="BK149" i="71"/>
  <c r="BK147" i="71" s="1"/>
  <c r="J147" i="71" s="1"/>
  <c r="J100" i="71" s="1"/>
  <c r="BI149" i="71"/>
  <c r="BH149" i="71"/>
  <c r="BG149" i="71"/>
  <c r="BE149" i="71"/>
  <c r="T149" i="71"/>
  <c r="R149" i="71"/>
  <c r="R147" i="71" s="1"/>
  <c r="P149" i="71"/>
  <c r="J149" i="71"/>
  <c r="BF149" i="71" s="1"/>
  <c r="BK148" i="71"/>
  <c r="BI148" i="71"/>
  <c r="BH148" i="71"/>
  <c r="BG148" i="71"/>
  <c r="BE148" i="71"/>
  <c r="T148" i="71"/>
  <c r="T147" i="71" s="1"/>
  <c r="R148" i="71"/>
  <c r="P148" i="71"/>
  <c r="J148" i="71"/>
  <c r="BF148" i="71" s="1"/>
  <c r="P147" i="71"/>
  <c r="BK146" i="71"/>
  <c r="BI146" i="71"/>
  <c r="BH146" i="71"/>
  <c r="BG146" i="71"/>
  <c r="BE146" i="71"/>
  <c r="T146" i="71"/>
  <c r="R146" i="71"/>
  <c r="P146" i="71"/>
  <c r="J146" i="71"/>
  <c r="BF146" i="71" s="1"/>
  <c r="BK145" i="71"/>
  <c r="BI145" i="71"/>
  <c r="BH145" i="71"/>
  <c r="BG145" i="71"/>
  <c r="BE145" i="71"/>
  <c r="T145" i="71"/>
  <c r="R145" i="71"/>
  <c r="P145" i="71"/>
  <c r="J145" i="71"/>
  <c r="BF145" i="71" s="1"/>
  <c r="BK144" i="71"/>
  <c r="BI144" i="71"/>
  <c r="BH144" i="71"/>
  <c r="BG144" i="71"/>
  <c r="BE144" i="71"/>
  <c r="T144" i="71"/>
  <c r="R144" i="71"/>
  <c r="P144" i="71"/>
  <c r="J144" i="71"/>
  <c r="BF144" i="71" s="1"/>
  <c r="BK143" i="71"/>
  <c r="BI143" i="71"/>
  <c r="BH143" i="71"/>
  <c r="BG143" i="71"/>
  <c r="BF143" i="71"/>
  <c r="BE143" i="71"/>
  <c r="T143" i="71"/>
  <c r="R143" i="71"/>
  <c r="P143" i="71"/>
  <c r="P141" i="71" s="1"/>
  <c r="J143" i="71"/>
  <c r="BK142" i="71"/>
  <c r="BK141" i="71" s="1"/>
  <c r="J141" i="71" s="1"/>
  <c r="J99" i="71" s="1"/>
  <c r="BI142" i="71"/>
  <c r="BH142" i="71"/>
  <c r="BG142" i="71"/>
  <c r="BE142" i="71"/>
  <c r="T142" i="71"/>
  <c r="T141" i="71" s="1"/>
  <c r="R142" i="71"/>
  <c r="R141" i="71" s="1"/>
  <c r="P142" i="71"/>
  <c r="J142" i="71"/>
  <c r="BF142" i="71" s="1"/>
  <c r="BK140" i="71"/>
  <c r="BI140" i="71"/>
  <c r="BH140" i="71"/>
  <c r="BG140" i="71"/>
  <c r="BF140" i="71"/>
  <c r="BE140" i="71"/>
  <c r="T140" i="71"/>
  <c r="R140" i="71"/>
  <c r="P140" i="71"/>
  <c r="J140" i="71"/>
  <c r="BK139" i="71"/>
  <c r="BI139" i="71"/>
  <c r="BH139" i="71"/>
  <c r="BG139" i="71"/>
  <c r="BE139" i="71"/>
  <c r="T139" i="71"/>
  <c r="R139" i="71"/>
  <c r="P139" i="71"/>
  <c r="J139" i="71"/>
  <c r="BF139" i="71" s="1"/>
  <c r="BK138" i="71"/>
  <c r="BI138" i="71"/>
  <c r="BH138" i="71"/>
  <c r="BG138" i="71"/>
  <c r="BE138" i="71"/>
  <c r="T138" i="71"/>
  <c r="R138" i="71"/>
  <c r="P138" i="71"/>
  <c r="J138" i="71"/>
  <c r="BF138" i="71" s="1"/>
  <c r="BI137" i="71"/>
  <c r="BH137" i="71"/>
  <c r="BG137" i="71"/>
  <c r="BE137" i="71"/>
  <c r="BK136" i="71"/>
  <c r="BI136" i="71"/>
  <c r="BH136" i="71"/>
  <c r="BG136" i="71"/>
  <c r="BE136" i="71"/>
  <c r="T136" i="71"/>
  <c r="R136" i="71"/>
  <c r="P136" i="71"/>
  <c r="J136" i="71"/>
  <c r="BF136" i="71" s="1"/>
  <c r="BK135" i="71"/>
  <c r="BI135" i="71"/>
  <c r="BH135" i="71"/>
  <c r="BG135" i="71"/>
  <c r="BE135" i="71"/>
  <c r="T135" i="71"/>
  <c r="R135" i="71"/>
  <c r="P135" i="71"/>
  <c r="J135" i="71"/>
  <c r="BF135" i="71" s="1"/>
  <c r="BK134" i="71"/>
  <c r="BI134" i="71"/>
  <c r="BH134" i="71"/>
  <c r="BG134" i="71"/>
  <c r="BE134" i="71"/>
  <c r="T134" i="71"/>
  <c r="R134" i="71"/>
  <c r="P134" i="71"/>
  <c r="J134" i="71"/>
  <c r="BF134" i="71" s="1"/>
  <c r="BK133" i="71"/>
  <c r="BI133" i="71"/>
  <c r="BH133" i="71"/>
  <c r="BG133" i="71"/>
  <c r="BE133" i="71"/>
  <c r="T133" i="71"/>
  <c r="R133" i="71"/>
  <c r="P133" i="71"/>
  <c r="J133" i="71"/>
  <c r="BF133" i="71" s="1"/>
  <c r="BK132" i="71"/>
  <c r="BI132" i="71"/>
  <c r="BH132" i="71"/>
  <c r="BG132" i="71"/>
  <c r="BF132" i="71"/>
  <c r="BE132" i="71"/>
  <c r="T132" i="71"/>
  <c r="R132" i="71"/>
  <c r="P132" i="71"/>
  <c r="J132" i="71"/>
  <c r="BK131" i="71"/>
  <c r="BI131" i="71"/>
  <c r="BH131" i="71"/>
  <c r="BG131" i="71"/>
  <c r="BE131" i="71"/>
  <c r="T131" i="71"/>
  <c r="R131" i="71"/>
  <c r="P131" i="71"/>
  <c r="J131" i="71"/>
  <c r="BF131" i="71" s="1"/>
  <c r="F122" i="71"/>
  <c r="E120" i="71"/>
  <c r="J101" i="71"/>
  <c r="F89" i="71"/>
  <c r="E87" i="71"/>
  <c r="J39" i="71"/>
  <c r="J38" i="71"/>
  <c r="J37" i="71"/>
  <c r="J31" i="71"/>
  <c r="J24" i="71"/>
  <c r="E24" i="71"/>
  <c r="J92" i="71" s="1"/>
  <c r="J23" i="71"/>
  <c r="J21" i="71"/>
  <c r="E21" i="71"/>
  <c r="J124" i="71" s="1"/>
  <c r="J20" i="71"/>
  <c r="J18" i="71"/>
  <c r="E18" i="71"/>
  <c r="J17" i="71"/>
  <c r="J15" i="71"/>
  <c r="E15" i="71"/>
  <c r="F124" i="71" s="1"/>
  <c r="J14" i="71"/>
  <c r="J12" i="71"/>
  <c r="J89" i="71" s="1"/>
  <c r="E7" i="71"/>
  <c r="BK178" i="70"/>
  <c r="BI178" i="70"/>
  <c r="BH178" i="70"/>
  <c r="BG178" i="70"/>
  <c r="BE178" i="70"/>
  <c r="T178" i="70"/>
  <c r="T177" i="70" s="1"/>
  <c r="R178" i="70"/>
  <c r="R177" i="70" s="1"/>
  <c r="P178" i="70"/>
  <c r="J178" i="70"/>
  <c r="BF178" i="70" s="1"/>
  <c r="BK177" i="70"/>
  <c r="J177" i="70" s="1"/>
  <c r="J104" i="70" s="1"/>
  <c r="P177" i="70"/>
  <c r="BK176" i="70"/>
  <c r="BI176" i="70"/>
  <c r="BH176" i="70"/>
  <c r="BG176" i="70"/>
  <c r="BF176" i="70"/>
  <c r="BE176" i="70"/>
  <c r="T176" i="70"/>
  <c r="R176" i="70"/>
  <c r="P176" i="70"/>
  <c r="J176" i="70"/>
  <c r="BK175" i="70"/>
  <c r="BI175" i="70"/>
  <c r="BH175" i="70"/>
  <c r="BG175" i="70"/>
  <c r="BE175" i="70"/>
  <c r="T175" i="70"/>
  <c r="R175" i="70"/>
  <c r="P175" i="70"/>
  <c r="J175" i="70"/>
  <c r="BF175" i="70" s="1"/>
  <c r="BI174" i="70"/>
  <c r="BH174" i="70"/>
  <c r="BG174" i="70"/>
  <c r="BE174" i="70"/>
  <c r="BI173" i="70"/>
  <c r="BH173" i="70"/>
  <c r="BG173" i="70"/>
  <c r="BE173" i="70"/>
  <c r="BI172" i="70"/>
  <c r="BH172" i="70"/>
  <c r="BG172" i="70"/>
  <c r="BE172" i="70"/>
  <c r="BK170" i="70"/>
  <c r="BI170" i="70"/>
  <c r="BH170" i="70"/>
  <c r="BG170" i="70"/>
  <c r="BF170" i="70"/>
  <c r="BE170" i="70"/>
  <c r="T170" i="70"/>
  <c r="R170" i="70"/>
  <c r="P170" i="70"/>
  <c r="J170" i="70"/>
  <c r="BK169" i="70"/>
  <c r="BI169" i="70"/>
  <c r="BH169" i="70"/>
  <c r="BG169" i="70"/>
  <c r="BE169" i="70"/>
  <c r="T169" i="70"/>
  <c r="R169" i="70"/>
  <c r="P169" i="70"/>
  <c r="J169" i="70"/>
  <c r="BF169" i="70" s="1"/>
  <c r="BI168" i="70"/>
  <c r="BH168" i="70"/>
  <c r="BG168" i="70"/>
  <c r="BE168" i="70"/>
  <c r="BI167" i="70"/>
  <c r="BH167" i="70"/>
  <c r="BG167" i="70"/>
  <c r="BE167" i="70"/>
  <c r="BK166" i="70"/>
  <c r="BI166" i="70"/>
  <c r="BH166" i="70"/>
  <c r="BG166" i="70"/>
  <c r="BE166" i="70"/>
  <c r="T166" i="70"/>
  <c r="R166" i="70"/>
  <c r="P166" i="70"/>
  <c r="J166" i="70"/>
  <c r="BF166" i="70" s="1"/>
  <c r="J164" i="70"/>
  <c r="J101" i="70" s="1"/>
  <c r="BK163" i="70"/>
  <c r="BI163" i="70"/>
  <c r="BH163" i="70"/>
  <c r="BG163" i="70"/>
  <c r="BF163" i="70"/>
  <c r="BE163" i="70"/>
  <c r="T163" i="70"/>
  <c r="R163" i="70"/>
  <c r="P163" i="70"/>
  <c r="J163" i="70"/>
  <c r="BK162" i="70"/>
  <c r="BI162" i="70"/>
  <c r="BH162" i="70"/>
  <c r="BG162" i="70"/>
  <c r="BE162" i="70"/>
  <c r="T162" i="70"/>
  <c r="R162" i="70"/>
  <c r="P162" i="70"/>
  <c r="J162" i="70"/>
  <c r="BF162" i="70" s="1"/>
  <c r="BK161" i="70"/>
  <c r="BI161" i="70"/>
  <c r="BH161" i="70"/>
  <c r="BG161" i="70"/>
  <c r="BF161" i="70"/>
  <c r="BE161" i="70"/>
  <c r="T161" i="70"/>
  <c r="R161" i="70"/>
  <c r="P161" i="70"/>
  <c r="J161" i="70"/>
  <c r="BK160" i="70"/>
  <c r="BI160" i="70"/>
  <c r="BH160" i="70"/>
  <c r="BG160" i="70"/>
  <c r="BE160" i="70"/>
  <c r="T160" i="70"/>
  <c r="R160" i="70"/>
  <c r="P160" i="70"/>
  <c r="J160" i="70"/>
  <c r="BF160" i="70" s="1"/>
  <c r="BK159" i="70"/>
  <c r="BI159" i="70"/>
  <c r="BH159" i="70"/>
  <c r="BG159" i="70"/>
  <c r="BE159" i="70"/>
  <c r="T159" i="70"/>
  <c r="R159" i="70"/>
  <c r="P159" i="70"/>
  <c r="J159" i="70"/>
  <c r="BF159" i="70" s="1"/>
  <c r="BK158" i="70"/>
  <c r="BI158" i="70"/>
  <c r="BH158" i="70"/>
  <c r="BG158" i="70"/>
  <c r="BE158" i="70"/>
  <c r="T158" i="70"/>
  <c r="R158" i="70"/>
  <c r="P158" i="70"/>
  <c r="J158" i="70"/>
  <c r="BF158" i="70" s="1"/>
  <c r="BK157" i="70"/>
  <c r="BI157" i="70"/>
  <c r="BH157" i="70"/>
  <c r="BG157" i="70"/>
  <c r="BF157" i="70"/>
  <c r="BE157" i="70"/>
  <c r="T157" i="70"/>
  <c r="R157" i="70"/>
  <c r="P157" i="70"/>
  <c r="J157" i="70"/>
  <c r="BK156" i="70"/>
  <c r="BI156" i="70"/>
  <c r="BH156" i="70"/>
  <c r="BG156" i="70"/>
  <c r="BE156" i="70"/>
  <c r="T156" i="70"/>
  <c r="R156" i="70"/>
  <c r="P156" i="70"/>
  <c r="J156" i="70"/>
  <c r="BF156" i="70" s="1"/>
  <c r="BK155" i="70"/>
  <c r="BI155" i="70"/>
  <c r="BH155" i="70"/>
  <c r="BG155" i="70"/>
  <c r="BE155" i="70"/>
  <c r="T155" i="70"/>
  <c r="R155" i="70"/>
  <c r="P155" i="70"/>
  <c r="J155" i="70"/>
  <c r="BF155" i="70" s="1"/>
  <c r="BK154" i="70"/>
  <c r="BI154" i="70"/>
  <c r="BH154" i="70"/>
  <c r="BG154" i="70"/>
  <c r="BE154" i="70"/>
  <c r="T154" i="70"/>
  <c r="T150" i="70" s="1"/>
  <c r="R154" i="70"/>
  <c r="P154" i="70"/>
  <c r="J154" i="70"/>
  <c r="BF154" i="70" s="1"/>
  <c r="BK153" i="70"/>
  <c r="BI153" i="70"/>
  <c r="BH153" i="70"/>
  <c r="BG153" i="70"/>
  <c r="BE153" i="70"/>
  <c r="T153" i="70"/>
  <c r="R153" i="70"/>
  <c r="P153" i="70"/>
  <c r="J153" i="70"/>
  <c r="BF153" i="70" s="1"/>
  <c r="BK152" i="70"/>
  <c r="BI152" i="70"/>
  <c r="BH152" i="70"/>
  <c r="BG152" i="70"/>
  <c r="BE152" i="70"/>
  <c r="T152" i="70"/>
  <c r="R152" i="70"/>
  <c r="P152" i="70"/>
  <c r="J152" i="70"/>
  <c r="BF152" i="70" s="1"/>
  <c r="BK151" i="70"/>
  <c r="BI151" i="70"/>
  <c r="BH151" i="70"/>
  <c r="BG151" i="70"/>
  <c r="BF151" i="70"/>
  <c r="BE151" i="70"/>
  <c r="T151" i="70"/>
  <c r="R151" i="70"/>
  <c r="R150" i="70" s="1"/>
  <c r="P151" i="70"/>
  <c r="P150" i="70" s="1"/>
  <c r="J151" i="70"/>
  <c r="BK149" i="70"/>
  <c r="BI149" i="70"/>
  <c r="BH149" i="70"/>
  <c r="BG149" i="70"/>
  <c r="BE149" i="70"/>
  <c r="T149" i="70"/>
  <c r="R149" i="70"/>
  <c r="P149" i="70"/>
  <c r="J149" i="70"/>
  <c r="BF149" i="70" s="1"/>
  <c r="BK148" i="70"/>
  <c r="BI148" i="70"/>
  <c r="BH148" i="70"/>
  <c r="BG148" i="70"/>
  <c r="BE148" i="70"/>
  <c r="T148" i="70"/>
  <c r="R148" i="70"/>
  <c r="P148" i="70"/>
  <c r="J148" i="70"/>
  <c r="BF148" i="70" s="1"/>
  <c r="BK147" i="70"/>
  <c r="BI147" i="70"/>
  <c r="BH147" i="70"/>
  <c r="BG147" i="70"/>
  <c r="BE147" i="70"/>
  <c r="T147" i="70"/>
  <c r="R147" i="70"/>
  <c r="P147" i="70"/>
  <c r="J147" i="70"/>
  <c r="BF147" i="70" s="1"/>
  <c r="BK146" i="70"/>
  <c r="BI146" i="70"/>
  <c r="BH146" i="70"/>
  <c r="BG146" i="70"/>
  <c r="BF146" i="70"/>
  <c r="BE146" i="70"/>
  <c r="T146" i="70"/>
  <c r="R146" i="70"/>
  <c r="P146" i="70"/>
  <c r="J146" i="70"/>
  <c r="BK145" i="70"/>
  <c r="BI145" i="70"/>
  <c r="BH145" i="70"/>
  <c r="BG145" i="70"/>
  <c r="BE145" i="70"/>
  <c r="T145" i="70"/>
  <c r="R145" i="70"/>
  <c r="P145" i="70"/>
  <c r="P142" i="70" s="1"/>
  <c r="J145" i="70"/>
  <c r="BF145" i="70" s="1"/>
  <c r="BK144" i="70"/>
  <c r="BI144" i="70"/>
  <c r="BH144" i="70"/>
  <c r="BG144" i="70"/>
  <c r="BE144" i="70"/>
  <c r="T144" i="70"/>
  <c r="R144" i="70"/>
  <c r="P144" i="70"/>
  <c r="J144" i="70"/>
  <c r="BF144" i="70" s="1"/>
  <c r="BK143" i="70"/>
  <c r="BI143" i="70"/>
  <c r="BH143" i="70"/>
  <c r="BG143" i="70"/>
  <c r="BE143" i="70"/>
  <c r="T143" i="70"/>
  <c r="R143" i="70"/>
  <c r="P143" i="70"/>
  <c r="J143" i="70"/>
  <c r="BF143" i="70" s="1"/>
  <c r="R142" i="70"/>
  <c r="BK141" i="70"/>
  <c r="BI141" i="70"/>
  <c r="BH141" i="70"/>
  <c r="BG141" i="70"/>
  <c r="BE141" i="70"/>
  <c r="T141" i="70"/>
  <c r="R141" i="70"/>
  <c r="P141" i="70"/>
  <c r="J141" i="70"/>
  <c r="BF141" i="70" s="1"/>
  <c r="BK140" i="70"/>
  <c r="BI140" i="70"/>
  <c r="BH140" i="70"/>
  <c r="BG140" i="70"/>
  <c r="BF140" i="70"/>
  <c r="BE140" i="70"/>
  <c r="T140" i="70"/>
  <c r="R140" i="70"/>
  <c r="P140" i="70"/>
  <c r="J140" i="70"/>
  <c r="BI139" i="70"/>
  <c r="BH139" i="70"/>
  <c r="BG139" i="70"/>
  <c r="BE139" i="70"/>
  <c r="BK138" i="70"/>
  <c r="BI138" i="70"/>
  <c r="BH138" i="70"/>
  <c r="BG138" i="70"/>
  <c r="BF138" i="70"/>
  <c r="BE138" i="70"/>
  <c r="T138" i="70"/>
  <c r="R138" i="70"/>
  <c r="P138" i="70"/>
  <c r="J138" i="70"/>
  <c r="BK137" i="70"/>
  <c r="BI137" i="70"/>
  <c r="BH137" i="70"/>
  <c r="BG137" i="70"/>
  <c r="BE137" i="70"/>
  <c r="T137" i="70"/>
  <c r="R137" i="70"/>
  <c r="P137" i="70"/>
  <c r="J137" i="70"/>
  <c r="BF137" i="70" s="1"/>
  <c r="BK136" i="70"/>
  <c r="BI136" i="70"/>
  <c r="BH136" i="70"/>
  <c r="BG136" i="70"/>
  <c r="BF136" i="70"/>
  <c r="BE136" i="70"/>
  <c r="T136" i="70"/>
  <c r="R136" i="70"/>
  <c r="P136" i="70"/>
  <c r="J136" i="70"/>
  <c r="BK135" i="70"/>
  <c r="BI135" i="70"/>
  <c r="BH135" i="70"/>
  <c r="BG135" i="70"/>
  <c r="BE135" i="70"/>
  <c r="T135" i="70"/>
  <c r="R135" i="70"/>
  <c r="P135" i="70"/>
  <c r="J135" i="70"/>
  <c r="BF135" i="70" s="1"/>
  <c r="BK134" i="70"/>
  <c r="BI134" i="70"/>
  <c r="BH134" i="70"/>
  <c r="BG134" i="70"/>
  <c r="BE134" i="70"/>
  <c r="T134" i="70"/>
  <c r="R134" i="70"/>
  <c r="P134" i="70"/>
  <c r="J134" i="70"/>
  <c r="BF134" i="70" s="1"/>
  <c r="BK133" i="70"/>
  <c r="BI133" i="70"/>
  <c r="BH133" i="70"/>
  <c r="BG133" i="70"/>
  <c r="BE133" i="70"/>
  <c r="T133" i="70"/>
  <c r="R133" i="70"/>
  <c r="P133" i="70"/>
  <c r="J133" i="70"/>
  <c r="BF133" i="70" s="1"/>
  <c r="BK132" i="70"/>
  <c r="BI132" i="70"/>
  <c r="BH132" i="70"/>
  <c r="BG132" i="70"/>
  <c r="BF132" i="70"/>
  <c r="BE132" i="70"/>
  <c r="T132" i="70"/>
  <c r="R132" i="70"/>
  <c r="P132" i="70"/>
  <c r="J132" i="70"/>
  <c r="BK131" i="70"/>
  <c r="BI131" i="70"/>
  <c r="BH131" i="70"/>
  <c r="BG131" i="70"/>
  <c r="BE131" i="70"/>
  <c r="T131" i="70"/>
  <c r="R131" i="70"/>
  <c r="P131" i="70"/>
  <c r="J131" i="70"/>
  <c r="BF131" i="70" s="1"/>
  <c r="F122" i="70"/>
  <c r="E120" i="70"/>
  <c r="F89" i="70"/>
  <c r="E87" i="70"/>
  <c r="E85" i="70"/>
  <c r="J39" i="70"/>
  <c r="J38" i="70"/>
  <c r="J37" i="70"/>
  <c r="J31" i="70"/>
  <c r="J24" i="70"/>
  <c r="E24" i="70"/>
  <c r="J92" i="70" s="1"/>
  <c r="J23" i="70"/>
  <c r="J21" i="70"/>
  <c r="E21" i="70"/>
  <c r="J124" i="70" s="1"/>
  <c r="J20" i="70"/>
  <c r="J18" i="70"/>
  <c r="E18" i="70"/>
  <c r="F92" i="70" s="1"/>
  <c r="J17" i="70"/>
  <c r="J15" i="70"/>
  <c r="E15" i="70"/>
  <c r="F124" i="70" s="1"/>
  <c r="J14" i="70"/>
  <c r="J12" i="70"/>
  <c r="J122" i="70" s="1"/>
  <c r="E7" i="70"/>
  <c r="E118" i="70" s="1"/>
  <c r="BK161" i="69"/>
  <c r="BI161" i="69"/>
  <c r="BH161" i="69"/>
  <c r="BG161" i="69"/>
  <c r="BE161" i="69"/>
  <c r="T161" i="69"/>
  <c r="R161" i="69"/>
  <c r="P161" i="69"/>
  <c r="J161" i="69"/>
  <c r="BF161" i="69" s="1"/>
  <c r="BK160" i="69"/>
  <c r="BI160" i="69"/>
  <c r="BH160" i="69"/>
  <c r="BG160" i="69"/>
  <c r="BE160" i="69"/>
  <c r="T160" i="69"/>
  <c r="T159" i="69" s="1"/>
  <c r="R160" i="69"/>
  <c r="P160" i="69"/>
  <c r="P159" i="69" s="1"/>
  <c r="P158" i="69" s="1"/>
  <c r="J160" i="69"/>
  <c r="BF160" i="69" s="1"/>
  <c r="R159" i="69"/>
  <c r="T158" i="69"/>
  <c r="R158" i="69"/>
  <c r="BK157" i="69"/>
  <c r="BI157" i="69"/>
  <c r="BH157" i="69"/>
  <c r="BG157" i="69"/>
  <c r="BE157" i="69"/>
  <c r="T157" i="69"/>
  <c r="R157" i="69"/>
  <c r="P157" i="69"/>
  <c r="J157" i="69"/>
  <c r="BF157" i="69" s="1"/>
  <c r="BI156" i="69"/>
  <c r="BH156" i="69"/>
  <c r="BG156" i="69"/>
  <c r="BE156" i="69"/>
  <c r="BI155" i="69"/>
  <c r="BH155" i="69"/>
  <c r="BG155" i="69"/>
  <c r="BE155" i="69"/>
  <c r="BI154" i="69"/>
  <c r="BH154" i="69"/>
  <c r="BG154" i="69"/>
  <c r="BE154" i="69"/>
  <c r="BI152" i="69"/>
  <c r="BH152" i="69"/>
  <c r="BG152" i="69"/>
  <c r="BE152" i="69"/>
  <c r="BI151" i="69"/>
  <c r="BH151" i="69"/>
  <c r="BG151" i="69"/>
  <c r="BE151" i="69"/>
  <c r="BI150" i="69"/>
  <c r="BH150" i="69"/>
  <c r="BG150" i="69"/>
  <c r="BE150" i="69"/>
  <c r="BK149" i="69"/>
  <c r="BI149" i="69"/>
  <c r="BH149" i="69"/>
  <c r="BG149" i="69"/>
  <c r="BE149" i="69"/>
  <c r="T149" i="69"/>
  <c r="R149" i="69"/>
  <c r="P149" i="69"/>
  <c r="J149" i="69"/>
  <c r="BF149" i="69" s="1"/>
  <c r="J147" i="69"/>
  <c r="BK146" i="69"/>
  <c r="BI146" i="69"/>
  <c r="BH146" i="69"/>
  <c r="BG146" i="69"/>
  <c r="BE146" i="69"/>
  <c r="T146" i="69"/>
  <c r="R146" i="69"/>
  <c r="P146" i="69"/>
  <c r="J146" i="69"/>
  <c r="BF146" i="69" s="1"/>
  <c r="BK145" i="69"/>
  <c r="BI145" i="69"/>
  <c r="BH145" i="69"/>
  <c r="BG145" i="69"/>
  <c r="BF145" i="69"/>
  <c r="BE145" i="69"/>
  <c r="T145" i="69"/>
  <c r="R145" i="69"/>
  <c r="P145" i="69"/>
  <c r="J145" i="69"/>
  <c r="BK144" i="69"/>
  <c r="BI144" i="69"/>
  <c r="BH144" i="69"/>
  <c r="BG144" i="69"/>
  <c r="BE144" i="69"/>
  <c r="T144" i="69"/>
  <c r="R144" i="69"/>
  <c r="P144" i="69"/>
  <c r="J144" i="69"/>
  <c r="BF144" i="69" s="1"/>
  <c r="BK143" i="69"/>
  <c r="BI143" i="69"/>
  <c r="BH143" i="69"/>
  <c r="BG143" i="69"/>
  <c r="BE143" i="69"/>
  <c r="T143" i="69"/>
  <c r="R143" i="69"/>
  <c r="P143" i="69"/>
  <c r="J143" i="69"/>
  <c r="BF143" i="69" s="1"/>
  <c r="BK142" i="69"/>
  <c r="BI142" i="69"/>
  <c r="BH142" i="69"/>
  <c r="BG142" i="69"/>
  <c r="BE142" i="69"/>
  <c r="T142" i="69"/>
  <c r="R142" i="69"/>
  <c r="P142" i="69"/>
  <c r="J142" i="69"/>
  <c r="BF142" i="69" s="1"/>
  <c r="BK141" i="69"/>
  <c r="BK139" i="69" s="1"/>
  <c r="J139" i="69" s="1"/>
  <c r="J99" i="69" s="1"/>
  <c r="BI141" i="69"/>
  <c r="BH141" i="69"/>
  <c r="BG141" i="69"/>
  <c r="BE141" i="69"/>
  <c r="T141" i="69"/>
  <c r="R141" i="69"/>
  <c r="P141" i="69"/>
  <c r="J141" i="69"/>
  <c r="BF141" i="69" s="1"/>
  <c r="BK140" i="69"/>
  <c r="BI140" i="69"/>
  <c r="BH140" i="69"/>
  <c r="BG140" i="69"/>
  <c r="BE140" i="69"/>
  <c r="T140" i="69"/>
  <c r="T139" i="69" s="1"/>
  <c r="R140" i="69"/>
  <c r="P140" i="69"/>
  <c r="J140" i="69"/>
  <c r="BF140" i="69" s="1"/>
  <c r="P139" i="69"/>
  <c r="BK138" i="69"/>
  <c r="BI138" i="69"/>
  <c r="BH138" i="69"/>
  <c r="BG138" i="69"/>
  <c r="BE138" i="69"/>
  <c r="T138" i="69"/>
  <c r="R138" i="69"/>
  <c r="P138" i="69"/>
  <c r="J138" i="69"/>
  <c r="BF138" i="69" s="1"/>
  <c r="BK137" i="69"/>
  <c r="BI137" i="69"/>
  <c r="BH137" i="69"/>
  <c r="BG137" i="69"/>
  <c r="BE137" i="69"/>
  <c r="T137" i="69"/>
  <c r="R137" i="69"/>
  <c r="P137" i="69"/>
  <c r="J137" i="69"/>
  <c r="BF137" i="69" s="1"/>
  <c r="BI136" i="69"/>
  <c r="BH136" i="69"/>
  <c r="BG136" i="69"/>
  <c r="BE136" i="69"/>
  <c r="BK135" i="69"/>
  <c r="BI135" i="69"/>
  <c r="BH135" i="69"/>
  <c r="BG135" i="69"/>
  <c r="BE135" i="69"/>
  <c r="T135" i="69"/>
  <c r="R135" i="69"/>
  <c r="P135" i="69"/>
  <c r="J135" i="69"/>
  <c r="BF135" i="69" s="1"/>
  <c r="BK134" i="69"/>
  <c r="BI134" i="69"/>
  <c r="BH134" i="69"/>
  <c r="BG134" i="69"/>
  <c r="BE134" i="69"/>
  <c r="T134" i="69"/>
  <c r="R134" i="69"/>
  <c r="P134" i="69"/>
  <c r="J134" i="69"/>
  <c r="BF134" i="69" s="1"/>
  <c r="BK133" i="69"/>
  <c r="BI133" i="69"/>
  <c r="BH133" i="69"/>
  <c r="BG133" i="69"/>
  <c r="BF133" i="69"/>
  <c r="BE133" i="69"/>
  <c r="T133" i="69"/>
  <c r="R133" i="69"/>
  <c r="P133" i="69"/>
  <c r="J133" i="69"/>
  <c r="BK132" i="69"/>
  <c r="BI132" i="69"/>
  <c r="BH132" i="69"/>
  <c r="BG132" i="69"/>
  <c r="BE132" i="69"/>
  <c r="T132" i="69"/>
  <c r="R132" i="69"/>
  <c r="P132" i="69"/>
  <c r="J132" i="69"/>
  <c r="BF132" i="69" s="1"/>
  <c r="BK131" i="69"/>
  <c r="BI131" i="69"/>
  <c r="BH131" i="69"/>
  <c r="BG131" i="69"/>
  <c r="BE131" i="69"/>
  <c r="T131" i="69"/>
  <c r="R131" i="69"/>
  <c r="P131" i="69"/>
  <c r="J131" i="69"/>
  <c r="BF131" i="69" s="1"/>
  <c r="F122" i="69"/>
  <c r="E120" i="69"/>
  <c r="E118" i="69"/>
  <c r="J100" i="69"/>
  <c r="F89" i="69"/>
  <c r="E87" i="69"/>
  <c r="J39" i="69"/>
  <c r="J38" i="69"/>
  <c r="J37" i="69"/>
  <c r="J31" i="69"/>
  <c r="J24" i="69"/>
  <c r="E24" i="69"/>
  <c r="J92" i="69" s="1"/>
  <c r="J23" i="69"/>
  <c r="J21" i="69"/>
  <c r="E21" i="69"/>
  <c r="J124" i="69" s="1"/>
  <c r="J20" i="69"/>
  <c r="J18" i="69"/>
  <c r="E18" i="69"/>
  <c r="J17" i="69"/>
  <c r="J15" i="69"/>
  <c r="E15" i="69"/>
  <c r="F91" i="69" s="1"/>
  <c r="J14" i="69"/>
  <c r="J12" i="69"/>
  <c r="J122" i="69" s="1"/>
  <c r="E7" i="69"/>
  <c r="E85" i="69" s="1"/>
  <c r="BK167" i="68"/>
  <c r="BK166" i="68" s="1"/>
  <c r="J166" i="68" s="1"/>
  <c r="J103" i="68" s="1"/>
  <c r="BI167" i="68"/>
  <c r="BH167" i="68"/>
  <c r="BG167" i="68"/>
  <c r="BE167" i="68"/>
  <c r="T167" i="68"/>
  <c r="R167" i="68"/>
  <c r="P167" i="68"/>
  <c r="P166" i="68" s="1"/>
  <c r="J167" i="68"/>
  <c r="BF167" i="68" s="1"/>
  <c r="T166" i="68"/>
  <c r="R166" i="68"/>
  <c r="BI165" i="68"/>
  <c r="BH165" i="68"/>
  <c r="BG165" i="68"/>
  <c r="BE165" i="68"/>
  <c r="BI164" i="68"/>
  <c r="BH164" i="68"/>
  <c r="BG164" i="68"/>
  <c r="BE164" i="68"/>
  <c r="BI163" i="68"/>
  <c r="BH163" i="68"/>
  <c r="BG163" i="68"/>
  <c r="BE163" i="68"/>
  <c r="BK161" i="68"/>
  <c r="BI161" i="68"/>
  <c r="BH161" i="68"/>
  <c r="BG161" i="68"/>
  <c r="BE161" i="68"/>
  <c r="T161" i="68"/>
  <c r="R161" i="68"/>
  <c r="P161" i="68"/>
  <c r="J161" i="68"/>
  <c r="BF161" i="68" s="1"/>
  <c r="BI160" i="68"/>
  <c r="BH160" i="68"/>
  <c r="BG160" i="68"/>
  <c r="BE160" i="68"/>
  <c r="BI159" i="68"/>
  <c r="BH159" i="68"/>
  <c r="BG159" i="68"/>
  <c r="BE159" i="68"/>
  <c r="BI158" i="68"/>
  <c r="BH158" i="68"/>
  <c r="BG158" i="68"/>
  <c r="BE158" i="68"/>
  <c r="BK157" i="68"/>
  <c r="BI157" i="68"/>
  <c r="BH157" i="68"/>
  <c r="BG157" i="68"/>
  <c r="BE157" i="68"/>
  <c r="T157" i="68"/>
  <c r="R157" i="68"/>
  <c r="P157" i="68"/>
  <c r="J157" i="68"/>
  <c r="BF157" i="68" s="1"/>
  <c r="BK155" i="68"/>
  <c r="BI155" i="68"/>
  <c r="BH155" i="68"/>
  <c r="BG155" i="68"/>
  <c r="BE155" i="68"/>
  <c r="T155" i="68"/>
  <c r="R155" i="68"/>
  <c r="R151" i="68" s="1"/>
  <c r="P155" i="68"/>
  <c r="J155" i="68"/>
  <c r="BF155" i="68" s="1"/>
  <c r="BK154" i="68"/>
  <c r="BI154" i="68"/>
  <c r="BH154" i="68"/>
  <c r="BG154" i="68"/>
  <c r="BE154" i="68"/>
  <c r="T154" i="68"/>
  <c r="R154" i="68"/>
  <c r="P154" i="68"/>
  <c r="J154" i="68"/>
  <c r="BF154" i="68" s="1"/>
  <c r="BK153" i="68"/>
  <c r="BI153" i="68"/>
  <c r="BH153" i="68"/>
  <c r="BG153" i="68"/>
  <c r="BE153" i="68"/>
  <c r="T153" i="68"/>
  <c r="R153" i="68"/>
  <c r="P153" i="68"/>
  <c r="J153" i="68"/>
  <c r="BF153" i="68" s="1"/>
  <c r="BK152" i="68"/>
  <c r="BK151" i="68" s="1"/>
  <c r="J151" i="68" s="1"/>
  <c r="J100" i="68" s="1"/>
  <c r="BI152" i="68"/>
  <c r="BH152" i="68"/>
  <c r="BG152" i="68"/>
  <c r="BE152" i="68"/>
  <c r="T152" i="68"/>
  <c r="R152" i="68"/>
  <c r="P152" i="68"/>
  <c r="J152" i="68"/>
  <c r="BF152" i="68" s="1"/>
  <c r="BK150" i="68"/>
  <c r="BI150" i="68"/>
  <c r="BH150" i="68"/>
  <c r="BG150" i="68"/>
  <c r="BE150" i="68"/>
  <c r="T150" i="68"/>
  <c r="R150" i="68"/>
  <c r="P150" i="68"/>
  <c r="J150" i="68"/>
  <c r="BF150" i="68" s="1"/>
  <c r="BK149" i="68"/>
  <c r="BI149" i="68"/>
  <c r="BH149" i="68"/>
  <c r="BG149" i="68"/>
  <c r="BE149" i="68"/>
  <c r="T149" i="68"/>
  <c r="R149" i="68"/>
  <c r="P149" i="68"/>
  <c r="J149" i="68"/>
  <c r="BF149" i="68" s="1"/>
  <c r="BK148" i="68"/>
  <c r="BI148" i="68"/>
  <c r="BH148" i="68"/>
  <c r="BG148" i="68"/>
  <c r="BE148" i="68"/>
  <c r="T148" i="68"/>
  <c r="R148" i="68"/>
  <c r="P148" i="68"/>
  <c r="J148" i="68"/>
  <c r="BF148" i="68" s="1"/>
  <c r="BK147" i="68"/>
  <c r="BI147" i="68"/>
  <c r="BH147" i="68"/>
  <c r="BG147" i="68"/>
  <c r="BF147" i="68"/>
  <c r="BE147" i="68"/>
  <c r="T147" i="68"/>
  <c r="R147" i="68"/>
  <c r="P147" i="68"/>
  <c r="J147" i="68"/>
  <c r="BK146" i="68"/>
  <c r="BI146" i="68"/>
  <c r="BH146" i="68"/>
  <c r="BG146" i="68"/>
  <c r="BE146" i="68"/>
  <c r="T146" i="68"/>
  <c r="R146" i="68"/>
  <c r="P146" i="68"/>
  <c r="J146" i="68"/>
  <c r="BF146" i="68" s="1"/>
  <c r="BK145" i="68"/>
  <c r="BI145" i="68"/>
  <c r="BH145" i="68"/>
  <c r="BG145" i="68"/>
  <c r="BE145" i="68"/>
  <c r="T145" i="68"/>
  <c r="R145" i="68"/>
  <c r="P145" i="68"/>
  <c r="J145" i="68"/>
  <c r="BF145" i="68" s="1"/>
  <c r="BK144" i="68"/>
  <c r="BI144" i="68"/>
  <c r="BH144" i="68"/>
  <c r="BG144" i="68"/>
  <c r="BE144" i="68"/>
  <c r="T144" i="68"/>
  <c r="R144" i="68"/>
  <c r="P144" i="68"/>
  <c r="J144" i="68"/>
  <c r="BF144" i="68" s="1"/>
  <c r="BK143" i="68"/>
  <c r="BI143" i="68"/>
  <c r="BH143" i="68"/>
  <c r="BG143" i="68"/>
  <c r="BE143" i="68"/>
  <c r="T143" i="68"/>
  <c r="T142" i="68" s="1"/>
  <c r="R143" i="68"/>
  <c r="P143" i="68"/>
  <c r="J143" i="68"/>
  <c r="BF143" i="68" s="1"/>
  <c r="BK141" i="68"/>
  <c r="BI141" i="68"/>
  <c r="BH141" i="68"/>
  <c r="BG141" i="68"/>
  <c r="BF141" i="68"/>
  <c r="BE141" i="68"/>
  <c r="T141" i="68"/>
  <c r="R141" i="68"/>
  <c r="P141" i="68"/>
  <c r="J141" i="68"/>
  <c r="BK140" i="68"/>
  <c r="BI140" i="68"/>
  <c r="BH140" i="68"/>
  <c r="BG140" i="68"/>
  <c r="BE140" i="68"/>
  <c r="T140" i="68"/>
  <c r="R140" i="68"/>
  <c r="P140" i="68"/>
  <c r="J140" i="68"/>
  <c r="BF140" i="68" s="1"/>
  <c r="BK139" i="68"/>
  <c r="BI139" i="68"/>
  <c r="BH139" i="68"/>
  <c r="BG139" i="68"/>
  <c r="BE139" i="68"/>
  <c r="T139" i="68"/>
  <c r="R139" i="68"/>
  <c r="P139" i="68"/>
  <c r="J139" i="68"/>
  <c r="BF139" i="68" s="1"/>
  <c r="BI138" i="68"/>
  <c r="BH138" i="68"/>
  <c r="BG138" i="68"/>
  <c r="BE138" i="68"/>
  <c r="BK137" i="68"/>
  <c r="BI137" i="68"/>
  <c r="BH137" i="68"/>
  <c r="BG137" i="68"/>
  <c r="BF137" i="68"/>
  <c r="BE137" i="68"/>
  <c r="T137" i="68"/>
  <c r="R137" i="68"/>
  <c r="P137" i="68"/>
  <c r="J137" i="68"/>
  <c r="BK136" i="68"/>
  <c r="BI136" i="68"/>
  <c r="BH136" i="68"/>
  <c r="BG136" i="68"/>
  <c r="BE136" i="68"/>
  <c r="T136" i="68"/>
  <c r="R136" i="68"/>
  <c r="P136" i="68"/>
  <c r="J136" i="68"/>
  <c r="BF136" i="68" s="1"/>
  <c r="BK135" i="68"/>
  <c r="BI135" i="68"/>
  <c r="BH135" i="68"/>
  <c r="BG135" i="68"/>
  <c r="BE135" i="68"/>
  <c r="T135" i="68"/>
  <c r="R135" i="68"/>
  <c r="P135" i="68"/>
  <c r="J135" i="68"/>
  <c r="BF135" i="68" s="1"/>
  <c r="BK134" i="68"/>
  <c r="BI134" i="68"/>
  <c r="BH134" i="68"/>
  <c r="BG134" i="68"/>
  <c r="BE134" i="68"/>
  <c r="T134" i="68"/>
  <c r="R134" i="68"/>
  <c r="P134" i="68"/>
  <c r="J134" i="68"/>
  <c r="BF134" i="68" s="1"/>
  <c r="BK133" i="68"/>
  <c r="BI133" i="68"/>
  <c r="BH133" i="68"/>
  <c r="BG133" i="68"/>
  <c r="BE133" i="68"/>
  <c r="T133" i="68"/>
  <c r="R133" i="68"/>
  <c r="P133" i="68"/>
  <c r="J133" i="68"/>
  <c r="BF133" i="68" s="1"/>
  <c r="BK132" i="68"/>
  <c r="BI132" i="68"/>
  <c r="BH132" i="68"/>
  <c r="BG132" i="68"/>
  <c r="BE132" i="68"/>
  <c r="T132" i="68"/>
  <c r="R132" i="68"/>
  <c r="P132" i="68"/>
  <c r="J132" i="68"/>
  <c r="BF132" i="68" s="1"/>
  <c r="BK131" i="68"/>
  <c r="BI131" i="68"/>
  <c r="BH131" i="68"/>
  <c r="BG131" i="68"/>
  <c r="BE131" i="68"/>
  <c r="T131" i="68"/>
  <c r="R131" i="68"/>
  <c r="P131" i="68"/>
  <c r="J131" i="68"/>
  <c r="BF131" i="68" s="1"/>
  <c r="BK130" i="68"/>
  <c r="BI130" i="68"/>
  <c r="BH130" i="68"/>
  <c r="BG130" i="68"/>
  <c r="BE130" i="68"/>
  <c r="T130" i="68"/>
  <c r="R130" i="68"/>
  <c r="P130" i="68"/>
  <c r="J130" i="68"/>
  <c r="BF130" i="68" s="1"/>
  <c r="F121" i="68"/>
  <c r="E119" i="68"/>
  <c r="F89" i="68"/>
  <c r="E87" i="68"/>
  <c r="J39" i="68"/>
  <c r="J38" i="68"/>
  <c r="J37" i="68"/>
  <c r="J31" i="68"/>
  <c r="J24" i="68"/>
  <c r="E24" i="68"/>
  <c r="J124" i="68" s="1"/>
  <c r="J23" i="68"/>
  <c r="J21" i="68"/>
  <c r="E21" i="68"/>
  <c r="J123" i="68" s="1"/>
  <c r="J20" i="68"/>
  <c r="J18" i="68"/>
  <c r="E18" i="68"/>
  <c r="F124" i="68" s="1"/>
  <c r="J17" i="68"/>
  <c r="J15" i="68"/>
  <c r="E15" i="68"/>
  <c r="F123" i="68" s="1"/>
  <c r="J14" i="68"/>
  <c r="J12" i="68"/>
  <c r="J121" i="68" s="1"/>
  <c r="E7" i="68"/>
  <c r="E117" i="68" s="1"/>
  <c r="J145" i="67"/>
  <c r="J104" i="67" s="1"/>
  <c r="BK144" i="67"/>
  <c r="BI144" i="67"/>
  <c r="BH144" i="67"/>
  <c r="BG144" i="67"/>
  <c r="BE144" i="67"/>
  <c r="T144" i="67"/>
  <c r="R144" i="67"/>
  <c r="P144" i="67"/>
  <c r="J144" i="67"/>
  <c r="BF144" i="67" s="1"/>
  <c r="BK143" i="67"/>
  <c r="BI143" i="67"/>
  <c r="BH143" i="67"/>
  <c r="BG143" i="67"/>
  <c r="BE143" i="67"/>
  <c r="T143" i="67"/>
  <c r="T142" i="67" s="1"/>
  <c r="R143" i="67"/>
  <c r="P143" i="67"/>
  <c r="J143" i="67"/>
  <c r="BF143" i="67" s="1"/>
  <c r="P142" i="67"/>
  <c r="BK141" i="67"/>
  <c r="BI141" i="67"/>
  <c r="BH141" i="67"/>
  <c r="BG141" i="67"/>
  <c r="BE141" i="67"/>
  <c r="T141" i="67"/>
  <c r="R141" i="67"/>
  <c r="P141" i="67"/>
  <c r="J141" i="67"/>
  <c r="BF141" i="67" s="1"/>
  <c r="BK140" i="67"/>
  <c r="BI140" i="67"/>
  <c r="BH140" i="67"/>
  <c r="BG140" i="67"/>
  <c r="BF140" i="67"/>
  <c r="BE140" i="67"/>
  <c r="T140" i="67"/>
  <c r="R140" i="67"/>
  <c r="R139" i="67" s="1"/>
  <c r="P140" i="67"/>
  <c r="P139" i="67" s="1"/>
  <c r="J140" i="67"/>
  <c r="BK138" i="67"/>
  <c r="BI138" i="67"/>
  <c r="BH138" i="67"/>
  <c r="BG138" i="67"/>
  <c r="BE138" i="67"/>
  <c r="T138" i="67"/>
  <c r="R138" i="67"/>
  <c r="P138" i="67"/>
  <c r="J138" i="67"/>
  <c r="BF138" i="67" s="1"/>
  <c r="BK137" i="67"/>
  <c r="BK136" i="67" s="1"/>
  <c r="J136" i="67" s="1"/>
  <c r="J101" i="67" s="1"/>
  <c r="BI137" i="67"/>
  <c r="BH137" i="67"/>
  <c r="BG137" i="67"/>
  <c r="BE137" i="67"/>
  <c r="T137" i="67"/>
  <c r="R137" i="67"/>
  <c r="P137" i="67"/>
  <c r="J137" i="67"/>
  <c r="BF137" i="67" s="1"/>
  <c r="T136" i="67"/>
  <c r="R136" i="67"/>
  <c r="P136" i="67"/>
  <c r="BK135" i="67"/>
  <c r="BK134" i="67" s="1"/>
  <c r="J134" i="67" s="1"/>
  <c r="J100" i="67" s="1"/>
  <c r="BI135" i="67"/>
  <c r="BH135" i="67"/>
  <c r="BG135" i="67"/>
  <c r="BF135" i="67"/>
  <c r="BE135" i="67"/>
  <c r="T135" i="67"/>
  <c r="T134" i="67" s="1"/>
  <c r="R135" i="67"/>
  <c r="R134" i="67" s="1"/>
  <c r="P135" i="67"/>
  <c r="J135" i="67"/>
  <c r="P134" i="67"/>
  <c r="BK133" i="67"/>
  <c r="BI133" i="67"/>
  <c r="BH133" i="67"/>
  <c r="BG133" i="67"/>
  <c r="BE133" i="67"/>
  <c r="T133" i="67"/>
  <c r="T132" i="67" s="1"/>
  <c r="R133" i="67"/>
  <c r="R132" i="67" s="1"/>
  <c r="P133" i="67"/>
  <c r="P132" i="67" s="1"/>
  <c r="J133" i="67"/>
  <c r="BF133" i="67" s="1"/>
  <c r="BK132" i="67"/>
  <c r="J132" i="67" s="1"/>
  <c r="J99" i="67" s="1"/>
  <c r="BK131" i="67"/>
  <c r="BK130" i="67" s="1"/>
  <c r="J130" i="67" s="1"/>
  <c r="J98" i="67" s="1"/>
  <c r="BI131" i="67"/>
  <c r="BH131" i="67"/>
  <c r="BG131" i="67"/>
  <c r="BF131" i="67"/>
  <c r="BE131" i="67"/>
  <c r="T131" i="67"/>
  <c r="T130" i="67" s="1"/>
  <c r="R131" i="67"/>
  <c r="R130" i="67" s="1"/>
  <c r="P131" i="67"/>
  <c r="J131" i="67"/>
  <c r="P130" i="67"/>
  <c r="F122" i="67"/>
  <c r="E120" i="67"/>
  <c r="J89" i="67"/>
  <c r="F89" i="67"/>
  <c r="E87" i="67"/>
  <c r="J39" i="67"/>
  <c r="J38" i="67"/>
  <c r="J37" i="67"/>
  <c r="J31" i="67"/>
  <c r="J24" i="67"/>
  <c r="E24" i="67"/>
  <c r="J125" i="67" s="1"/>
  <c r="J23" i="67"/>
  <c r="J21" i="67"/>
  <c r="E21" i="67"/>
  <c r="J124" i="67" s="1"/>
  <c r="J20" i="67"/>
  <c r="J18" i="67"/>
  <c r="E18" i="67"/>
  <c r="F125" i="67" s="1"/>
  <c r="J17" i="67"/>
  <c r="J15" i="67"/>
  <c r="E15" i="67"/>
  <c r="F124" i="67" s="1"/>
  <c r="J14" i="67"/>
  <c r="J12" i="67"/>
  <c r="J122" i="67" s="1"/>
  <c r="E7" i="67"/>
  <c r="J145" i="66"/>
  <c r="J104" i="66" s="1"/>
  <c r="BK144" i="66"/>
  <c r="BK142" i="66" s="1"/>
  <c r="J142" i="66" s="1"/>
  <c r="J103" i="66" s="1"/>
  <c r="BI144" i="66"/>
  <c r="BH144" i="66"/>
  <c r="BG144" i="66"/>
  <c r="BE144" i="66"/>
  <c r="T144" i="66"/>
  <c r="R144" i="66"/>
  <c r="P144" i="66"/>
  <c r="J144" i="66"/>
  <c r="BF144" i="66" s="1"/>
  <c r="BK143" i="66"/>
  <c r="BI143" i="66"/>
  <c r="BH143" i="66"/>
  <c r="BG143" i="66"/>
  <c r="BE143" i="66"/>
  <c r="T143" i="66"/>
  <c r="R143" i="66"/>
  <c r="R142" i="66" s="1"/>
  <c r="P143" i="66"/>
  <c r="P142" i="66" s="1"/>
  <c r="J143" i="66"/>
  <c r="BF143" i="66" s="1"/>
  <c r="BK141" i="66"/>
  <c r="BI141" i="66"/>
  <c r="BH141" i="66"/>
  <c r="BG141" i="66"/>
  <c r="BE141" i="66"/>
  <c r="T141" i="66"/>
  <c r="R141" i="66"/>
  <c r="P141" i="66"/>
  <c r="J141" i="66"/>
  <c r="BF141" i="66" s="1"/>
  <c r="BK140" i="66"/>
  <c r="BK139" i="66" s="1"/>
  <c r="J139" i="66" s="1"/>
  <c r="J102" i="66" s="1"/>
  <c r="BI140" i="66"/>
  <c r="BH140" i="66"/>
  <c r="BG140" i="66"/>
  <c r="BE140" i="66"/>
  <c r="T140" i="66"/>
  <c r="R140" i="66"/>
  <c r="P140" i="66"/>
  <c r="P139" i="66" s="1"/>
  <c r="J140" i="66"/>
  <c r="BF140" i="66" s="1"/>
  <c r="T139" i="66"/>
  <c r="R139" i="66"/>
  <c r="BK138" i="66"/>
  <c r="BI138" i="66"/>
  <c r="BH138" i="66"/>
  <c r="BG138" i="66"/>
  <c r="BE138" i="66"/>
  <c r="T138" i="66"/>
  <c r="R138" i="66"/>
  <c r="P138" i="66"/>
  <c r="J138" i="66"/>
  <c r="BF138" i="66" s="1"/>
  <c r="BK137" i="66"/>
  <c r="BK136" i="66" s="1"/>
  <c r="J136" i="66" s="1"/>
  <c r="J101" i="66" s="1"/>
  <c r="BI137" i="66"/>
  <c r="BH137" i="66"/>
  <c r="BG137" i="66"/>
  <c r="BE137" i="66"/>
  <c r="T137" i="66"/>
  <c r="T136" i="66" s="1"/>
  <c r="R137" i="66"/>
  <c r="R136" i="66" s="1"/>
  <c r="P137" i="66"/>
  <c r="P136" i="66" s="1"/>
  <c r="J137" i="66"/>
  <c r="BF137" i="66" s="1"/>
  <c r="BK135" i="66"/>
  <c r="BK134" i="66" s="1"/>
  <c r="J134" i="66" s="1"/>
  <c r="J100" i="66" s="1"/>
  <c r="BI135" i="66"/>
  <c r="BH135" i="66"/>
  <c r="BG135" i="66"/>
  <c r="BE135" i="66"/>
  <c r="T135" i="66"/>
  <c r="R135" i="66"/>
  <c r="P135" i="66"/>
  <c r="J135" i="66"/>
  <c r="BF135" i="66" s="1"/>
  <c r="T134" i="66"/>
  <c r="R134" i="66"/>
  <c r="P134" i="66"/>
  <c r="BK133" i="66"/>
  <c r="BI133" i="66"/>
  <c r="BH133" i="66"/>
  <c r="BG133" i="66"/>
  <c r="BE133" i="66"/>
  <c r="T133" i="66"/>
  <c r="T132" i="66" s="1"/>
  <c r="R133" i="66"/>
  <c r="R132" i="66" s="1"/>
  <c r="P133" i="66"/>
  <c r="J133" i="66"/>
  <c r="BF133" i="66" s="1"/>
  <c r="BK132" i="66"/>
  <c r="J132" i="66" s="1"/>
  <c r="J99" i="66" s="1"/>
  <c r="P132" i="66"/>
  <c r="BK131" i="66"/>
  <c r="BK130" i="66" s="1"/>
  <c r="J130" i="66" s="1"/>
  <c r="J98" i="66" s="1"/>
  <c r="BI131" i="66"/>
  <c r="F39" i="66" s="1"/>
  <c r="BD102" i="58" s="1"/>
  <c r="BH131" i="66"/>
  <c r="BG131" i="66"/>
  <c r="BE131" i="66"/>
  <c r="T131" i="66"/>
  <c r="T130" i="66" s="1"/>
  <c r="R131" i="66"/>
  <c r="P131" i="66"/>
  <c r="P130" i="66" s="1"/>
  <c r="J131" i="66"/>
  <c r="BF131" i="66" s="1"/>
  <c r="R130" i="66"/>
  <c r="F122" i="66"/>
  <c r="E120" i="66"/>
  <c r="F89" i="66"/>
  <c r="E87" i="66"/>
  <c r="J39" i="66"/>
  <c r="J38" i="66"/>
  <c r="J37" i="66"/>
  <c r="J31" i="66"/>
  <c r="J24" i="66"/>
  <c r="E24" i="66"/>
  <c r="J125" i="66" s="1"/>
  <c r="J23" i="66"/>
  <c r="J21" i="66"/>
  <c r="E21" i="66"/>
  <c r="J124" i="66" s="1"/>
  <c r="J20" i="66"/>
  <c r="J18" i="66"/>
  <c r="E18" i="66"/>
  <c r="F125" i="66" s="1"/>
  <c r="J17" i="66"/>
  <c r="J15" i="66"/>
  <c r="E15" i="66"/>
  <c r="F124" i="66" s="1"/>
  <c r="J14" i="66"/>
  <c r="J12" i="66"/>
  <c r="J89" i="66" s="1"/>
  <c r="E7" i="66"/>
  <c r="E118" i="66" s="1"/>
  <c r="J145" i="65"/>
  <c r="BK144" i="65"/>
  <c r="BI144" i="65"/>
  <c r="BH144" i="65"/>
  <c r="BG144" i="65"/>
  <c r="BE144" i="65"/>
  <c r="T144" i="65"/>
  <c r="R144" i="65"/>
  <c r="P144" i="65"/>
  <c r="J144" i="65"/>
  <c r="BF144" i="65" s="1"/>
  <c r="BK143" i="65"/>
  <c r="BK142" i="65" s="1"/>
  <c r="J142" i="65" s="1"/>
  <c r="J103" i="65" s="1"/>
  <c r="BI143" i="65"/>
  <c r="BH143" i="65"/>
  <c r="BG143" i="65"/>
  <c r="BE143" i="65"/>
  <c r="T143" i="65"/>
  <c r="T142" i="65" s="1"/>
  <c r="R143" i="65"/>
  <c r="R142" i="65" s="1"/>
  <c r="P143" i="65"/>
  <c r="P142" i="65" s="1"/>
  <c r="J143" i="65"/>
  <c r="BF143" i="65" s="1"/>
  <c r="BK141" i="65"/>
  <c r="BI141" i="65"/>
  <c r="BH141" i="65"/>
  <c r="BG141" i="65"/>
  <c r="BE141" i="65"/>
  <c r="T141" i="65"/>
  <c r="R141" i="65"/>
  <c r="P141" i="65"/>
  <c r="J141" i="65"/>
  <c r="BF141" i="65" s="1"/>
  <c r="BK140" i="65"/>
  <c r="BI140" i="65"/>
  <c r="BH140" i="65"/>
  <c r="BG140" i="65"/>
  <c r="BE140" i="65"/>
  <c r="T140" i="65"/>
  <c r="R140" i="65"/>
  <c r="P140" i="65"/>
  <c r="P139" i="65" s="1"/>
  <c r="J140" i="65"/>
  <c r="BF140" i="65" s="1"/>
  <c r="T139" i="65"/>
  <c r="R139" i="65"/>
  <c r="BK138" i="65"/>
  <c r="BI138" i="65"/>
  <c r="BH138" i="65"/>
  <c r="BG138" i="65"/>
  <c r="BE138" i="65"/>
  <c r="T138" i="65"/>
  <c r="T136" i="65" s="1"/>
  <c r="R138" i="65"/>
  <c r="P138" i="65"/>
  <c r="J138" i="65"/>
  <c r="BF138" i="65" s="1"/>
  <c r="BK137" i="65"/>
  <c r="BK136" i="65" s="1"/>
  <c r="J136" i="65" s="1"/>
  <c r="J101" i="65" s="1"/>
  <c r="BI137" i="65"/>
  <c r="BH137" i="65"/>
  <c r="BG137" i="65"/>
  <c r="BE137" i="65"/>
  <c r="F35" i="65" s="1"/>
  <c r="AZ101" i="58" s="1"/>
  <c r="T137" i="65"/>
  <c r="R137" i="65"/>
  <c r="R136" i="65" s="1"/>
  <c r="P137" i="65"/>
  <c r="P136" i="65" s="1"/>
  <c r="J137" i="65"/>
  <c r="BF137" i="65" s="1"/>
  <c r="BK135" i="65"/>
  <c r="BI135" i="65"/>
  <c r="BH135" i="65"/>
  <c r="BG135" i="65"/>
  <c r="BE135" i="65"/>
  <c r="T135" i="65"/>
  <c r="R135" i="65"/>
  <c r="R134" i="65" s="1"/>
  <c r="P135" i="65"/>
  <c r="J135" i="65"/>
  <c r="BF135" i="65" s="1"/>
  <c r="BK134" i="65"/>
  <c r="J134" i="65" s="1"/>
  <c r="J100" i="65" s="1"/>
  <c r="T134" i="65"/>
  <c r="P134" i="65"/>
  <c r="BK133" i="65"/>
  <c r="BK132" i="65" s="1"/>
  <c r="J132" i="65" s="1"/>
  <c r="J99" i="65" s="1"/>
  <c r="BI133" i="65"/>
  <c r="BH133" i="65"/>
  <c r="BG133" i="65"/>
  <c r="BE133" i="65"/>
  <c r="T133" i="65"/>
  <c r="T132" i="65" s="1"/>
  <c r="R133" i="65"/>
  <c r="P133" i="65"/>
  <c r="J133" i="65"/>
  <c r="BF133" i="65" s="1"/>
  <c r="R132" i="65"/>
  <c r="P132" i="65"/>
  <c r="BK131" i="65"/>
  <c r="BI131" i="65"/>
  <c r="F39" i="65" s="1"/>
  <c r="BD101" i="58" s="1"/>
  <c r="BH131" i="65"/>
  <c r="BG131" i="65"/>
  <c r="BE131" i="65"/>
  <c r="T131" i="65"/>
  <c r="T130" i="65" s="1"/>
  <c r="R131" i="65"/>
  <c r="P131" i="65"/>
  <c r="J131" i="65"/>
  <c r="BF131" i="65" s="1"/>
  <c r="BK130" i="65"/>
  <c r="J130" i="65" s="1"/>
  <c r="J98" i="65" s="1"/>
  <c r="R130" i="65"/>
  <c r="P130" i="65"/>
  <c r="F124" i="65"/>
  <c r="F122" i="65"/>
  <c r="E120" i="65"/>
  <c r="J104" i="65"/>
  <c r="F89" i="65"/>
  <c r="E87" i="65"/>
  <c r="J39" i="65"/>
  <c r="J38" i="65"/>
  <c r="J37" i="65"/>
  <c r="J31" i="65"/>
  <c r="J24" i="65"/>
  <c r="E24" i="65"/>
  <c r="J125" i="65" s="1"/>
  <c r="J23" i="65"/>
  <c r="J21" i="65"/>
  <c r="E21" i="65"/>
  <c r="J124" i="65" s="1"/>
  <c r="J20" i="65"/>
  <c r="J18" i="65"/>
  <c r="E18" i="65"/>
  <c r="F125" i="65" s="1"/>
  <c r="J17" i="65"/>
  <c r="J15" i="65"/>
  <c r="E15" i="65"/>
  <c r="F91" i="65" s="1"/>
  <c r="J14" i="65"/>
  <c r="J12" i="65"/>
  <c r="J89" i="65" s="1"/>
  <c r="E7" i="65"/>
  <c r="E118" i="65" s="1"/>
  <c r="J145" i="64"/>
  <c r="BK144" i="64"/>
  <c r="BI144" i="64"/>
  <c r="BH144" i="64"/>
  <c r="BG144" i="64"/>
  <c r="BE144" i="64"/>
  <c r="T144" i="64"/>
  <c r="T142" i="64" s="1"/>
  <c r="R144" i="64"/>
  <c r="P144" i="64"/>
  <c r="J144" i="64"/>
  <c r="BF144" i="64" s="1"/>
  <c r="BK143" i="64"/>
  <c r="BK142" i="64" s="1"/>
  <c r="J142" i="64" s="1"/>
  <c r="J103" i="64" s="1"/>
  <c r="BI143" i="64"/>
  <c r="BH143" i="64"/>
  <c r="BG143" i="64"/>
  <c r="BF143" i="64"/>
  <c r="BE143" i="64"/>
  <c r="T143" i="64"/>
  <c r="R143" i="64"/>
  <c r="R142" i="64" s="1"/>
  <c r="P143" i="64"/>
  <c r="P142" i="64" s="1"/>
  <c r="J143" i="64"/>
  <c r="BK141" i="64"/>
  <c r="BI141" i="64"/>
  <c r="BH141" i="64"/>
  <c r="BG141" i="64"/>
  <c r="BE141" i="64"/>
  <c r="T141" i="64"/>
  <c r="R141" i="64"/>
  <c r="P141" i="64"/>
  <c r="J141" i="64"/>
  <c r="BF141" i="64" s="1"/>
  <c r="BK140" i="64"/>
  <c r="BK139" i="64" s="1"/>
  <c r="J139" i="64" s="1"/>
  <c r="J102" i="64" s="1"/>
  <c r="BI140" i="64"/>
  <c r="BH140" i="64"/>
  <c r="BG140" i="64"/>
  <c r="BE140" i="64"/>
  <c r="T140" i="64"/>
  <c r="T139" i="64" s="1"/>
  <c r="R140" i="64"/>
  <c r="P140" i="64"/>
  <c r="J140" i="64"/>
  <c r="BF140" i="64" s="1"/>
  <c r="R139" i="64"/>
  <c r="P139" i="64"/>
  <c r="BK138" i="64"/>
  <c r="BI138" i="64"/>
  <c r="BH138" i="64"/>
  <c r="BG138" i="64"/>
  <c r="BE138" i="64"/>
  <c r="T138" i="64"/>
  <c r="R138" i="64"/>
  <c r="P138" i="64"/>
  <c r="J138" i="64"/>
  <c r="BF138" i="64" s="1"/>
  <c r="BK137" i="64"/>
  <c r="BI137" i="64"/>
  <c r="BH137" i="64"/>
  <c r="BG137" i="64"/>
  <c r="BE137" i="64"/>
  <c r="T137" i="64"/>
  <c r="T136" i="64" s="1"/>
  <c r="R137" i="64"/>
  <c r="R136" i="64" s="1"/>
  <c r="P137" i="64"/>
  <c r="J137" i="64"/>
  <c r="BF137" i="64" s="1"/>
  <c r="BK135" i="64"/>
  <c r="BK134" i="64" s="1"/>
  <c r="J134" i="64" s="1"/>
  <c r="J100" i="64" s="1"/>
  <c r="BI135" i="64"/>
  <c r="BH135" i="64"/>
  <c r="BG135" i="64"/>
  <c r="BE135" i="64"/>
  <c r="T135" i="64"/>
  <c r="R135" i="64"/>
  <c r="R134" i="64" s="1"/>
  <c r="P135" i="64"/>
  <c r="J135" i="64"/>
  <c r="BF135" i="64" s="1"/>
  <c r="T134" i="64"/>
  <c r="P134" i="64"/>
  <c r="BK133" i="64"/>
  <c r="BK132" i="64" s="1"/>
  <c r="J132" i="64" s="1"/>
  <c r="J99" i="64" s="1"/>
  <c r="BI133" i="64"/>
  <c r="BH133" i="64"/>
  <c r="BG133" i="64"/>
  <c r="BF133" i="64"/>
  <c r="BE133" i="64"/>
  <c r="T133" i="64"/>
  <c r="R133" i="64"/>
  <c r="P133" i="64"/>
  <c r="J133" i="64"/>
  <c r="T132" i="64"/>
  <c r="R132" i="64"/>
  <c r="P132" i="64"/>
  <c r="BK131" i="64"/>
  <c r="BI131" i="64"/>
  <c r="BH131" i="64"/>
  <c r="BG131" i="64"/>
  <c r="BE131" i="64"/>
  <c r="T131" i="64"/>
  <c r="T130" i="64" s="1"/>
  <c r="R131" i="64"/>
  <c r="R130" i="64" s="1"/>
  <c r="P131" i="64"/>
  <c r="J131" i="64"/>
  <c r="BF131" i="64" s="1"/>
  <c r="BK130" i="64"/>
  <c r="J130" i="64" s="1"/>
  <c r="J98" i="64" s="1"/>
  <c r="P130" i="64"/>
  <c r="F122" i="64"/>
  <c r="E120" i="64"/>
  <c r="J104" i="64"/>
  <c r="F89" i="64"/>
  <c r="E87" i="64"/>
  <c r="J39" i="64"/>
  <c r="J38" i="64"/>
  <c r="J37" i="64"/>
  <c r="J31" i="64"/>
  <c r="J24" i="64"/>
  <c r="E24" i="64"/>
  <c r="J125" i="64" s="1"/>
  <c r="J23" i="64"/>
  <c r="J21" i="64"/>
  <c r="E21" i="64"/>
  <c r="J91" i="64" s="1"/>
  <c r="J20" i="64"/>
  <c r="J18" i="64"/>
  <c r="E18" i="64"/>
  <c r="F125" i="64" s="1"/>
  <c r="J17" i="64"/>
  <c r="J15" i="64"/>
  <c r="E15" i="64"/>
  <c r="F91" i="64" s="1"/>
  <c r="J14" i="64"/>
  <c r="J12" i="64"/>
  <c r="E7" i="64"/>
  <c r="BK213" i="63"/>
  <c r="BK212" i="63" s="1"/>
  <c r="BI213" i="63"/>
  <c r="BH213" i="63"/>
  <c r="BG213" i="63"/>
  <c r="BE213" i="63"/>
  <c r="T213" i="63"/>
  <c r="R213" i="63"/>
  <c r="R212" i="63" s="1"/>
  <c r="R211" i="63" s="1"/>
  <c r="P213" i="63"/>
  <c r="J213" i="63"/>
  <c r="BF213" i="63" s="1"/>
  <c r="T212" i="63"/>
  <c r="T211" i="63" s="1"/>
  <c r="P212" i="63"/>
  <c r="P211" i="63"/>
  <c r="BK210" i="63"/>
  <c r="BI210" i="63"/>
  <c r="BH210" i="63"/>
  <c r="BG210" i="63"/>
  <c r="BE210" i="63"/>
  <c r="T210" i="63"/>
  <c r="R210" i="63"/>
  <c r="P210" i="63"/>
  <c r="J210" i="63"/>
  <c r="BF210" i="63" s="1"/>
  <c r="BI209" i="63"/>
  <c r="BH209" i="63"/>
  <c r="BG209" i="63"/>
  <c r="BE209" i="63"/>
  <c r="BI208" i="63"/>
  <c r="BH208" i="63"/>
  <c r="BG208" i="63"/>
  <c r="BE208" i="63"/>
  <c r="BI207" i="63"/>
  <c r="BH207" i="63"/>
  <c r="BG207" i="63"/>
  <c r="BE207" i="63"/>
  <c r="BK206" i="63"/>
  <c r="BI206" i="63"/>
  <c r="BH206" i="63"/>
  <c r="BG206" i="63"/>
  <c r="BE206" i="63"/>
  <c r="T206" i="63"/>
  <c r="R206" i="63"/>
  <c r="P206" i="63"/>
  <c r="J206" i="63"/>
  <c r="BF206" i="63" s="1"/>
  <c r="BI204" i="63"/>
  <c r="BH204" i="63"/>
  <c r="BG204" i="63"/>
  <c r="BE204" i="63"/>
  <c r="BI203" i="63"/>
  <c r="BH203" i="63"/>
  <c r="BG203" i="63"/>
  <c r="BE203" i="63"/>
  <c r="BI202" i="63"/>
  <c r="BH202" i="63"/>
  <c r="BG202" i="63"/>
  <c r="BE202" i="63"/>
  <c r="BI201" i="63"/>
  <c r="BH201" i="63"/>
  <c r="BG201" i="63"/>
  <c r="BE201" i="63"/>
  <c r="BI200" i="63"/>
  <c r="BH200" i="63"/>
  <c r="BG200" i="63"/>
  <c r="BE200" i="63"/>
  <c r="BK199" i="63"/>
  <c r="BI199" i="63"/>
  <c r="BH199" i="63"/>
  <c r="BG199" i="63"/>
  <c r="BE199" i="63"/>
  <c r="T199" i="63"/>
  <c r="R199" i="63"/>
  <c r="P199" i="63"/>
  <c r="J199" i="63"/>
  <c r="BF199" i="63" s="1"/>
  <c r="BK198" i="63"/>
  <c r="BI198" i="63"/>
  <c r="BH198" i="63"/>
  <c r="BG198" i="63"/>
  <c r="BF198" i="63"/>
  <c r="BE198" i="63"/>
  <c r="T198" i="63"/>
  <c r="R198" i="63"/>
  <c r="P198" i="63"/>
  <c r="J198" i="63"/>
  <c r="BK197" i="63"/>
  <c r="BI197" i="63"/>
  <c r="BH197" i="63"/>
  <c r="BG197" i="63"/>
  <c r="BE197" i="63"/>
  <c r="T197" i="63"/>
  <c r="R197" i="63"/>
  <c r="P197" i="63"/>
  <c r="J197" i="63"/>
  <c r="BF197" i="63" s="1"/>
  <c r="BK196" i="63"/>
  <c r="BI196" i="63"/>
  <c r="BH196" i="63"/>
  <c r="BG196" i="63"/>
  <c r="BE196" i="63"/>
  <c r="T196" i="63"/>
  <c r="R196" i="63"/>
  <c r="P196" i="63"/>
  <c r="J196" i="63"/>
  <c r="BF196" i="63" s="1"/>
  <c r="BK195" i="63"/>
  <c r="BI195" i="63"/>
  <c r="BH195" i="63"/>
  <c r="BG195" i="63"/>
  <c r="BE195" i="63"/>
  <c r="T195" i="63"/>
  <c r="R195" i="63"/>
  <c r="P195" i="63"/>
  <c r="J195" i="63"/>
  <c r="BF195" i="63" s="1"/>
  <c r="BK194" i="63"/>
  <c r="BI194" i="63"/>
  <c r="BH194" i="63"/>
  <c r="BG194" i="63"/>
  <c r="BF194" i="63"/>
  <c r="BE194" i="63"/>
  <c r="T194" i="63"/>
  <c r="R194" i="63"/>
  <c r="P194" i="63"/>
  <c r="J194" i="63"/>
  <c r="BK193" i="63"/>
  <c r="BI193" i="63"/>
  <c r="BH193" i="63"/>
  <c r="BG193" i="63"/>
  <c r="BE193" i="63"/>
  <c r="T193" i="63"/>
  <c r="R193" i="63"/>
  <c r="P193" i="63"/>
  <c r="J193" i="63"/>
  <c r="BF193" i="63" s="1"/>
  <c r="BK192" i="63"/>
  <c r="BI192" i="63"/>
  <c r="BH192" i="63"/>
  <c r="BG192" i="63"/>
  <c r="BF192" i="63"/>
  <c r="BE192" i="63"/>
  <c r="T192" i="63"/>
  <c r="R192" i="63"/>
  <c r="P192" i="63"/>
  <c r="J192" i="63"/>
  <c r="BK191" i="63"/>
  <c r="BI191" i="63"/>
  <c r="BH191" i="63"/>
  <c r="BG191" i="63"/>
  <c r="BE191" i="63"/>
  <c r="T191" i="63"/>
  <c r="R191" i="63"/>
  <c r="P191" i="63"/>
  <c r="J191" i="63"/>
  <c r="BF191" i="63" s="1"/>
  <c r="BK190" i="63"/>
  <c r="BI190" i="63"/>
  <c r="BH190" i="63"/>
  <c r="BG190" i="63"/>
  <c r="BE190" i="63"/>
  <c r="T190" i="63"/>
  <c r="R190" i="63"/>
  <c r="P190" i="63"/>
  <c r="J190" i="63"/>
  <c r="BF190" i="63" s="1"/>
  <c r="BK189" i="63"/>
  <c r="BI189" i="63"/>
  <c r="BH189" i="63"/>
  <c r="BG189" i="63"/>
  <c r="BE189" i="63"/>
  <c r="T189" i="63"/>
  <c r="R189" i="63"/>
  <c r="P189" i="63"/>
  <c r="J189" i="63"/>
  <c r="BF189" i="63" s="1"/>
  <c r="BK188" i="63"/>
  <c r="BI188" i="63"/>
  <c r="BH188" i="63"/>
  <c r="BG188" i="63"/>
  <c r="BF188" i="63"/>
  <c r="BE188" i="63"/>
  <c r="T188" i="63"/>
  <c r="R188" i="63"/>
  <c r="P188" i="63"/>
  <c r="J188" i="63"/>
  <c r="BK187" i="63"/>
  <c r="BI187" i="63"/>
  <c r="BH187" i="63"/>
  <c r="BG187" i="63"/>
  <c r="BE187" i="63"/>
  <c r="T187" i="63"/>
  <c r="R187" i="63"/>
  <c r="P187" i="63"/>
  <c r="J187" i="63"/>
  <c r="BF187" i="63" s="1"/>
  <c r="BK186" i="63"/>
  <c r="BI186" i="63"/>
  <c r="BH186" i="63"/>
  <c r="BG186" i="63"/>
  <c r="BF186" i="63"/>
  <c r="BE186" i="63"/>
  <c r="T186" i="63"/>
  <c r="R186" i="63"/>
  <c r="P186" i="63"/>
  <c r="J186" i="63"/>
  <c r="BK185" i="63"/>
  <c r="BI185" i="63"/>
  <c r="BH185" i="63"/>
  <c r="BG185" i="63"/>
  <c r="BE185" i="63"/>
  <c r="T185" i="63"/>
  <c r="R185" i="63"/>
  <c r="P185" i="63"/>
  <c r="J185" i="63"/>
  <c r="BF185" i="63" s="1"/>
  <c r="BK184" i="63"/>
  <c r="BI184" i="63"/>
  <c r="BH184" i="63"/>
  <c r="BG184" i="63"/>
  <c r="BE184" i="63"/>
  <c r="T184" i="63"/>
  <c r="R184" i="63"/>
  <c r="P184" i="63"/>
  <c r="J184" i="63"/>
  <c r="BF184" i="63" s="1"/>
  <c r="BK183" i="63"/>
  <c r="BI183" i="63"/>
  <c r="BH183" i="63"/>
  <c r="BG183" i="63"/>
  <c r="BE183" i="63"/>
  <c r="T183" i="63"/>
  <c r="R183" i="63"/>
  <c r="P183" i="63"/>
  <c r="J183" i="63"/>
  <c r="BF183" i="63" s="1"/>
  <c r="BK182" i="63"/>
  <c r="BI182" i="63"/>
  <c r="BH182" i="63"/>
  <c r="BG182" i="63"/>
  <c r="BF182" i="63"/>
  <c r="BE182" i="63"/>
  <c r="T182" i="63"/>
  <c r="R182" i="63"/>
  <c r="P182" i="63"/>
  <c r="J182" i="63"/>
  <c r="BK181" i="63"/>
  <c r="BI181" i="63"/>
  <c r="BH181" i="63"/>
  <c r="BG181" i="63"/>
  <c r="BE181" i="63"/>
  <c r="T181" i="63"/>
  <c r="R181" i="63"/>
  <c r="P181" i="63"/>
  <c r="J181" i="63"/>
  <c r="BF181" i="63" s="1"/>
  <c r="BK180" i="63"/>
  <c r="BI180" i="63"/>
  <c r="BH180" i="63"/>
  <c r="BG180" i="63"/>
  <c r="BE180" i="63"/>
  <c r="T180" i="63"/>
  <c r="R180" i="63"/>
  <c r="P180" i="63"/>
  <c r="J180" i="63"/>
  <c r="BF180" i="63" s="1"/>
  <c r="BK179" i="63"/>
  <c r="BI179" i="63"/>
  <c r="BH179" i="63"/>
  <c r="BG179" i="63"/>
  <c r="BE179" i="63"/>
  <c r="T179" i="63"/>
  <c r="R179" i="63"/>
  <c r="P179" i="63"/>
  <c r="J179" i="63"/>
  <c r="BF179" i="63" s="1"/>
  <c r="BK178" i="63"/>
  <c r="BI178" i="63"/>
  <c r="BH178" i="63"/>
  <c r="BG178" i="63"/>
  <c r="BE178" i="63"/>
  <c r="T178" i="63"/>
  <c r="R178" i="63"/>
  <c r="P178" i="63"/>
  <c r="J178" i="63"/>
  <c r="BF178" i="63" s="1"/>
  <c r="BK177" i="63"/>
  <c r="BI177" i="63"/>
  <c r="BH177" i="63"/>
  <c r="BG177" i="63"/>
  <c r="BE177" i="63"/>
  <c r="T177" i="63"/>
  <c r="R177" i="63"/>
  <c r="P177" i="63"/>
  <c r="J177" i="63"/>
  <c r="BF177" i="63" s="1"/>
  <c r="BK176" i="63"/>
  <c r="BI176" i="63"/>
  <c r="BH176" i="63"/>
  <c r="BG176" i="63"/>
  <c r="BF176" i="63"/>
  <c r="BE176" i="63"/>
  <c r="T176" i="63"/>
  <c r="R176" i="63"/>
  <c r="P176" i="63"/>
  <c r="J176" i="63"/>
  <c r="BK174" i="63"/>
  <c r="BI174" i="63"/>
  <c r="BH174" i="63"/>
  <c r="BG174" i="63"/>
  <c r="BE174" i="63"/>
  <c r="T174" i="63"/>
  <c r="R174" i="63"/>
  <c r="P174" i="63"/>
  <c r="J174" i="63"/>
  <c r="BF174" i="63" s="1"/>
  <c r="BK173" i="63"/>
  <c r="BI173" i="63"/>
  <c r="BH173" i="63"/>
  <c r="BG173" i="63"/>
  <c r="BE173" i="63"/>
  <c r="T173" i="63"/>
  <c r="R173" i="63"/>
  <c r="P173" i="63"/>
  <c r="J173" i="63"/>
  <c r="BF173" i="63" s="1"/>
  <c r="BK172" i="63"/>
  <c r="BI172" i="63"/>
  <c r="BH172" i="63"/>
  <c r="BG172" i="63"/>
  <c r="BE172" i="63"/>
  <c r="T172" i="63"/>
  <c r="R172" i="63"/>
  <c r="P172" i="63"/>
  <c r="J172" i="63"/>
  <c r="BF172" i="63" s="1"/>
  <c r="BK171" i="63"/>
  <c r="BI171" i="63"/>
  <c r="BH171" i="63"/>
  <c r="BG171" i="63"/>
  <c r="BE171" i="63"/>
  <c r="T171" i="63"/>
  <c r="R171" i="63"/>
  <c r="P171" i="63"/>
  <c r="J171" i="63"/>
  <c r="BF171" i="63" s="1"/>
  <c r="BK170" i="63"/>
  <c r="BI170" i="63"/>
  <c r="BH170" i="63"/>
  <c r="BG170" i="63"/>
  <c r="BE170" i="63"/>
  <c r="T170" i="63"/>
  <c r="R170" i="63"/>
  <c r="P170" i="63"/>
  <c r="J170" i="63"/>
  <c r="BF170" i="63" s="1"/>
  <c r="BK169" i="63"/>
  <c r="BI169" i="63"/>
  <c r="BH169" i="63"/>
  <c r="BG169" i="63"/>
  <c r="BE169" i="63"/>
  <c r="T169" i="63"/>
  <c r="R169" i="63"/>
  <c r="P169" i="63"/>
  <c r="J169" i="63"/>
  <c r="BF169" i="63" s="1"/>
  <c r="BK168" i="63"/>
  <c r="BI168" i="63"/>
  <c r="BH168" i="63"/>
  <c r="BG168" i="63"/>
  <c r="BE168" i="63"/>
  <c r="T168" i="63"/>
  <c r="R168" i="63"/>
  <c r="P168" i="63"/>
  <c r="J168" i="63"/>
  <c r="BF168" i="63" s="1"/>
  <c r="BK167" i="63"/>
  <c r="BI167" i="63"/>
  <c r="BH167" i="63"/>
  <c r="BG167" i="63"/>
  <c r="BE167" i="63"/>
  <c r="T167" i="63"/>
  <c r="R167" i="63"/>
  <c r="P167" i="63"/>
  <c r="J167" i="63"/>
  <c r="BF167" i="63" s="1"/>
  <c r="BK166" i="63"/>
  <c r="BI166" i="63"/>
  <c r="BH166" i="63"/>
  <c r="BG166" i="63"/>
  <c r="BE166" i="63"/>
  <c r="T166" i="63"/>
  <c r="R166" i="63"/>
  <c r="P166" i="63"/>
  <c r="J166" i="63"/>
  <c r="BF166" i="63" s="1"/>
  <c r="BK165" i="63"/>
  <c r="BI165" i="63"/>
  <c r="BH165" i="63"/>
  <c r="BG165" i="63"/>
  <c r="BE165" i="63"/>
  <c r="T165" i="63"/>
  <c r="R165" i="63"/>
  <c r="P165" i="63"/>
  <c r="J165" i="63"/>
  <c r="BF165" i="63" s="1"/>
  <c r="BK164" i="63"/>
  <c r="BI164" i="63"/>
  <c r="BH164" i="63"/>
  <c r="BG164" i="63"/>
  <c r="BE164" i="63"/>
  <c r="T164" i="63"/>
  <c r="R164" i="63"/>
  <c r="P164" i="63"/>
  <c r="J164" i="63"/>
  <c r="BF164" i="63" s="1"/>
  <c r="BK163" i="63"/>
  <c r="BI163" i="63"/>
  <c r="BH163" i="63"/>
  <c r="BG163" i="63"/>
  <c r="BF163" i="63"/>
  <c r="BE163" i="63"/>
  <c r="T163" i="63"/>
  <c r="R163" i="63"/>
  <c r="P163" i="63"/>
  <c r="J163" i="63"/>
  <c r="BK162" i="63"/>
  <c r="BI162" i="63"/>
  <c r="BH162" i="63"/>
  <c r="BG162" i="63"/>
  <c r="BE162" i="63"/>
  <c r="T162" i="63"/>
  <c r="R162" i="63"/>
  <c r="P162" i="63"/>
  <c r="J162" i="63"/>
  <c r="BF162" i="63" s="1"/>
  <c r="BK161" i="63"/>
  <c r="BI161" i="63"/>
  <c r="BH161" i="63"/>
  <c r="BG161" i="63"/>
  <c r="BE161" i="63"/>
  <c r="T161" i="63"/>
  <c r="R161" i="63"/>
  <c r="P161" i="63"/>
  <c r="J161" i="63"/>
  <c r="BF161" i="63" s="1"/>
  <c r="BK160" i="63"/>
  <c r="BI160" i="63"/>
  <c r="BH160" i="63"/>
  <c r="BG160" i="63"/>
  <c r="BE160" i="63"/>
  <c r="T160" i="63"/>
  <c r="R160" i="63"/>
  <c r="P160" i="63"/>
  <c r="J160" i="63"/>
  <c r="BF160" i="63" s="1"/>
  <c r="BK159" i="63"/>
  <c r="BI159" i="63"/>
  <c r="BH159" i="63"/>
  <c r="BG159" i="63"/>
  <c r="BF159" i="63"/>
  <c r="BE159" i="63"/>
  <c r="T159" i="63"/>
  <c r="R159" i="63"/>
  <c r="P159" i="63"/>
  <c r="J159" i="63"/>
  <c r="BK158" i="63"/>
  <c r="BI158" i="63"/>
  <c r="BH158" i="63"/>
  <c r="BG158" i="63"/>
  <c r="BE158" i="63"/>
  <c r="T158" i="63"/>
  <c r="R158" i="63"/>
  <c r="P158" i="63"/>
  <c r="J158" i="63"/>
  <c r="BF158" i="63" s="1"/>
  <c r="BK157" i="63"/>
  <c r="BI157" i="63"/>
  <c r="BH157" i="63"/>
  <c r="BG157" i="63"/>
  <c r="BF157" i="63"/>
  <c r="BE157" i="63"/>
  <c r="T157" i="63"/>
  <c r="R157" i="63"/>
  <c r="P157" i="63"/>
  <c r="J157" i="63"/>
  <c r="BK156" i="63"/>
  <c r="BI156" i="63"/>
  <c r="BH156" i="63"/>
  <c r="BG156" i="63"/>
  <c r="BE156" i="63"/>
  <c r="T156" i="63"/>
  <c r="R156" i="63"/>
  <c r="P156" i="63"/>
  <c r="J156" i="63"/>
  <c r="BF156" i="63" s="1"/>
  <c r="BK155" i="63"/>
  <c r="BK153" i="63" s="1"/>
  <c r="J153" i="63" s="1"/>
  <c r="J99" i="63" s="1"/>
  <c r="BI155" i="63"/>
  <c r="BH155" i="63"/>
  <c r="BG155" i="63"/>
  <c r="BE155" i="63"/>
  <c r="T155" i="63"/>
  <c r="R155" i="63"/>
  <c r="P155" i="63"/>
  <c r="J155" i="63"/>
  <c r="BF155" i="63" s="1"/>
  <c r="BK154" i="63"/>
  <c r="BI154" i="63"/>
  <c r="BH154" i="63"/>
  <c r="BG154" i="63"/>
  <c r="BE154" i="63"/>
  <c r="T154" i="63"/>
  <c r="T153" i="63" s="1"/>
  <c r="R154" i="63"/>
  <c r="P154" i="63"/>
  <c r="J154" i="63"/>
  <c r="BF154" i="63" s="1"/>
  <c r="P153" i="63"/>
  <c r="BK152" i="63"/>
  <c r="BI152" i="63"/>
  <c r="BH152" i="63"/>
  <c r="BG152" i="63"/>
  <c r="BE152" i="63"/>
  <c r="T152" i="63"/>
  <c r="R152" i="63"/>
  <c r="P152" i="63"/>
  <c r="J152" i="63"/>
  <c r="BF152" i="63" s="1"/>
  <c r="BK151" i="63"/>
  <c r="BI151" i="63"/>
  <c r="BH151" i="63"/>
  <c r="BG151" i="63"/>
  <c r="BE151" i="63"/>
  <c r="T151" i="63"/>
  <c r="R151" i="63"/>
  <c r="P151" i="63"/>
  <c r="J151" i="63"/>
  <c r="BF151" i="63" s="1"/>
  <c r="BK150" i="63"/>
  <c r="BI150" i="63"/>
  <c r="BH150" i="63"/>
  <c r="BG150" i="63"/>
  <c r="BE150" i="63"/>
  <c r="T150" i="63"/>
  <c r="R150" i="63"/>
  <c r="P150" i="63"/>
  <c r="J150" i="63"/>
  <c r="BF150" i="63" s="1"/>
  <c r="BK149" i="63"/>
  <c r="BI149" i="63"/>
  <c r="BH149" i="63"/>
  <c r="BG149" i="63"/>
  <c r="BE149" i="63"/>
  <c r="T149" i="63"/>
  <c r="R149" i="63"/>
  <c r="P149" i="63"/>
  <c r="J149" i="63"/>
  <c r="BF149" i="63" s="1"/>
  <c r="BK148" i="63"/>
  <c r="BI148" i="63"/>
  <c r="BH148" i="63"/>
  <c r="BG148" i="63"/>
  <c r="BE148" i="63"/>
  <c r="T148" i="63"/>
  <c r="R148" i="63"/>
  <c r="P148" i="63"/>
  <c r="J148" i="63"/>
  <c r="BF148" i="63" s="1"/>
  <c r="BK147" i="63"/>
  <c r="BI147" i="63"/>
  <c r="BH147" i="63"/>
  <c r="BG147" i="63"/>
  <c r="BF147" i="63"/>
  <c r="BE147" i="63"/>
  <c r="T147" i="63"/>
  <c r="R147" i="63"/>
  <c r="P147" i="63"/>
  <c r="J147" i="63"/>
  <c r="BK146" i="63"/>
  <c r="BI146" i="63"/>
  <c r="BH146" i="63"/>
  <c r="BG146" i="63"/>
  <c r="BE146" i="63"/>
  <c r="T146" i="63"/>
  <c r="R146" i="63"/>
  <c r="P146" i="63"/>
  <c r="J146" i="63"/>
  <c r="BF146" i="63" s="1"/>
  <c r="BK145" i="63"/>
  <c r="BI145" i="63"/>
  <c r="BH145" i="63"/>
  <c r="BG145" i="63"/>
  <c r="BE145" i="63"/>
  <c r="T145" i="63"/>
  <c r="R145" i="63"/>
  <c r="P145" i="63"/>
  <c r="J145" i="63"/>
  <c r="BF145" i="63" s="1"/>
  <c r="BK144" i="63"/>
  <c r="BI144" i="63"/>
  <c r="BH144" i="63"/>
  <c r="BG144" i="63"/>
  <c r="BE144" i="63"/>
  <c r="T144" i="63"/>
  <c r="R144" i="63"/>
  <c r="P144" i="63"/>
  <c r="J144" i="63"/>
  <c r="BF144" i="63" s="1"/>
  <c r="BK143" i="63"/>
  <c r="BI143" i="63"/>
  <c r="BH143" i="63"/>
  <c r="BG143" i="63"/>
  <c r="BF143" i="63"/>
  <c r="BE143" i="63"/>
  <c r="T143" i="63"/>
  <c r="R143" i="63"/>
  <c r="P143" i="63"/>
  <c r="J143" i="63"/>
  <c r="BK142" i="63"/>
  <c r="BI142" i="63"/>
  <c r="BH142" i="63"/>
  <c r="BG142" i="63"/>
  <c r="BF142" i="63"/>
  <c r="BE142" i="63"/>
  <c r="T142" i="63"/>
  <c r="R142" i="63"/>
  <c r="P142" i="63"/>
  <c r="J142" i="63"/>
  <c r="BK141" i="63"/>
  <c r="BI141" i="63"/>
  <c r="BH141" i="63"/>
  <c r="BG141" i="63"/>
  <c r="BE141" i="63"/>
  <c r="T141" i="63"/>
  <c r="R141" i="63"/>
  <c r="P141" i="63"/>
  <c r="J141" i="63"/>
  <c r="BF141" i="63" s="1"/>
  <c r="BK140" i="63"/>
  <c r="BI140" i="63"/>
  <c r="BH140" i="63"/>
  <c r="BG140" i="63"/>
  <c r="BE140" i="63"/>
  <c r="T140" i="63"/>
  <c r="R140" i="63"/>
  <c r="P140" i="63"/>
  <c r="J140" i="63"/>
  <c r="BF140" i="63" s="1"/>
  <c r="BK139" i="63"/>
  <c r="BI139" i="63"/>
  <c r="BH139" i="63"/>
  <c r="BG139" i="63"/>
  <c r="BF139" i="63"/>
  <c r="BE139" i="63"/>
  <c r="T139" i="63"/>
  <c r="R139" i="63"/>
  <c r="P139" i="63"/>
  <c r="J139" i="63"/>
  <c r="BK138" i="63"/>
  <c r="BI138" i="63"/>
  <c r="BH138" i="63"/>
  <c r="BG138" i="63"/>
  <c r="BE138" i="63"/>
  <c r="T138" i="63"/>
  <c r="R138" i="63"/>
  <c r="P138" i="63"/>
  <c r="J138" i="63"/>
  <c r="BF138" i="63" s="1"/>
  <c r="BK137" i="63"/>
  <c r="BI137" i="63"/>
  <c r="BH137" i="63"/>
  <c r="BG137" i="63"/>
  <c r="BF137" i="63"/>
  <c r="BE137" i="63"/>
  <c r="T137" i="63"/>
  <c r="R137" i="63"/>
  <c r="P137" i="63"/>
  <c r="J137" i="63"/>
  <c r="BK136" i="63"/>
  <c r="BI136" i="63"/>
  <c r="BH136" i="63"/>
  <c r="BG136" i="63"/>
  <c r="BE136" i="63"/>
  <c r="T136" i="63"/>
  <c r="R136" i="63"/>
  <c r="P136" i="63"/>
  <c r="J136" i="63"/>
  <c r="BF136" i="63" s="1"/>
  <c r="BK135" i="63"/>
  <c r="BI135" i="63"/>
  <c r="BH135" i="63"/>
  <c r="BG135" i="63"/>
  <c r="BE135" i="63"/>
  <c r="T135" i="63"/>
  <c r="R135" i="63"/>
  <c r="P135" i="63"/>
  <c r="J135" i="63"/>
  <c r="BF135" i="63" s="1"/>
  <c r="BK134" i="63"/>
  <c r="BI134" i="63"/>
  <c r="BH134" i="63"/>
  <c r="BG134" i="63"/>
  <c r="BF134" i="63"/>
  <c r="BE134" i="63"/>
  <c r="T134" i="63"/>
  <c r="R134" i="63"/>
  <c r="P134" i="63"/>
  <c r="J134" i="63"/>
  <c r="BK133" i="63"/>
  <c r="BI133" i="63"/>
  <c r="BH133" i="63"/>
  <c r="BG133" i="63"/>
  <c r="BF133" i="63"/>
  <c r="BE133" i="63"/>
  <c r="T133" i="63"/>
  <c r="R133" i="63"/>
  <c r="P133" i="63"/>
  <c r="J133" i="63"/>
  <c r="BK132" i="63"/>
  <c r="BI132" i="63"/>
  <c r="BH132" i="63"/>
  <c r="BG132" i="63"/>
  <c r="BE132" i="63"/>
  <c r="T132" i="63"/>
  <c r="R132" i="63"/>
  <c r="P132" i="63"/>
  <c r="J132" i="63"/>
  <c r="BF132" i="63" s="1"/>
  <c r="BK131" i="63"/>
  <c r="BI131" i="63"/>
  <c r="BH131" i="63"/>
  <c r="BG131" i="63"/>
  <c r="BE131" i="63"/>
  <c r="T131" i="63"/>
  <c r="R131" i="63"/>
  <c r="P131" i="63"/>
  <c r="J131" i="63"/>
  <c r="BF131" i="63" s="1"/>
  <c r="BK130" i="63"/>
  <c r="BI130" i="63"/>
  <c r="BH130" i="63"/>
  <c r="BG130" i="63"/>
  <c r="BE130" i="63"/>
  <c r="T130" i="63"/>
  <c r="R130" i="63"/>
  <c r="P130" i="63"/>
  <c r="J130" i="63"/>
  <c r="BF130" i="63" s="1"/>
  <c r="R129" i="63"/>
  <c r="F121" i="63"/>
  <c r="E119" i="63"/>
  <c r="F89" i="63"/>
  <c r="E87" i="63"/>
  <c r="J39" i="63"/>
  <c r="J38" i="63"/>
  <c r="J37" i="63"/>
  <c r="J31" i="63"/>
  <c r="J24" i="63"/>
  <c r="E24" i="63"/>
  <c r="J124" i="63" s="1"/>
  <c r="J23" i="63"/>
  <c r="J21" i="63"/>
  <c r="E21" i="63"/>
  <c r="J123" i="63" s="1"/>
  <c r="J20" i="63"/>
  <c r="J18" i="63"/>
  <c r="E18" i="63"/>
  <c r="F92" i="63" s="1"/>
  <c r="J17" i="63"/>
  <c r="J15" i="63"/>
  <c r="E15" i="63"/>
  <c r="F123" i="63" s="1"/>
  <c r="J14" i="63"/>
  <c r="J12" i="63"/>
  <c r="J121" i="63" s="1"/>
  <c r="E7" i="63"/>
  <c r="E117" i="63" s="1"/>
  <c r="BI241" i="62"/>
  <c r="BH241" i="62"/>
  <c r="BG241" i="62"/>
  <c r="BE241" i="62"/>
  <c r="BI240" i="62"/>
  <c r="BH240" i="62"/>
  <c r="BG240" i="62"/>
  <c r="BE240" i="62"/>
  <c r="BK239" i="62"/>
  <c r="BI239" i="62"/>
  <c r="BH239" i="62"/>
  <c r="BG239" i="62"/>
  <c r="BE239" i="62"/>
  <c r="T239" i="62"/>
  <c r="R239" i="62"/>
  <c r="P239" i="62"/>
  <c r="J239" i="62"/>
  <c r="BF239" i="62" s="1"/>
  <c r="BI238" i="62"/>
  <c r="BH238" i="62"/>
  <c r="BG238" i="62"/>
  <c r="BE238" i="62"/>
  <c r="BI237" i="62"/>
  <c r="BH237" i="62"/>
  <c r="BG237" i="62"/>
  <c r="BE237" i="62"/>
  <c r="BI235" i="62"/>
  <c r="BH235" i="62"/>
  <c r="BG235" i="62"/>
  <c r="BE235" i="62"/>
  <c r="BI234" i="62"/>
  <c r="BH234" i="62"/>
  <c r="BG234" i="62"/>
  <c r="BE234" i="62"/>
  <c r="BI233" i="62"/>
  <c r="BH233" i="62"/>
  <c r="BG233" i="62"/>
  <c r="BE233" i="62"/>
  <c r="BI232" i="62"/>
  <c r="BH232" i="62"/>
  <c r="BG232" i="62"/>
  <c r="BE232" i="62"/>
  <c r="BI231" i="62"/>
  <c r="BH231" i="62"/>
  <c r="BG231" i="62"/>
  <c r="BE231" i="62"/>
  <c r="BK230" i="62"/>
  <c r="BI230" i="62"/>
  <c r="BH230" i="62"/>
  <c r="BG230" i="62"/>
  <c r="BE230" i="62"/>
  <c r="T230" i="62"/>
  <c r="R230" i="62"/>
  <c r="P230" i="62"/>
  <c r="J230" i="62"/>
  <c r="BF230" i="62" s="1"/>
  <c r="BK229" i="62"/>
  <c r="BI229" i="62"/>
  <c r="BH229" i="62"/>
  <c r="BG229" i="62"/>
  <c r="BE229" i="62"/>
  <c r="T229" i="62"/>
  <c r="R229" i="62"/>
  <c r="P229" i="62"/>
  <c r="J229" i="62"/>
  <c r="BF229" i="62" s="1"/>
  <c r="BK228" i="62"/>
  <c r="BI228" i="62"/>
  <c r="BH228" i="62"/>
  <c r="BG228" i="62"/>
  <c r="BE228" i="62"/>
  <c r="T228" i="62"/>
  <c r="R228" i="62"/>
  <c r="P228" i="62"/>
  <c r="J228" i="62"/>
  <c r="BF228" i="62" s="1"/>
  <c r="BK227" i="62"/>
  <c r="BI227" i="62"/>
  <c r="BH227" i="62"/>
  <c r="BG227" i="62"/>
  <c r="BE227" i="62"/>
  <c r="T227" i="62"/>
  <c r="R227" i="62"/>
  <c r="P227" i="62"/>
  <c r="J227" i="62"/>
  <c r="BF227" i="62" s="1"/>
  <c r="BK226" i="62"/>
  <c r="BI226" i="62"/>
  <c r="BH226" i="62"/>
  <c r="BG226" i="62"/>
  <c r="BE226" i="62"/>
  <c r="T226" i="62"/>
  <c r="R226" i="62"/>
  <c r="P226" i="62"/>
  <c r="J226" i="62"/>
  <c r="BF226" i="62" s="1"/>
  <c r="BK225" i="62"/>
  <c r="BI225" i="62"/>
  <c r="BH225" i="62"/>
  <c r="BG225" i="62"/>
  <c r="BE225" i="62"/>
  <c r="T225" i="62"/>
  <c r="R225" i="62"/>
  <c r="P225" i="62"/>
  <c r="J225" i="62"/>
  <c r="BF225" i="62" s="1"/>
  <c r="BK224" i="62"/>
  <c r="BI224" i="62"/>
  <c r="BH224" i="62"/>
  <c r="BG224" i="62"/>
  <c r="BE224" i="62"/>
  <c r="T224" i="62"/>
  <c r="R224" i="62"/>
  <c r="P224" i="62"/>
  <c r="J224" i="62"/>
  <c r="BF224" i="62" s="1"/>
  <c r="BK223" i="62"/>
  <c r="BI223" i="62"/>
  <c r="BH223" i="62"/>
  <c r="BG223" i="62"/>
  <c r="BE223" i="62"/>
  <c r="T223" i="62"/>
  <c r="R223" i="62"/>
  <c r="P223" i="62"/>
  <c r="J223" i="62"/>
  <c r="BF223" i="62" s="1"/>
  <c r="BK222" i="62"/>
  <c r="BI222" i="62"/>
  <c r="BH222" i="62"/>
  <c r="BG222" i="62"/>
  <c r="BF222" i="62"/>
  <c r="BE222" i="62"/>
  <c r="T222" i="62"/>
  <c r="R222" i="62"/>
  <c r="P222" i="62"/>
  <c r="J222" i="62"/>
  <c r="BK221" i="62"/>
  <c r="BI221" i="62"/>
  <c r="BH221" i="62"/>
  <c r="BG221" i="62"/>
  <c r="BE221" i="62"/>
  <c r="T221" i="62"/>
  <c r="R221" i="62"/>
  <c r="P221" i="62"/>
  <c r="J221" i="62"/>
  <c r="BF221" i="62" s="1"/>
  <c r="BK220" i="62"/>
  <c r="BI220" i="62"/>
  <c r="BH220" i="62"/>
  <c r="BG220" i="62"/>
  <c r="BE220" i="62"/>
  <c r="T220" i="62"/>
  <c r="R220" i="62"/>
  <c r="P220" i="62"/>
  <c r="J220" i="62"/>
  <c r="BF220" i="62" s="1"/>
  <c r="BK219" i="62"/>
  <c r="BI219" i="62"/>
  <c r="BH219" i="62"/>
  <c r="BG219" i="62"/>
  <c r="BE219" i="62"/>
  <c r="T219" i="62"/>
  <c r="R219" i="62"/>
  <c r="P219" i="62"/>
  <c r="J219" i="62"/>
  <c r="BF219" i="62" s="1"/>
  <c r="BK218" i="62"/>
  <c r="BI218" i="62"/>
  <c r="BH218" i="62"/>
  <c r="BG218" i="62"/>
  <c r="BE218" i="62"/>
  <c r="T218" i="62"/>
  <c r="R218" i="62"/>
  <c r="P218" i="62"/>
  <c r="J218" i="62"/>
  <c r="BF218" i="62" s="1"/>
  <c r="BK217" i="62"/>
  <c r="BI217" i="62"/>
  <c r="BH217" i="62"/>
  <c r="BG217" i="62"/>
  <c r="BE217" i="62"/>
  <c r="T217" i="62"/>
  <c r="R217" i="62"/>
  <c r="P217" i="62"/>
  <c r="J217" i="62"/>
  <c r="BF217" i="62" s="1"/>
  <c r="BK216" i="62"/>
  <c r="BI216" i="62"/>
  <c r="BH216" i="62"/>
  <c r="BG216" i="62"/>
  <c r="BE216" i="62"/>
  <c r="T216" i="62"/>
  <c r="R216" i="62"/>
  <c r="P216" i="62"/>
  <c r="J216" i="62"/>
  <c r="BF216" i="62" s="1"/>
  <c r="BK215" i="62"/>
  <c r="BI215" i="62"/>
  <c r="BH215" i="62"/>
  <c r="BG215" i="62"/>
  <c r="BE215" i="62"/>
  <c r="T215" i="62"/>
  <c r="R215" i="62"/>
  <c r="P215" i="62"/>
  <c r="J215" i="62"/>
  <c r="BF215" i="62" s="1"/>
  <c r="BK214" i="62"/>
  <c r="BI214" i="62"/>
  <c r="BH214" i="62"/>
  <c r="BG214" i="62"/>
  <c r="BE214" i="62"/>
  <c r="T214" i="62"/>
  <c r="R214" i="62"/>
  <c r="P214" i="62"/>
  <c r="J214" i="62"/>
  <c r="BF214" i="62" s="1"/>
  <c r="BK213" i="62"/>
  <c r="BI213" i="62"/>
  <c r="BH213" i="62"/>
  <c r="BG213" i="62"/>
  <c r="BE213" i="62"/>
  <c r="T213" i="62"/>
  <c r="R213" i="62"/>
  <c r="P213" i="62"/>
  <c r="J213" i="62"/>
  <c r="BF213" i="62" s="1"/>
  <c r="BK212" i="62"/>
  <c r="BI212" i="62"/>
  <c r="BH212" i="62"/>
  <c r="BG212" i="62"/>
  <c r="BE212" i="62"/>
  <c r="T212" i="62"/>
  <c r="R212" i="62"/>
  <c r="P212" i="62"/>
  <c r="J212" i="62"/>
  <c r="BF212" i="62" s="1"/>
  <c r="BK211" i="62"/>
  <c r="BI211" i="62"/>
  <c r="BH211" i="62"/>
  <c r="BG211" i="62"/>
  <c r="BE211" i="62"/>
  <c r="T211" i="62"/>
  <c r="R211" i="62"/>
  <c r="P211" i="62"/>
  <c r="J211" i="62"/>
  <c r="BF211" i="62" s="1"/>
  <c r="BK210" i="62"/>
  <c r="BI210" i="62"/>
  <c r="BH210" i="62"/>
  <c r="BG210" i="62"/>
  <c r="BE210" i="62"/>
  <c r="T210" i="62"/>
  <c r="R210" i="62"/>
  <c r="P210" i="62"/>
  <c r="J210" i="62"/>
  <c r="BF210" i="62" s="1"/>
  <c r="BK209" i="62"/>
  <c r="BI209" i="62"/>
  <c r="BH209" i="62"/>
  <c r="BG209" i="62"/>
  <c r="BE209" i="62"/>
  <c r="T209" i="62"/>
  <c r="R209" i="62"/>
  <c r="P209" i="62"/>
  <c r="J209" i="62"/>
  <c r="BF209" i="62" s="1"/>
  <c r="BK208" i="62"/>
  <c r="BI208" i="62"/>
  <c r="BH208" i="62"/>
  <c r="BG208" i="62"/>
  <c r="BE208" i="62"/>
  <c r="T208" i="62"/>
  <c r="R208" i="62"/>
  <c r="P208" i="62"/>
  <c r="J208" i="62"/>
  <c r="BF208" i="62" s="1"/>
  <c r="BK207" i="62"/>
  <c r="BI207" i="62"/>
  <c r="BH207" i="62"/>
  <c r="BG207" i="62"/>
  <c r="BE207" i="62"/>
  <c r="T207" i="62"/>
  <c r="R207" i="62"/>
  <c r="P207" i="62"/>
  <c r="J207" i="62"/>
  <c r="BF207" i="62" s="1"/>
  <c r="BK206" i="62"/>
  <c r="BI206" i="62"/>
  <c r="BH206" i="62"/>
  <c r="BG206" i="62"/>
  <c r="BE206" i="62"/>
  <c r="T206" i="62"/>
  <c r="R206" i="62"/>
  <c r="P206" i="62"/>
  <c r="J206" i="62"/>
  <c r="BF206" i="62" s="1"/>
  <c r="BK205" i="62"/>
  <c r="BI205" i="62"/>
  <c r="BH205" i="62"/>
  <c r="BG205" i="62"/>
  <c r="BE205" i="62"/>
  <c r="T205" i="62"/>
  <c r="R205" i="62"/>
  <c r="P205" i="62"/>
  <c r="J205" i="62"/>
  <c r="BF205" i="62" s="1"/>
  <c r="BK204" i="62"/>
  <c r="BI204" i="62"/>
  <c r="BH204" i="62"/>
  <c r="BG204" i="62"/>
  <c r="BE204" i="62"/>
  <c r="T204" i="62"/>
  <c r="R204" i="62"/>
  <c r="P204" i="62"/>
  <c r="J204" i="62"/>
  <c r="BF204" i="62" s="1"/>
  <c r="BK203" i="62"/>
  <c r="BI203" i="62"/>
  <c r="BH203" i="62"/>
  <c r="BG203" i="62"/>
  <c r="BE203" i="62"/>
  <c r="T203" i="62"/>
  <c r="R203" i="62"/>
  <c r="P203" i="62"/>
  <c r="J203" i="62"/>
  <c r="BF203" i="62" s="1"/>
  <c r="BK202" i="62"/>
  <c r="BI202" i="62"/>
  <c r="BH202" i="62"/>
  <c r="BG202" i="62"/>
  <c r="BE202" i="62"/>
  <c r="T202" i="62"/>
  <c r="R202" i="62"/>
  <c r="P202" i="62"/>
  <c r="J202" i="62"/>
  <c r="BF202" i="62" s="1"/>
  <c r="BK201" i="62"/>
  <c r="BI201" i="62"/>
  <c r="BH201" i="62"/>
  <c r="BG201" i="62"/>
  <c r="BE201" i="62"/>
  <c r="T201" i="62"/>
  <c r="R201" i="62"/>
  <c r="P201" i="62"/>
  <c r="J201" i="62"/>
  <c r="BF201" i="62" s="1"/>
  <c r="BK200" i="62"/>
  <c r="BI200" i="62"/>
  <c r="BH200" i="62"/>
  <c r="BG200" i="62"/>
  <c r="BE200" i="62"/>
  <c r="T200" i="62"/>
  <c r="R200" i="62"/>
  <c r="P200" i="62"/>
  <c r="J200" i="62"/>
  <c r="BF200" i="62" s="1"/>
  <c r="BK199" i="62"/>
  <c r="BI199" i="62"/>
  <c r="BH199" i="62"/>
  <c r="BG199" i="62"/>
  <c r="BE199" i="62"/>
  <c r="T199" i="62"/>
  <c r="R199" i="62"/>
  <c r="P199" i="62"/>
  <c r="J199" i="62"/>
  <c r="BF199" i="62" s="1"/>
  <c r="BK198" i="62"/>
  <c r="BI198" i="62"/>
  <c r="BH198" i="62"/>
  <c r="BG198" i="62"/>
  <c r="BE198" i="62"/>
  <c r="T198" i="62"/>
  <c r="R198" i="62"/>
  <c r="P198" i="62"/>
  <c r="J198" i="62"/>
  <c r="BF198" i="62" s="1"/>
  <c r="BK197" i="62"/>
  <c r="BI197" i="62"/>
  <c r="BH197" i="62"/>
  <c r="BG197" i="62"/>
  <c r="BE197" i="62"/>
  <c r="T197" i="62"/>
  <c r="R197" i="62"/>
  <c r="P197" i="62"/>
  <c r="J197" i="62"/>
  <c r="BF197" i="62" s="1"/>
  <c r="BK196" i="62"/>
  <c r="BI196" i="62"/>
  <c r="BH196" i="62"/>
  <c r="BG196" i="62"/>
  <c r="BE196" i="62"/>
  <c r="T196" i="62"/>
  <c r="R196" i="62"/>
  <c r="P196" i="62"/>
  <c r="J196" i="62"/>
  <c r="BF196" i="62" s="1"/>
  <c r="BK195" i="62"/>
  <c r="BI195" i="62"/>
  <c r="BH195" i="62"/>
  <c r="BG195" i="62"/>
  <c r="BE195" i="62"/>
  <c r="T195" i="62"/>
  <c r="R195" i="62"/>
  <c r="P195" i="62"/>
  <c r="J195" i="62"/>
  <c r="BF195" i="62" s="1"/>
  <c r="BK194" i="62"/>
  <c r="BI194" i="62"/>
  <c r="BH194" i="62"/>
  <c r="BG194" i="62"/>
  <c r="BE194" i="62"/>
  <c r="T194" i="62"/>
  <c r="R194" i="62"/>
  <c r="P194" i="62"/>
  <c r="J194" i="62"/>
  <c r="BF194" i="62" s="1"/>
  <c r="BK193" i="62"/>
  <c r="BI193" i="62"/>
  <c r="BH193" i="62"/>
  <c r="BG193" i="62"/>
  <c r="BE193" i="62"/>
  <c r="T193" i="62"/>
  <c r="R193" i="62"/>
  <c r="P193" i="62"/>
  <c r="J193" i="62"/>
  <c r="BF193" i="62" s="1"/>
  <c r="BK191" i="62"/>
  <c r="BI191" i="62"/>
  <c r="BH191" i="62"/>
  <c r="BG191" i="62"/>
  <c r="BE191" i="62"/>
  <c r="T191" i="62"/>
  <c r="T189" i="62" s="1"/>
  <c r="R191" i="62"/>
  <c r="P191" i="62"/>
  <c r="J191" i="62"/>
  <c r="BF191" i="62" s="1"/>
  <c r="BK190" i="62"/>
  <c r="BI190" i="62"/>
  <c r="BH190" i="62"/>
  <c r="BG190" i="62"/>
  <c r="BE190" i="62"/>
  <c r="T190" i="62"/>
  <c r="R190" i="62"/>
  <c r="P190" i="62"/>
  <c r="P189" i="62" s="1"/>
  <c r="J190" i="62"/>
  <c r="BF190" i="62" s="1"/>
  <c r="R189" i="62"/>
  <c r="BK188" i="62"/>
  <c r="BI188" i="62"/>
  <c r="BH188" i="62"/>
  <c r="BG188" i="62"/>
  <c r="BE188" i="62"/>
  <c r="T188" i="62"/>
  <c r="R188" i="62"/>
  <c r="P188" i="62"/>
  <c r="J188" i="62"/>
  <c r="BF188" i="62" s="1"/>
  <c r="BK187" i="62"/>
  <c r="BI187" i="62"/>
  <c r="BH187" i="62"/>
  <c r="BG187" i="62"/>
  <c r="BE187" i="62"/>
  <c r="T187" i="62"/>
  <c r="R187" i="62"/>
  <c r="P187" i="62"/>
  <c r="J187" i="62"/>
  <c r="BF187" i="62" s="1"/>
  <c r="BK186" i="62"/>
  <c r="BI186" i="62"/>
  <c r="BH186" i="62"/>
  <c r="BG186" i="62"/>
  <c r="BE186" i="62"/>
  <c r="T186" i="62"/>
  <c r="R186" i="62"/>
  <c r="P186" i="62"/>
  <c r="J186" i="62"/>
  <c r="BF186" i="62" s="1"/>
  <c r="BK185" i="62"/>
  <c r="BI185" i="62"/>
  <c r="BH185" i="62"/>
  <c r="BG185" i="62"/>
  <c r="BE185" i="62"/>
  <c r="T185" i="62"/>
  <c r="R185" i="62"/>
  <c r="P185" i="62"/>
  <c r="J185" i="62"/>
  <c r="BF185" i="62" s="1"/>
  <c r="BK184" i="62"/>
  <c r="BI184" i="62"/>
  <c r="BH184" i="62"/>
  <c r="BG184" i="62"/>
  <c r="BE184" i="62"/>
  <c r="T184" i="62"/>
  <c r="R184" i="62"/>
  <c r="P184" i="62"/>
  <c r="J184" i="62"/>
  <c r="BF184" i="62" s="1"/>
  <c r="BK183" i="62"/>
  <c r="BI183" i="62"/>
  <c r="BH183" i="62"/>
  <c r="BG183" i="62"/>
  <c r="BE183" i="62"/>
  <c r="T183" i="62"/>
  <c r="R183" i="62"/>
  <c r="P183" i="62"/>
  <c r="J183" i="62"/>
  <c r="BF183" i="62" s="1"/>
  <c r="BK182" i="62"/>
  <c r="BI182" i="62"/>
  <c r="BH182" i="62"/>
  <c r="BG182" i="62"/>
  <c r="BE182" i="62"/>
  <c r="T182" i="62"/>
  <c r="R182" i="62"/>
  <c r="P182" i="62"/>
  <c r="J182" i="62"/>
  <c r="BF182" i="62" s="1"/>
  <c r="BK181" i="62"/>
  <c r="BI181" i="62"/>
  <c r="BH181" i="62"/>
  <c r="BG181" i="62"/>
  <c r="BE181" i="62"/>
  <c r="T181" i="62"/>
  <c r="R181" i="62"/>
  <c r="P181" i="62"/>
  <c r="J181" i="62"/>
  <c r="BF181" i="62" s="1"/>
  <c r="BK180" i="62"/>
  <c r="BI180" i="62"/>
  <c r="BH180" i="62"/>
  <c r="BG180" i="62"/>
  <c r="BE180" i="62"/>
  <c r="T180" i="62"/>
  <c r="R180" i="62"/>
  <c r="P180" i="62"/>
  <c r="J180" i="62"/>
  <c r="BF180" i="62" s="1"/>
  <c r="BK179" i="62"/>
  <c r="BI179" i="62"/>
  <c r="BH179" i="62"/>
  <c r="BG179" i="62"/>
  <c r="BE179" i="62"/>
  <c r="T179" i="62"/>
  <c r="R179" i="62"/>
  <c r="P179" i="62"/>
  <c r="J179" i="62"/>
  <c r="BF179" i="62" s="1"/>
  <c r="BK178" i="62"/>
  <c r="BI178" i="62"/>
  <c r="BH178" i="62"/>
  <c r="BG178" i="62"/>
  <c r="BE178" i="62"/>
  <c r="T178" i="62"/>
  <c r="R178" i="62"/>
  <c r="P178" i="62"/>
  <c r="J178" i="62"/>
  <c r="BF178" i="62" s="1"/>
  <c r="BK177" i="62"/>
  <c r="BI177" i="62"/>
  <c r="BH177" i="62"/>
  <c r="BG177" i="62"/>
  <c r="BE177" i="62"/>
  <c r="T177" i="62"/>
  <c r="R177" i="62"/>
  <c r="P177" i="62"/>
  <c r="J177" i="62"/>
  <c r="BF177" i="62" s="1"/>
  <c r="BK176" i="62"/>
  <c r="BI176" i="62"/>
  <c r="BH176" i="62"/>
  <c r="BG176" i="62"/>
  <c r="BE176" i="62"/>
  <c r="T176" i="62"/>
  <c r="R176" i="62"/>
  <c r="P176" i="62"/>
  <c r="J176" i="62"/>
  <c r="BF176" i="62" s="1"/>
  <c r="BK175" i="62"/>
  <c r="BI175" i="62"/>
  <c r="BH175" i="62"/>
  <c r="BG175" i="62"/>
  <c r="BE175" i="62"/>
  <c r="T175" i="62"/>
  <c r="R175" i="62"/>
  <c r="P175" i="62"/>
  <c r="J175" i="62"/>
  <c r="BF175" i="62" s="1"/>
  <c r="BK174" i="62"/>
  <c r="BI174" i="62"/>
  <c r="BH174" i="62"/>
  <c r="BG174" i="62"/>
  <c r="BE174" i="62"/>
  <c r="T174" i="62"/>
  <c r="R174" i="62"/>
  <c r="P174" i="62"/>
  <c r="J174" i="62"/>
  <c r="BF174" i="62" s="1"/>
  <c r="BK173" i="62"/>
  <c r="BI173" i="62"/>
  <c r="BH173" i="62"/>
  <c r="BG173" i="62"/>
  <c r="BE173" i="62"/>
  <c r="T173" i="62"/>
  <c r="R173" i="62"/>
  <c r="P173" i="62"/>
  <c r="J173" i="62"/>
  <c r="BF173" i="62" s="1"/>
  <c r="BK172" i="62"/>
  <c r="BI172" i="62"/>
  <c r="BH172" i="62"/>
  <c r="BG172" i="62"/>
  <c r="BE172" i="62"/>
  <c r="T172" i="62"/>
  <c r="R172" i="62"/>
  <c r="P172" i="62"/>
  <c r="J172" i="62"/>
  <c r="BF172" i="62" s="1"/>
  <c r="BK171" i="62"/>
  <c r="BI171" i="62"/>
  <c r="BH171" i="62"/>
  <c r="BG171" i="62"/>
  <c r="BE171" i="62"/>
  <c r="T171" i="62"/>
  <c r="R171" i="62"/>
  <c r="P171" i="62"/>
  <c r="J171" i="62"/>
  <c r="BF171" i="62" s="1"/>
  <c r="BK170" i="62"/>
  <c r="BI170" i="62"/>
  <c r="BH170" i="62"/>
  <c r="BG170" i="62"/>
  <c r="BE170" i="62"/>
  <c r="T170" i="62"/>
  <c r="R170" i="62"/>
  <c r="P170" i="62"/>
  <c r="J170" i="62"/>
  <c r="BF170" i="62" s="1"/>
  <c r="BK169" i="62"/>
  <c r="BI169" i="62"/>
  <c r="BH169" i="62"/>
  <c r="BG169" i="62"/>
  <c r="BE169" i="62"/>
  <c r="T169" i="62"/>
  <c r="R169" i="62"/>
  <c r="P169" i="62"/>
  <c r="J169" i="62"/>
  <c r="BF169" i="62" s="1"/>
  <c r="BK168" i="62"/>
  <c r="BI168" i="62"/>
  <c r="BH168" i="62"/>
  <c r="BG168" i="62"/>
  <c r="BE168" i="62"/>
  <c r="T168" i="62"/>
  <c r="R168" i="62"/>
  <c r="P168" i="62"/>
  <c r="J168" i="62"/>
  <c r="BF168" i="62" s="1"/>
  <c r="BK167" i="62"/>
  <c r="BI167" i="62"/>
  <c r="BH167" i="62"/>
  <c r="BG167" i="62"/>
  <c r="BE167" i="62"/>
  <c r="T167" i="62"/>
  <c r="R167" i="62"/>
  <c r="P167" i="62"/>
  <c r="J167" i="62"/>
  <c r="BF167" i="62" s="1"/>
  <c r="BK166" i="62"/>
  <c r="BI166" i="62"/>
  <c r="BH166" i="62"/>
  <c r="BG166" i="62"/>
  <c r="BE166" i="62"/>
  <c r="T166" i="62"/>
  <c r="R166" i="62"/>
  <c r="P166" i="62"/>
  <c r="J166" i="62"/>
  <c r="BF166" i="62" s="1"/>
  <c r="BK165" i="62"/>
  <c r="BI165" i="62"/>
  <c r="BH165" i="62"/>
  <c r="BG165" i="62"/>
  <c r="BE165" i="62"/>
  <c r="T165" i="62"/>
  <c r="R165" i="62"/>
  <c r="P165" i="62"/>
  <c r="J165" i="62"/>
  <c r="BF165" i="62" s="1"/>
  <c r="BK164" i="62"/>
  <c r="BI164" i="62"/>
  <c r="BH164" i="62"/>
  <c r="BG164" i="62"/>
  <c r="BE164" i="62"/>
  <c r="T164" i="62"/>
  <c r="R164" i="62"/>
  <c r="P164" i="62"/>
  <c r="J164" i="62"/>
  <c r="BF164" i="62" s="1"/>
  <c r="BK163" i="62"/>
  <c r="BI163" i="62"/>
  <c r="BH163" i="62"/>
  <c r="BG163" i="62"/>
  <c r="BE163" i="62"/>
  <c r="T163" i="62"/>
  <c r="R163" i="62"/>
  <c r="P163" i="62"/>
  <c r="J163" i="62"/>
  <c r="BF163" i="62" s="1"/>
  <c r="BK162" i="62"/>
  <c r="BI162" i="62"/>
  <c r="BH162" i="62"/>
  <c r="BG162" i="62"/>
  <c r="BE162" i="62"/>
  <c r="T162" i="62"/>
  <c r="R162" i="62"/>
  <c r="P162" i="62"/>
  <c r="J162" i="62"/>
  <c r="BF162" i="62" s="1"/>
  <c r="BK161" i="62"/>
  <c r="BI161" i="62"/>
  <c r="BH161" i="62"/>
  <c r="BG161" i="62"/>
  <c r="BE161" i="62"/>
  <c r="T161" i="62"/>
  <c r="R161" i="62"/>
  <c r="P161" i="62"/>
  <c r="J161" i="62"/>
  <c r="BF161" i="62" s="1"/>
  <c r="BK160" i="62"/>
  <c r="BI160" i="62"/>
  <c r="BH160" i="62"/>
  <c r="BG160" i="62"/>
  <c r="BE160" i="62"/>
  <c r="T160" i="62"/>
  <c r="R160" i="62"/>
  <c r="P160" i="62"/>
  <c r="J160" i="62"/>
  <c r="BF160" i="62" s="1"/>
  <c r="BK159" i="62"/>
  <c r="BI159" i="62"/>
  <c r="BH159" i="62"/>
  <c r="BG159" i="62"/>
  <c r="BE159" i="62"/>
  <c r="T159" i="62"/>
  <c r="R159" i="62"/>
  <c r="R157" i="62" s="1"/>
  <c r="P159" i="62"/>
  <c r="J159" i="62"/>
  <c r="BF159" i="62" s="1"/>
  <c r="BK158" i="62"/>
  <c r="BI158" i="62"/>
  <c r="BH158" i="62"/>
  <c r="BG158" i="62"/>
  <c r="BE158" i="62"/>
  <c r="T158" i="62"/>
  <c r="R158" i="62"/>
  <c r="P158" i="62"/>
  <c r="J158" i="62"/>
  <c r="BF158" i="62" s="1"/>
  <c r="T157" i="62"/>
  <c r="P157" i="62"/>
  <c r="BK156" i="62"/>
  <c r="BI156" i="62"/>
  <c r="BH156" i="62"/>
  <c r="BG156" i="62"/>
  <c r="BE156" i="62"/>
  <c r="T156" i="62"/>
  <c r="T155" i="62" s="1"/>
  <c r="R156" i="62"/>
  <c r="P156" i="62"/>
  <c r="J156" i="62"/>
  <c r="BF156" i="62" s="1"/>
  <c r="BK155" i="62"/>
  <c r="R155" i="62"/>
  <c r="P155" i="62"/>
  <c r="BK154" i="62"/>
  <c r="BI154" i="62"/>
  <c r="BH154" i="62"/>
  <c r="BG154" i="62"/>
  <c r="BE154" i="62"/>
  <c r="T154" i="62"/>
  <c r="R154" i="62"/>
  <c r="P154" i="62"/>
  <c r="J154" i="62"/>
  <c r="BF154" i="62" s="1"/>
  <c r="BK153" i="62"/>
  <c r="BI153" i="62"/>
  <c r="BH153" i="62"/>
  <c r="BG153" i="62"/>
  <c r="BE153" i="62"/>
  <c r="T153" i="62"/>
  <c r="R153" i="62"/>
  <c r="P153" i="62"/>
  <c r="J153" i="62"/>
  <c r="BF153" i="62" s="1"/>
  <c r="BK152" i="62"/>
  <c r="BI152" i="62"/>
  <c r="BH152" i="62"/>
  <c r="BG152" i="62"/>
  <c r="BE152" i="62"/>
  <c r="T152" i="62"/>
  <c r="R152" i="62"/>
  <c r="P152" i="62"/>
  <c r="J152" i="62"/>
  <c r="BF152" i="62" s="1"/>
  <c r="BK151" i="62"/>
  <c r="BI151" i="62"/>
  <c r="BH151" i="62"/>
  <c r="BG151" i="62"/>
  <c r="BE151" i="62"/>
  <c r="T151" i="62"/>
  <c r="R151" i="62"/>
  <c r="P151" i="62"/>
  <c r="J151" i="62"/>
  <c r="BF151" i="62" s="1"/>
  <c r="BK150" i="62"/>
  <c r="BI150" i="62"/>
  <c r="BH150" i="62"/>
  <c r="BG150" i="62"/>
  <c r="BE150" i="62"/>
  <c r="T150" i="62"/>
  <c r="R150" i="62"/>
  <c r="P150" i="62"/>
  <c r="J150" i="62"/>
  <c r="BF150" i="62" s="1"/>
  <c r="BK149" i="62"/>
  <c r="BI149" i="62"/>
  <c r="BH149" i="62"/>
  <c r="BG149" i="62"/>
  <c r="BE149" i="62"/>
  <c r="T149" i="62"/>
  <c r="R149" i="62"/>
  <c r="P149" i="62"/>
  <c r="J149" i="62"/>
  <c r="BF149" i="62" s="1"/>
  <c r="BK148" i="62"/>
  <c r="BI148" i="62"/>
  <c r="BH148" i="62"/>
  <c r="BG148" i="62"/>
  <c r="BE148" i="62"/>
  <c r="T148" i="62"/>
  <c r="R148" i="62"/>
  <c r="P148" i="62"/>
  <c r="J148" i="62"/>
  <c r="BF148" i="62" s="1"/>
  <c r="BK147" i="62"/>
  <c r="BI147" i="62"/>
  <c r="BH147" i="62"/>
  <c r="BG147" i="62"/>
  <c r="BE147" i="62"/>
  <c r="T147" i="62"/>
  <c r="R147" i="62"/>
  <c r="P147" i="62"/>
  <c r="J147" i="62"/>
  <c r="BF147" i="62" s="1"/>
  <c r="BK146" i="62"/>
  <c r="BI146" i="62"/>
  <c r="BH146" i="62"/>
  <c r="BG146" i="62"/>
  <c r="BE146" i="62"/>
  <c r="T146" i="62"/>
  <c r="R146" i="62"/>
  <c r="P146" i="62"/>
  <c r="J146" i="62"/>
  <c r="BF146" i="62" s="1"/>
  <c r="BK145" i="62"/>
  <c r="BI145" i="62"/>
  <c r="BH145" i="62"/>
  <c r="BG145" i="62"/>
  <c r="BE145" i="62"/>
  <c r="T145" i="62"/>
  <c r="R145" i="62"/>
  <c r="P145" i="62"/>
  <c r="J145" i="62"/>
  <c r="BF145" i="62" s="1"/>
  <c r="BK144" i="62"/>
  <c r="BI144" i="62"/>
  <c r="BH144" i="62"/>
  <c r="BG144" i="62"/>
  <c r="BE144" i="62"/>
  <c r="T144" i="62"/>
  <c r="R144" i="62"/>
  <c r="P144" i="62"/>
  <c r="J144" i="62"/>
  <c r="BF144" i="62" s="1"/>
  <c r="BK143" i="62"/>
  <c r="BI143" i="62"/>
  <c r="BH143" i="62"/>
  <c r="BG143" i="62"/>
  <c r="BE143" i="62"/>
  <c r="T143" i="62"/>
  <c r="R143" i="62"/>
  <c r="P143" i="62"/>
  <c r="J143" i="62"/>
  <c r="BF143" i="62" s="1"/>
  <c r="BK142" i="62"/>
  <c r="BI142" i="62"/>
  <c r="BH142" i="62"/>
  <c r="BG142" i="62"/>
  <c r="BE142" i="62"/>
  <c r="T142" i="62"/>
  <c r="R142" i="62"/>
  <c r="P142" i="62"/>
  <c r="J142" i="62"/>
  <c r="BF142" i="62" s="1"/>
  <c r="BK141" i="62"/>
  <c r="BI141" i="62"/>
  <c r="BH141" i="62"/>
  <c r="BG141" i="62"/>
  <c r="BE141" i="62"/>
  <c r="T141" i="62"/>
  <c r="R141" i="62"/>
  <c r="P141" i="62"/>
  <c r="J141" i="62"/>
  <c r="BF141" i="62" s="1"/>
  <c r="BK140" i="62"/>
  <c r="BI140" i="62"/>
  <c r="BH140" i="62"/>
  <c r="BG140" i="62"/>
  <c r="BE140" i="62"/>
  <c r="T140" i="62"/>
  <c r="R140" i="62"/>
  <c r="P140" i="62"/>
  <c r="J140" i="62"/>
  <c r="BF140" i="62" s="1"/>
  <c r="BK139" i="62"/>
  <c r="BI139" i="62"/>
  <c r="BH139" i="62"/>
  <c r="BG139" i="62"/>
  <c r="BE139" i="62"/>
  <c r="T139" i="62"/>
  <c r="R139" i="62"/>
  <c r="P139" i="62"/>
  <c r="J139" i="62"/>
  <c r="BF139" i="62" s="1"/>
  <c r="BK138" i="62"/>
  <c r="BI138" i="62"/>
  <c r="BH138" i="62"/>
  <c r="BG138" i="62"/>
  <c r="BE138" i="62"/>
  <c r="T138" i="62"/>
  <c r="R138" i="62"/>
  <c r="P138" i="62"/>
  <c r="J138" i="62"/>
  <c r="BF138" i="62" s="1"/>
  <c r="BK137" i="62"/>
  <c r="BI137" i="62"/>
  <c r="BH137" i="62"/>
  <c r="BG137" i="62"/>
  <c r="BE137" i="62"/>
  <c r="T137" i="62"/>
  <c r="R137" i="62"/>
  <c r="P137" i="62"/>
  <c r="J137" i="62"/>
  <c r="BF137" i="62" s="1"/>
  <c r="BK136" i="62"/>
  <c r="BI136" i="62"/>
  <c r="BH136" i="62"/>
  <c r="BG136" i="62"/>
  <c r="BE136" i="62"/>
  <c r="T136" i="62"/>
  <c r="R136" i="62"/>
  <c r="P136" i="62"/>
  <c r="J136" i="62"/>
  <c r="BF136" i="62" s="1"/>
  <c r="BK135" i="62"/>
  <c r="BI135" i="62"/>
  <c r="BH135" i="62"/>
  <c r="BG135" i="62"/>
  <c r="BE135" i="62"/>
  <c r="T135" i="62"/>
  <c r="R135" i="62"/>
  <c r="P135" i="62"/>
  <c r="J135" i="62"/>
  <c r="BF135" i="62" s="1"/>
  <c r="BK134" i="62"/>
  <c r="BI134" i="62"/>
  <c r="BH134" i="62"/>
  <c r="BG134" i="62"/>
  <c r="BE134" i="62"/>
  <c r="T134" i="62"/>
  <c r="R134" i="62"/>
  <c r="P134" i="62"/>
  <c r="J134" i="62"/>
  <c r="BF134" i="62" s="1"/>
  <c r="BK133" i="62"/>
  <c r="BI133" i="62"/>
  <c r="BH133" i="62"/>
  <c r="BG133" i="62"/>
  <c r="BE133" i="62"/>
  <c r="T133" i="62"/>
  <c r="R133" i="62"/>
  <c r="P133" i="62"/>
  <c r="J133" i="62"/>
  <c r="BF133" i="62" s="1"/>
  <c r="BK132" i="62"/>
  <c r="BI132" i="62"/>
  <c r="BH132" i="62"/>
  <c r="BG132" i="62"/>
  <c r="BE132" i="62"/>
  <c r="T132" i="62"/>
  <c r="R132" i="62"/>
  <c r="P132" i="62"/>
  <c r="J132" i="62"/>
  <c r="BF132" i="62" s="1"/>
  <c r="BK131" i="62"/>
  <c r="BI131" i="62"/>
  <c r="BH131" i="62"/>
  <c r="BG131" i="62"/>
  <c r="BE131" i="62"/>
  <c r="T131" i="62"/>
  <c r="R131" i="62"/>
  <c r="P131" i="62"/>
  <c r="J131" i="62"/>
  <c r="BF131" i="62" s="1"/>
  <c r="BK130" i="62"/>
  <c r="BI130" i="62"/>
  <c r="BH130" i="62"/>
  <c r="BG130" i="62"/>
  <c r="BE130" i="62"/>
  <c r="T130" i="62"/>
  <c r="R130" i="62"/>
  <c r="R129" i="62" s="1"/>
  <c r="P130" i="62"/>
  <c r="J130" i="62"/>
  <c r="BF130" i="62" s="1"/>
  <c r="T129" i="62"/>
  <c r="F121" i="62"/>
  <c r="E119" i="62"/>
  <c r="F89" i="62"/>
  <c r="E87" i="62"/>
  <c r="J39" i="62"/>
  <c r="J38" i="62"/>
  <c r="J37" i="62"/>
  <c r="J31" i="62"/>
  <c r="J24" i="62"/>
  <c r="E24" i="62"/>
  <c r="J124" i="62" s="1"/>
  <c r="J23" i="62"/>
  <c r="J21" i="62"/>
  <c r="E21" i="62"/>
  <c r="J91" i="62" s="1"/>
  <c r="J20" i="62"/>
  <c r="J18" i="62"/>
  <c r="E18" i="62"/>
  <c r="F124" i="62" s="1"/>
  <c r="J17" i="62"/>
  <c r="J15" i="62"/>
  <c r="E15" i="62"/>
  <c r="F123" i="62" s="1"/>
  <c r="J14" i="62"/>
  <c r="J12" i="62"/>
  <c r="J121" i="62" s="1"/>
  <c r="E7" i="62"/>
  <c r="E117" i="62" s="1"/>
  <c r="BI216" i="61"/>
  <c r="BH216" i="61"/>
  <c r="BG216" i="61"/>
  <c r="BE216" i="61"/>
  <c r="BI215" i="61"/>
  <c r="BH215" i="61"/>
  <c r="BG215" i="61"/>
  <c r="BE215" i="61"/>
  <c r="BI214" i="61"/>
  <c r="BH214" i="61"/>
  <c r="BG214" i="61"/>
  <c r="BE214" i="61"/>
  <c r="BI213" i="61"/>
  <c r="BH213" i="61"/>
  <c r="BG213" i="61"/>
  <c r="BE213" i="61"/>
  <c r="BK212" i="61"/>
  <c r="BI212" i="61"/>
  <c r="BH212" i="61"/>
  <c r="BG212" i="61"/>
  <c r="BE212" i="61"/>
  <c r="T212" i="61"/>
  <c r="R212" i="61"/>
  <c r="P212" i="61"/>
  <c r="J212" i="61"/>
  <c r="BF212" i="61" s="1"/>
  <c r="BK210" i="61"/>
  <c r="BI210" i="61"/>
  <c r="BH210" i="61"/>
  <c r="BG210" i="61"/>
  <c r="BE210" i="61"/>
  <c r="T210" i="61"/>
  <c r="R210" i="61"/>
  <c r="P210" i="61"/>
  <c r="J210" i="61"/>
  <c r="BF210" i="61" s="1"/>
  <c r="BI209" i="61"/>
  <c r="BH209" i="61"/>
  <c r="BG209" i="61"/>
  <c r="BE209" i="61"/>
  <c r="BI208" i="61"/>
  <c r="BH208" i="61"/>
  <c r="BG208" i="61"/>
  <c r="BE208" i="61"/>
  <c r="BI207" i="61"/>
  <c r="BH207" i="61"/>
  <c r="BG207" i="61"/>
  <c r="BE207" i="61"/>
  <c r="BI206" i="61"/>
  <c r="BH206" i="61"/>
  <c r="BG206" i="61"/>
  <c r="BE206" i="61"/>
  <c r="BK205" i="61"/>
  <c r="BI205" i="61"/>
  <c r="BH205" i="61"/>
  <c r="BG205" i="61"/>
  <c r="BE205" i="61"/>
  <c r="T205" i="61"/>
  <c r="R205" i="61"/>
  <c r="P205" i="61"/>
  <c r="J205" i="61"/>
  <c r="BF205" i="61" s="1"/>
  <c r="BK204" i="61"/>
  <c r="BI204" i="61"/>
  <c r="BH204" i="61"/>
  <c r="BG204" i="61"/>
  <c r="BE204" i="61"/>
  <c r="T204" i="61"/>
  <c r="R204" i="61"/>
  <c r="P204" i="61"/>
  <c r="J204" i="61"/>
  <c r="BF204" i="61" s="1"/>
  <c r="BK203" i="61"/>
  <c r="BI203" i="61"/>
  <c r="BH203" i="61"/>
  <c r="BG203" i="61"/>
  <c r="BF203" i="61"/>
  <c r="BE203" i="61"/>
  <c r="T203" i="61"/>
  <c r="R203" i="61"/>
  <c r="P203" i="61"/>
  <c r="J203" i="61"/>
  <c r="BK202" i="61"/>
  <c r="BI202" i="61"/>
  <c r="BH202" i="61"/>
  <c r="BG202" i="61"/>
  <c r="BE202" i="61"/>
  <c r="T202" i="61"/>
  <c r="R202" i="61"/>
  <c r="P202" i="61"/>
  <c r="J202" i="61"/>
  <c r="BF202" i="61" s="1"/>
  <c r="BK201" i="61"/>
  <c r="BI201" i="61"/>
  <c r="BH201" i="61"/>
  <c r="BG201" i="61"/>
  <c r="BE201" i="61"/>
  <c r="T201" i="61"/>
  <c r="R201" i="61"/>
  <c r="P201" i="61"/>
  <c r="J201" i="61"/>
  <c r="BF201" i="61" s="1"/>
  <c r="BK200" i="61"/>
  <c r="BI200" i="61"/>
  <c r="BH200" i="61"/>
  <c r="BG200" i="61"/>
  <c r="BE200" i="61"/>
  <c r="T200" i="61"/>
  <c r="R200" i="61"/>
  <c r="P200" i="61"/>
  <c r="J200" i="61"/>
  <c r="BF200" i="61" s="1"/>
  <c r="BK199" i="61"/>
  <c r="BI199" i="61"/>
  <c r="BH199" i="61"/>
  <c r="BG199" i="61"/>
  <c r="BE199" i="61"/>
  <c r="T199" i="61"/>
  <c r="R199" i="61"/>
  <c r="P199" i="61"/>
  <c r="J199" i="61"/>
  <c r="BF199" i="61" s="1"/>
  <c r="BK198" i="61"/>
  <c r="BI198" i="61"/>
  <c r="BH198" i="61"/>
  <c r="BG198" i="61"/>
  <c r="BE198" i="61"/>
  <c r="T198" i="61"/>
  <c r="R198" i="61"/>
  <c r="P198" i="61"/>
  <c r="J198" i="61"/>
  <c r="BF198" i="61" s="1"/>
  <c r="BK197" i="61"/>
  <c r="BI197" i="61"/>
  <c r="BH197" i="61"/>
  <c r="BG197" i="61"/>
  <c r="BF197" i="61"/>
  <c r="BE197" i="61"/>
  <c r="T197" i="61"/>
  <c r="R197" i="61"/>
  <c r="P197" i="61"/>
  <c r="J197" i="61"/>
  <c r="BK196" i="61"/>
  <c r="BI196" i="61"/>
  <c r="BH196" i="61"/>
  <c r="BG196" i="61"/>
  <c r="BE196" i="61"/>
  <c r="T196" i="61"/>
  <c r="R196" i="61"/>
  <c r="P196" i="61"/>
  <c r="J196" i="61"/>
  <c r="BF196" i="61" s="1"/>
  <c r="BK195" i="61"/>
  <c r="BI195" i="61"/>
  <c r="BH195" i="61"/>
  <c r="BG195" i="61"/>
  <c r="BE195" i="61"/>
  <c r="T195" i="61"/>
  <c r="R195" i="61"/>
  <c r="P195" i="61"/>
  <c r="J195" i="61"/>
  <c r="BF195" i="61" s="1"/>
  <c r="BK194" i="61"/>
  <c r="BI194" i="61"/>
  <c r="BH194" i="61"/>
  <c r="BG194" i="61"/>
  <c r="BE194" i="61"/>
  <c r="T194" i="61"/>
  <c r="R194" i="61"/>
  <c r="P194" i="61"/>
  <c r="J194" i="61"/>
  <c r="BF194" i="61" s="1"/>
  <c r="BK193" i="61"/>
  <c r="BI193" i="61"/>
  <c r="BH193" i="61"/>
  <c r="BG193" i="61"/>
  <c r="BE193" i="61"/>
  <c r="T193" i="61"/>
  <c r="R193" i="61"/>
  <c r="P193" i="61"/>
  <c r="J193" i="61"/>
  <c r="BF193" i="61" s="1"/>
  <c r="BK192" i="61"/>
  <c r="BI192" i="61"/>
  <c r="BH192" i="61"/>
  <c r="BG192" i="61"/>
  <c r="BE192" i="61"/>
  <c r="T192" i="61"/>
  <c r="R192" i="61"/>
  <c r="P192" i="61"/>
  <c r="J192" i="61"/>
  <c r="BF192" i="61" s="1"/>
  <c r="BK191" i="61"/>
  <c r="BI191" i="61"/>
  <c r="BH191" i="61"/>
  <c r="BG191" i="61"/>
  <c r="BE191" i="61"/>
  <c r="T191" i="61"/>
  <c r="R191" i="61"/>
  <c r="P191" i="61"/>
  <c r="J191" i="61"/>
  <c r="BF191" i="61" s="1"/>
  <c r="BK190" i="61"/>
  <c r="BI190" i="61"/>
  <c r="BH190" i="61"/>
  <c r="BG190" i="61"/>
  <c r="BE190" i="61"/>
  <c r="T190" i="61"/>
  <c r="R190" i="61"/>
  <c r="P190" i="61"/>
  <c r="J190" i="61"/>
  <c r="BF190" i="61" s="1"/>
  <c r="BK189" i="61"/>
  <c r="BI189" i="61"/>
  <c r="BH189" i="61"/>
  <c r="BG189" i="61"/>
  <c r="BE189" i="61"/>
  <c r="T189" i="61"/>
  <c r="R189" i="61"/>
  <c r="P189" i="61"/>
  <c r="J189" i="61"/>
  <c r="BF189" i="61" s="1"/>
  <c r="BK188" i="61"/>
  <c r="BI188" i="61"/>
  <c r="BH188" i="61"/>
  <c r="BG188" i="61"/>
  <c r="BE188" i="61"/>
  <c r="T188" i="61"/>
  <c r="R188" i="61"/>
  <c r="P188" i="61"/>
  <c r="J188" i="61"/>
  <c r="BF188" i="61" s="1"/>
  <c r="BK187" i="61"/>
  <c r="BI187" i="61"/>
  <c r="BH187" i="61"/>
  <c r="BG187" i="61"/>
  <c r="BF187" i="61"/>
  <c r="BE187" i="61"/>
  <c r="T187" i="61"/>
  <c r="R187" i="61"/>
  <c r="P187" i="61"/>
  <c r="J187" i="61"/>
  <c r="BK186" i="61"/>
  <c r="BI186" i="61"/>
  <c r="BH186" i="61"/>
  <c r="BG186" i="61"/>
  <c r="BE186" i="61"/>
  <c r="T186" i="61"/>
  <c r="R186" i="61"/>
  <c r="P186" i="61"/>
  <c r="J186" i="61"/>
  <c r="BF186" i="61" s="1"/>
  <c r="BK185" i="61"/>
  <c r="BI185" i="61"/>
  <c r="BH185" i="61"/>
  <c r="BG185" i="61"/>
  <c r="BE185" i="61"/>
  <c r="T185" i="61"/>
  <c r="R185" i="61"/>
  <c r="P185" i="61"/>
  <c r="J185" i="61"/>
  <c r="BF185" i="61" s="1"/>
  <c r="BK184" i="61"/>
  <c r="BI184" i="61"/>
  <c r="BH184" i="61"/>
  <c r="BG184" i="61"/>
  <c r="BE184" i="61"/>
  <c r="T184" i="61"/>
  <c r="R184" i="61"/>
  <c r="P184" i="61"/>
  <c r="J184" i="61"/>
  <c r="BF184" i="61" s="1"/>
  <c r="BK182" i="61"/>
  <c r="BI182" i="61"/>
  <c r="BH182" i="61"/>
  <c r="BG182" i="61"/>
  <c r="BE182" i="61"/>
  <c r="T182" i="61"/>
  <c r="R182" i="61"/>
  <c r="P182" i="61"/>
  <c r="J182" i="61"/>
  <c r="BF182" i="61" s="1"/>
  <c r="BK181" i="61"/>
  <c r="BK180" i="61" s="1"/>
  <c r="J180" i="61" s="1"/>
  <c r="J101" i="61" s="1"/>
  <c r="BI181" i="61"/>
  <c r="BH181" i="61"/>
  <c r="BG181" i="61"/>
  <c r="BE181" i="61"/>
  <c r="T181" i="61"/>
  <c r="T180" i="61" s="1"/>
  <c r="R181" i="61"/>
  <c r="P181" i="61"/>
  <c r="J181" i="61"/>
  <c r="BF181" i="61" s="1"/>
  <c r="P180" i="61"/>
  <c r="BK179" i="61"/>
  <c r="BI179" i="61"/>
  <c r="BH179" i="61"/>
  <c r="BG179" i="61"/>
  <c r="BE179" i="61"/>
  <c r="T179" i="61"/>
  <c r="R179" i="61"/>
  <c r="P179" i="61"/>
  <c r="J179" i="61"/>
  <c r="BF179" i="61" s="1"/>
  <c r="BK178" i="61"/>
  <c r="BI178" i="61"/>
  <c r="BH178" i="61"/>
  <c r="BG178" i="61"/>
  <c r="BE178" i="61"/>
  <c r="T178" i="61"/>
  <c r="R178" i="61"/>
  <c r="P178" i="61"/>
  <c r="J178" i="61"/>
  <c r="BF178" i="61" s="1"/>
  <c r="BK177" i="61"/>
  <c r="BI177" i="61"/>
  <c r="BH177" i="61"/>
  <c r="BG177" i="61"/>
  <c r="BE177" i="61"/>
  <c r="T177" i="61"/>
  <c r="R177" i="61"/>
  <c r="P177" i="61"/>
  <c r="J177" i="61"/>
  <c r="BF177" i="61" s="1"/>
  <c r="BK176" i="61"/>
  <c r="BI176" i="61"/>
  <c r="BH176" i="61"/>
  <c r="BG176" i="61"/>
  <c r="BE176" i="61"/>
  <c r="T176" i="61"/>
  <c r="R176" i="61"/>
  <c r="P176" i="61"/>
  <c r="J176" i="61"/>
  <c r="BF176" i="61" s="1"/>
  <c r="BK175" i="61"/>
  <c r="BI175" i="61"/>
  <c r="BH175" i="61"/>
  <c r="BG175" i="61"/>
  <c r="BE175" i="61"/>
  <c r="T175" i="61"/>
  <c r="R175" i="61"/>
  <c r="P175" i="61"/>
  <c r="J175" i="61"/>
  <c r="BF175" i="61" s="1"/>
  <c r="BK174" i="61"/>
  <c r="BI174" i="61"/>
  <c r="BH174" i="61"/>
  <c r="BG174" i="61"/>
  <c r="BE174" i="61"/>
  <c r="T174" i="61"/>
  <c r="R174" i="61"/>
  <c r="P174" i="61"/>
  <c r="J174" i="61"/>
  <c r="BF174" i="61" s="1"/>
  <c r="BK173" i="61"/>
  <c r="BI173" i="61"/>
  <c r="BH173" i="61"/>
  <c r="BG173" i="61"/>
  <c r="BE173" i="61"/>
  <c r="T173" i="61"/>
  <c r="R173" i="61"/>
  <c r="P173" i="61"/>
  <c r="J173" i="61"/>
  <c r="BF173" i="61" s="1"/>
  <c r="BK172" i="61"/>
  <c r="BI172" i="61"/>
  <c r="BH172" i="61"/>
  <c r="BG172" i="61"/>
  <c r="BE172" i="61"/>
  <c r="T172" i="61"/>
  <c r="R172" i="61"/>
  <c r="P172" i="61"/>
  <c r="J172" i="61"/>
  <c r="BF172" i="61" s="1"/>
  <c r="BK171" i="61"/>
  <c r="BI171" i="61"/>
  <c r="BH171" i="61"/>
  <c r="BG171" i="61"/>
  <c r="BE171" i="61"/>
  <c r="T171" i="61"/>
  <c r="R171" i="61"/>
  <c r="P171" i="61"/>
  <c r="J171" i="61"/>
  <c r="BF171" i="61" s="1"/>
  <c r="BK170" i="61"/>
  <c r="BI170" i="61"/>
  <c r="BH170" i="61"/>
  <c r="BG170" i="61"/>
  <c r="BE170" i="61"/>
  <c r="T170" i="61"/>
  <c r="R170" i="61"/>
  <c r="P170" i="61"/>
  <c r="J170" i="61"/>
  <c r="BF170" i="61" s="1"/>
  <c r="BK169" i="61"/>
  <c r="BI169" i="61"/>
  <c r="BH169" i="61"/>
  <c r="BG169" i="61"/>
  <c r="BE169" i="61"/>
  <c r="T169" i="61"/>
  <c r="R169" i="61"/>
  <c r="P169" i="61"/>
  <c r="J169" i="61"/>
  <c r="BF169" i="61" s="1"/>
  <c r="BK168" i="61"/>
  <c r="BI168" i="61"/>
  <c r="BH168" i="61"/>
  <c r="BG168" i="61"/>
  <c r="BE168" i="61"/>
  <c r="T168" i="61"/>
  <c r="R168" i="61"/>
  <c r="P168" i="61"/>
  <c r="J168" i="61"/>
  <c r="BF168" i="61" s="1"/>
  <c r="BK167" i="61"/>
  <c r="BI167" i="61"/>
  <c r="BH167" i="61"/>
  <c r="BG167" i="61"/>
  <c r="BE167" i="61"/>
  <c r="T167" i="61"/>
  <c r="R167" i="61"/>
  <c r="P167" i="61"/>
  <c r="J167" i="61"/>
  <c r="BF167" i="61" s="1"/>
  <c r="BK166" i="61"/>
  <c r="BI166" i="61"/>
  <c r="BH166" i="61"/>
  <c r="BG166" i="61"/>
  <c r="BE166" i="61"/>
  <c r="T166" i="61"/>
  <c r="R166" i="61"/>
  <c r="P166" i="61"/>
  <c r="J166" i="61"/>
  <c r="BF166" i="61" s="1"/>
  <c r="BK165" i="61"/>
  <c r="BI165" i="61"/>
  <c r="BH165" i="61"/>
  <c r="BG165" i="61"/>
  <c r="BE165" i="61"/>
  <c r="T165" i="61"/>
  <c r="R165" i="61"/>
  <c r="P165" i="61"/>
  <c r="J165" i="61"/>
  <c r="BF165" i="61" s="1"/>
  <c r="BK164" i="61"/>
  <c r="BI164" i="61"/>
  <c r="BH164" i="61"/>
  <c r="BG164" i="61"/>
  <c r="BE164" i="61"/>
  <c r="T164" i="61"/>
  <c r="R164" i="61"/>
  <c r="P164" i="61"/>
  <c r="J164" i="61"/>
  <c r="BF164" i="61" s="1"/>
  <c r="BK163" i="61"/>
  <c r="BI163" i="61"/>
  <c r="BH163" i="61"/>
  <c r="BG163" i="61"/>
  <c r="BE163" i="61"/>
  <c r="T163" i="61"/>
  <c r="R163" i="61"/>
  <c r="P163" i="61"/>
  <c r="J163" i="61"/>
  <c r="BF163" i="61" s="1"/>
  <c r="BK162" i="61"/>
  <c r="BI162" i="61"/>
  <c r="BH162" i="61"/>
  <c r="BG162" i="61"/>
  <c r="BF162" i="61"/>
  <c r="BE162" i="61"/>
  <c r="T162" i="61"/>
  <c r="R162" i="61"/>
  <c r="P162" i="61"/>
  <c r="J162" i="61"/>
  <c r="BK161" i="61"/>
  <c r="BI161" i="61"/>
  <c r="BH161" i="61"/>
  <c r="BG161" i="61"/>
  <c r="BE161" i="61"/>
  <c r="T161" i="61"/>
  <c r="R161" i="61"/>
  <c r="P161" i="61"/>
  <c r="J161" i="61"/>
  <c r="BF161" i="61" s="1"/>
  <c r="BK160" i="61"/>
  <c r="BI160" i="61"/>
  <c r="BH160" i="61"/>
  <c r="BG160" i="61"/>
  <c r="BE160" i="61"/>
  <c r="T160" i="61"/>
  <c r="R160" i="61"/>
  <c r="P160" i="61"/>
  <c r="J160" i="61"/>
  <c r="BF160" i="61" s="1"/>
  <c r="BK159" i="61"/>
  <c r="BK155" i="61" s="1"/>
  <c r="J155" i="61" s="1"/>
  <c r="J100" i="61" s="1"/>
  <c r="BI159" i="61"/>
  <c r="BH159" i="61"/>
  <c r="BG159" i="61"/>
  <c r="BE159" i="61"/>
  <c r="T159" i="61"/>
  <c r="R159" i="61"/>
  <c r="P159" i="61"/>
  <c r="J159" i="61"/>
  <c r="BF159" i="61" s="1"/>
  <c r="BK158" i="61"/>
  <c r="BI158" i="61"/>
  <c r="BH158" i="61"/>
  <c r="BG158" i="61"/>
  <c r="BE158" i="61"/>
  <c r="T158" i="61"/>
  <c r="R158" i="61"/>
  <c r="R155" i="61" s="1"/>
  <c r="P158" i="61"/>
  <c r="J158" i="61"/>
  <c r="BF158" i="61" s="1"/>
  <c r="BK157" i="61"/>
  <c r="BI157" i="61"/>
  <c r="BH157" i="61"/>
  <c r="BG157" i="61"/>
  <c r="BE157" i="61"/>
  <c r="T157" i="61"/>
  <c r="R157" i="61"/>
  <c r="P157" i="61"/>
  <c r="J157" i="61"/>
  <c r="BF157" i="61" s="1"/>
  <c r="BK156" i="61"/>
  <c r="BI156" i="61"/>
  <c r="BH156" i="61"/>
  <c r="BG156" i="61"/>
  <c r="BE156" i="61"/>
  <c r="T156" i="61"/>
  <c r="R156" i="61"/>
  <c r="P156" i="61"/>
  <c r="J156" i="61"/>
  <c r="BF156" i="61" s="1"/>
  <c r="BK154" i="61"/>
  <c r="BK153" i="61" s="1"/>
  <c r="J153" i="61" s="1"/>
  <c r="J99" i="61" s="1"/>
  <c r="BI154" i="61"/>
  <c r="BH154" i="61"/>
  <c r="BG154" i="61"/>
  <c r="BE154" i="61"/>
  <c r="T154" i="61"/>
  <c r="T153" i="61" s="1"/>
  <c r="R154" i="61"/>
  <c r="R153" i="61" s="1"/>
  <c r="P154" i="61"/>
  <c r="P153" i="61" s="1"/>
  <c r="J154" i="61"/>
  <c r="BF154" i="61" s="1"/>
  <c r="BK152" i="61"/>
  <c r="BI152" i="61"/>
  <c r="BH152" i="61"/>
  <c r="BG152" i="61"/>
  <c r="BE152" i="61"/>
  <c r="T152" i="61"/>
  <c r="R152" i="61"/>
  <c r="P152" i="61"/>
  <c r="J152" i="61"/>
  <c r="BF152" i="61" s="1"/>
  <c r="BK151" i="61"/>
  <c r="BI151" i="61"/>
  <c r="BH151" i="61"/>
  <c r="BG151" i="61"/>
  <c r="BE151" i="61"/>
  <c r="T151" i="61"/>
  <c r="R151" i="61"/>
  <c r="P151" i="61"/>
  <c r="J151" i="61"/>
  <c r="BF151" i="61" s="1"/>
  <c r="BK150" i="61"/>
  <c r="BI150" i="61"/>
  <c r="BH150" i="61"/>
  <c r="BG150" i="61"/>
  <c r="BE150" i="61"/>
  <c r="T150" i="61"/>
  <c r="R150" i="61"/>
  <c r="P150" i="61"/>
  <c r="J150" i="61"/>
  <c r="BF150" i="61" s="1"/>
  <c r="BK149" i="61"/>
  <c r="BI149" i="61"/>
  <c r="BH149" i="61"/>
  <c r="BG149" i="61"/>
  <c r="BF149" i="61"/>
  <c r="BE149" i="61"/>
  <c r="T149" i="61"/>
  <c r="R149" i="61"/>
  <c r="P149" i="61"/>
  <c r="J149" i="61"/>
  <c r="BK148" i="61"/>
  <c r="BI148" i="61"/>
  <c r="BH148" i="61"/>
  <c r="BG148" i="61"/>
  <c r="BE148" i="61"/>
  <c r="T148" i="61"/>
  <c r="R148" i="61"/>
  <c r="P148" i="61"/>
  <c r="J148" i="61"/>
  <c r="BF148" i="61" s="1"/>
  <c r="BK147" i="61"/>
  <c r="BI147" i="61"/>
  <c r="BH147" i="61"/>
  <c r="BG147" i="61"/>
  <c r="BE147" i="61"/>
  <c r="T147" i="61"/>
  <c r="R147" i="61"/>
  <c r="P147" i="61"/>
  <c r="J147" i="61"/>
  <c r="BF147" i="61" s="1"/>
  <c r="BI146" i="61"/>
  <c r="BH146" i="61"/>
  <c r="BG146" i="61"/>
  <c r="BE146" i="61"/>
  <c r="BK145" i="61"/>
  <c r="BI145" i="61"/>
  <c r="BH145" i="61"/>
  <c r="BG145" i="61"/>
  <c r="BE145" i="61"/>
  <c r="T145" i="61"/>
  <c r="R145" i="61"/>
  <c r="P145" i="61"/>
  <c r="J145" i="61"/>
  <c r="BF145" i="61" s="1"/>
  <c r="BK144" i="61"/>
  <c r="BI144" i="61"/>
  <c r="BH144" i="61"/>
  <c r="BG144" i="61"/>
  <c r="BE144" i="61"/>
  <c r="T144" i="61"/>
  <c r="R144" i="61"/>
  <c r="P144" i="61"/>
  <c r="J144" i="61"/>
  <c r="BF144" i="61" s="1"/>
  <c r="BK143" i="61"/>
  <c r="BI143" i="61"/>
  <c r="BH143" i="61"/>
  <c r="BG143" i="61"/>
  <c r="BE143" i="61"/>
  <c r="T143" i="61"/>
  <c r="R143" i="61"/>
  <c r="P143" i="61"/>
  <c r="J143" i="61"/>
  <c r="BF143" i="61" s="1"/>
  <c r="BK142" i="61"/>
  <c r="BI142" i="61"/>
  <c r="BH142" i="61"/>
  <c r="BG142" i="61"/>
  <c r="BF142" i="61"/>
  <c r="BE142" i="61"/>
  <c r="T142" i="61"/>
  <c r="R142" i="61"/>
  <c r="P142" i="61"/>
  <c r="J142" i="61"/>
  <c r="BK141" i="61"/>
  <c r="BI141" i="61"/>
  <c r="BH141" i="61"/>
  <c r="BG141" i="61"/>
  <c r="BE141" i="61"/>
  <c r="T141" i="61"/>
  <c r="R141" i="61"/>
  <c r="P141" i="61"/>
  <c r="J141" i="61"/>
  <c r="BF141" i="61" s="1"/>
  <c r="BK140" i="61"/>
  <c r="BI140" i="61"/>
  <c r="BH140" i="61"/>
  <c r="BG140" i="61"/>
  <c r="BE140" i="61"/>
  <c r="T140" i="61"/>
  <c r="R140" i="61"/>
  <c r="P140" i="61"/>
  <c r="J140" i="61"/>
  <c r="BF140" i="61" s="1"/>
  <c r="BK139" i="61"/>
  <c r="BI139" i="61"/>
  <c r="BH139" i="61"/>
  <c r="BG139" i="61"/>
  <c r="BE139" i="61"/>
  <c r="T139" i="61"/>
  <c r="R139" i="61"/>
  <c r="P139" i="61"/>
  <c r="J139" i="61"/>
  <c r="BF139" i="61" s="1"/>
  <c r="BK138" i="61"/>
  <c r="BI138" i="61"/>
  <c r="BH138" i="61"/>
  <c r="BG138" i="61"/>
  <c r="BE138" i="61"/>
  <c r="T138" i="61"/>
  <c r="R138" i="61"/>
  <c r="P138" i="61"/>
  <c r="J138" i="61"/>
  <c r="BF138" i="61" s="1"/>
  <c r="BK137" i="61"/>
  <c r="BI137" i="61"/>
  <c r="BH137" i="61"/>
  <c r="BG137" i="61"/>
  <c r="BE137" i="61"/>
  <c r="T137" i="61"/>
  <c r="R137" i="61"/>
  <c r="P137" i="61"/>
  <c r="J137" i="61"/>
  <c r="BF137" i="61" s="1"/>
  <c r="BK136" i="61"/>
  <c r="BI136" i="61"/>
  <c r="BH136" i="61"/>
  <c r="BG136" i="61"/>
  <c r="BE136" i="61"/>
  <c r="T136" i="61"/>
  <c r="R136" i="61"/>
  <c r="P136" i="61"/>
  <c r="J136" i="61"/>
  <c r="BF136" i="61" s="1"/>
  <c r="BK135" i="61"/>
  <c r="BI135" i="61"/>
  <c r="BH135" i="61"/>
  <c r="BG135" i="61"/>
  <c r="BE135" i="61"/>
  <c r="T135" i="61"/>
  <c r="R135" i="61"/>
  <c r="P135" i="61"/>
  <c r="J135" i="61"/>
  <c r="BF135" i="61" s="1"/>
  <c r="BK134" i="61"/>
  <c r="BI134" i="61"/>
  <c r="BH134" i="61"/>
  <c r="BG134" i="61"/>
  <c r="BE134" i="61"/>
  <c r="T134" i="61"/>
  <c r="R134" i="61"/>
  <c r="P134" i="61"/>
  <c r="J134" i="61"/>
  <c r="BF134" i="61" s="1"/>
  <c r="BK133" i="61"/>
  <c r="BI133" i="61"/>
  <c r="BH133" i="61"/>
  <c r="BG133" i="61"/>
  <c r="BE133" i="61"/>
  <c r="T133" i="61"/>
  <c r="R133" i="61"/>
  <c r="P133" i="61"/>
  <c r="J133" i="61"/>
  <c r="BF133" i="61" s="1"/>
  <c r="BK132" i="61"/>
  <c r="BI132" i="61"/>
  <c r="BH132" i="61"/>
  <c r="BG132" i="61"/>
  <c r="BE132" i="61"/>
  <c r="T132" i="61"/>
  <c r="R132" i="61"/>
  <c r="P132" i="61"/>
  <c r="J132" i="61"/>
  <c r="BF132" i="61" s="1"/>
  <c r="BK131" i="61"/>
  <c r="BI131" i="61"/>
  <c r="BH131" i="61"/>
  <c r="BG131" i="61"/>
  <c r="BF131" i="61"/>
  <c r="BE131" i="61"/>
  <c r="T131" i="61"/>
  <c r="R131" i="61"/>
  <c r="P131" i="61"/>
  <c r="J131" i="61"/>
  <c r="BK130" i="61"/>
  <c r="BI130" i="61"/>
  <c r="BH130" i="61"/>
  <c r="BG130" i="61"/>
  <c r="BF130" i="61"/>
  <c r="BE130" i="61"/>
  <c r="T130" i="61"/>
  <c r="R130" i="61"/>
  <c r="P130" i="61"/>
  <c r="J130" i="61"/>
  <c r="F121" i="61"/>
  <c r="E119" i="61"/>
  <c r="F89" i="61"/>
  <c r="E87" i="61"/>
  <c r="J39" i="61"/>
  <c r="J38" i="61"/>
  <c r="J37" i="61"/>
  <c r="J31" i="61"/>
  <c r="J24" i="61"/>
  <c r="E24" i="61"/>
  <c r="J124" i="61" s="1"/>
  <c r="J23" i="61"/>
  <c r="J21" i="61"/>
  <c r="E21" i="61"/>
  <c r="J123" i="61" s="1"/>
  <c r="J20" i="61"/>
  <c r="J18" i="61"/>
  <c r="E18" i="61"/>
  <c r="F124" i="61" s="1"/>
  <c r="J17" i="61"/>
  <c r="J15" i="61"/>
  <c r="E15" i="61"/>
  <c r="F91" i="61" s="1"/>
  <c r="J14" i="61"/>
  <c r="J12" i="61"/>
  <c r="J121" i="61" s="1"/>
  <c r="E7" i="61"/>
  <c r="E85" i="61" s="1"/>
  <c r="J224" i="60"/>
  <c r="BI223" i="60"/>
  <c r="BH223" i="60"/>
  <c r="BG223" i="60"/>
  <c r="BE223" i="60"/>
  <c r="BI222" i="60"/>
  <c r="BH222" i="60"/>
  <c r="BG222" i="60"/>
  <c r="BE222" i="60"/>
  <c r="BI221" i="60"/>
  <c r="BH221" i="60"/>
  <c r="BG221" i="60"/>
  <c r="BE221" i="60"/>
  <c r="BI220" i="60"/>
  <c r="BH220" i="60"/>
  <c r="BG220" i="60"/>
  <c r="BE220" i="60"/>
  <c r="BK219" i="60"/>
  <c r="BI219" i="60"/>
  <c r="BH219" i="60"/>
  <c r="BG219" i="60"/>
  <c r="BE219" i="60"/>
  <c r="T219" i="60"/>
  <c r="R219" i="60"/>
  <c r="P219" i="60"/>
  <c r="J219" i="60"/>
  <c r="BF219" i="60" s="1"/>
  <c r="BI217" i="60"/>
  <c r="BH217" i="60"/>
  <c r="BG217" i="60"/>
  <c r="BE217" i="60"/>
  <c r="BI216" i="60"/>
  <c r="BH216" i="60"/>
  <c r="BG216" i="60"/>
  <c r="BE216" i="60"/>
  <c r="BI215" i="60"/>
  <c r="BH215" i="60"/>
  <c r="BG215" i="60"/>
  <c r="BE215" i="60"/>
  <c r="BI214" i="60"/>
  <c r="BH214" i="60"/>
  <c r="BG214" i="60"/>
  <c r="BE214" i="60"/>
  <c r="BI213" i="60"/>
  <c r="BH213" i="60"/>
  <c r="BG213" i="60"/>
  <c r="BE213" i="60"/>
  <c r="BK212" i="60"/>
  <c r="BI212" i="60"/>
  <c r="BH212" i="60"/>
  <c r="BG212" i="60"/>
  <c r="BF212" i="60"/>
  <c r="BE212" i="60"/>
  <c r="T212" i="60"/>
  <c r="R212" i="60"/>
  <c r="P212" i="60"/>
  <c r="J212" i="60"/>
  <c r="BK211" i="60"/>
  <c r="BI211" i="60"/>
  <c r="BH211" i="60"/>
  <c r="BG211" i="60"/>
  <c r="BE211" i="60"/>
  <c r="T211" i="60"/>
  <c r="R211" i="60"/>
  <c r="P211" i="60"/>
  <c r="J211" i="60"/>
  <c r="BF211" i="60" s="1"/>
  <c r="BK210" i="60"/>
  <c r="BI210" i="60"/>
  <c r="BH210" i="60"/>
  <c r="BG210" i="60"/>
  <c r="BF210" i="60"/>
  <c r="BE210" i="60"/>
  <c r="T210" i="60"/>
  <c r="R210" i="60"/>
  <c r="P210" i="60"/>
  <c r="J210" i="60"/>
  <c r="BK209" i="60"/>
  <c r="BI209" i="60"/>
  <c r="BH209" i="60"/>
  <c r="BG209" i="60"/>
  <c r="BE209" i="60"/>
  <c r="T209" i="60"/>
  <c r="R209" i="60"/>
  <c r="P209" i="60"/>
  <c r="J209" i="60"/>
  <c r="BF209" i="60" s="1"/>
  <c r="BK208" i="60"/>
  <c r="BI208" i="60"/>
  <c r="BH208" i="60"/>
  <c r="BG208" i="60"/>
  <c r="BF208" i="60"/>
  <c r="BE208" i="60"/>
  <c r="T208" i="60"/>
  <c r="R208" i="60"/>
  <c r="P208" i="60"/>
  <c r="J208" i="60"/>
  <c r="BK207" i="60"/>
  <c r="BI207" i="60"/>
  <c r="BH207" i="60"/>
  <c r="BG207" i="60"/>
  <c r="BE207" i="60"/>
  <c r="T207" i="60"/>
  <c r="R207" i="60"/>
  <c r="P207" i="60"/>
  <c r="J207" i="60"/>
  <c r="BF207" i="60" s="1"/>
  <c r="BK206" i="60"/>
  <c r="BI206" i="60"/>
  <c r="BH206" i="60"/>
  <c r="BG206" i="60"/>
  <c r="BE206" i="60"/>
  <c r="T206" i="60"/>
  <c r="R206" i="60"/>
  <c r="P206" i="60"/>
  <c r="J206" i="60"/>
  <c r="BF206" i="60" s="1"/>
  <c r="BK205" i="60"/>
  <c r="BI205" i="60"/>
  <c r="BH205" i="60"/>
  <c r="BG205" i="60"/>
  <c r="BE205" i="60"/>
  <c r="T205" i="60"/>
  <c r="R205" i="60"/>
  <c r="P205" i="60"/>
  <c r="J205" i="60"/>
  <c r="BF205" i="60" s="1"/>
  <c r="BK204" i="60"/>
  <c r="BI204" i="60"/>
  <c r="BH204" i="60"/>
  <c r="BG204" i="60"/>
  <c r="BE204" i="60"/>
  <c r="T204" i="60"/>
  <c r="R204" i="60"/>
  <c r="P204" i="60"/>
  <c r="J204" i="60"/>
  <c r="BF204" i="60" s="1"/>
  <c r="BK203" i="60"/>
  <c r="BI203" i="60"/>
  <c r="BH203" i="60"/>
  <c r="BG203" i="60"/>
  <c r="BE203" i="60"/>
  <c r="T203" i="60"/>
  <c r="R203" i="60"/>
  <c r="P203" i="60"/>
  <c r="J203" i="60"/>
  <c r="BF203" i="60" s="1"/>
  <c r="BK202" i="60"/>
  <c r="BI202" i="60"/>
  <c r="BH202" i="60"/>
  <c r="BG202" i="60"/>
  <c r="BE202" i="60"/>
  <c r="T202" i="60"/>
  <c r="R202" i="60"/>
  <c r="P202" i="60"/>
  <c r="J202" i="60"/>
  <c r="BF202" i="60" s="1"/>
  <c r="BK201" i="60"/>
  <c r="BI201" i="60"/>
  <c r="BH201" i="60"/>
  <c r="BG201" i="60"/>
  <c r="BE201" i="60"/>
  <c r="T201" i="60"/>
  <c r="R201" i="60"/>
  <c r="P201" i="60"/>
  <c r="J201" i="60"/>
  <c r="BF201" i="60" s="1"/>
  <c r="BK200" i="60"/>
  <c r="BI200" i="60"/>
  <c r="BH200" i="60"/>
  <c r="BG200" i="60"/>
  <c r="BE200" i="60"/>
  <c r="T200" i="60"/>
  <c r="R200" i="60"/>
  <c r="P200" i="60"/>
  <c r="J200" i="60"/>
  <c r="BF200" i="60" s="1"/>
  <c r="BK199" i="60"/>
  <c r="BI199" i="60"/>
  <c r="BH199" i="60"/>
  <c r="BG199" i="60"/>
  <c r="BE199" i="60"/>
  <c r="T199" i="60"/>
  <c r="R199" i="60"/>
  <c r="P199" i="60"/>
  <c r="J199" i="60"/>
  <c r="BF199" i="60" s="1"/>
  <c r="BK198" i="60"/>
  <c r="BI198" i="60"/>
  <c r="BH198" i="60"/>
  <c r="BG198" i="60"/>
  <c r="BE198" i="60"/>
  <c r="T198" i="60"/>
  <c r="R198" i="60"/>
  <c r="P198" i="60"/>
  <c r="J198" i="60"/>
  <c r="BF198" i="60" s="1"/>
  <c r="BK197" i="60"/>
  <c r="BI197" i="60"/>
  <c r="BH197" i="60"/>
  <c r="BG197" i="60"/>
  <c r="BE197" i="60"/>
  <c r="T197" i="60"/>
  <c r="R197" i="60"/>
  <c r="P197" i="60"/>
  <c r="J197" i="60"/>
  <c r="BF197" i="60" s="1"/>
  <c r="BK196" i="60"/>
  <c r="BI196" i="60"/>
  <c r="BH196" i="60"/>
  <c r="BG196" i="60"/>
  <c r="BE196" i="60"/>
  <c r="T196" i="60"/>
  <c r="R196" i="60"/>
  <c r="P196" i="60"/>
  <c r="J196" i="60"/>
  <c r="BF196" i="60" s="1"/>
  <c r="BK195" i="60"/>
  <c r="BI195" i="60"/>
  <c r="BH195" i="60"/>
  <c r="BG195" i="60"/>
  <c r="BE195" i="60"/>
  <c r="T195" i="60"/>
  <c r="R195" i="60"/>
  <c r="P195" i="60"/>
  <c r="J195" i="60"/>
  <c r="BF195" i="60" s="1"/>
  <c r="BK194" i="60"/>
  <c r="BI194" i="60"/>
  <c r="BH194" i="60"/>
  <c r="BG194" i="60"/>
  <c r="BE194" i="60"/>
  <c r="T194" i="60"/>
  <c r="R194" i="60"/>
  <c r="P194" i="60"/>
  <c r="J194" i="60"/>
  <c r="BF194" i="60" s="1"/>
  <c r="BK193" i="60"/>
  <c r="BI193" i="60"/>
  <c r="BH193" i="60"/>
  <c r="BG193" i="60"/>
  <c r="BE193" i="60"/>
  <c r="T193" i="60"/>
  <c r="R193" i="60"/>
  <c r="P193" i="60"/>
  <c r="J193" i="60"/>
  <c r="BF193" i="60" s="1"/>
  <c r="BK192" i="60"/>
  <c r="BI192" i="60"/>
  <c r="BH192" i="60"/>
  <c r="BG192" i="60"/>
  <c r="BE192" i="60"/>
  <c r="T192" i="60"/>
  <c r="R192" i="60"/>
  <c r="P192" i="60"/>
  <c r="J192" i="60"/>
  <c r="BF192" i="60" s="1"/>
  <c r="BK191" i="60"/>
  <c r="BI191" i="60"/>
  <c r="BH191" i="60"/>
  <c r="BG191" i="60"/>
  <c r="BE191" i="60"/>
  <c r="T191" i="60"/>
  <c r="R191" i="60"/>
  <c r="P191" i="60"/>
  <c r="J191" i="60"/>
  <c r="BF191" i="60" s="1"/>
  <c r="BK190" i="60"/>
  <c r="BI190" i="60"/>
  <c r="BH190" i="60"/>
  <c r="BG190" i="60"/>
  <c r="BF190" i="60"/>
  <c r="BE190" i="60"/>
  <c r="T190" i="60"/>
  <c r="R190" i="60"/>
  <c r="P190" i="60"/>
  <c r="J190" i="60"/>
  <c r="BK189" i="60"/>
  <c r="BI189" i="60"/>
  <c r="BH189" i="60"/>
  <c r="BG189" i="60"/>
  <c r="BE189" i="60"/>
  <c r="T189" i="60"/>
  <c r="R189" i="60"/>
  <c r="P189" i="60"/>
  <c r="J189" i="60"/>
  <c r="BF189" i="60" s="1"/>
  <c r="BK188" i="60"/>
  <c r="BI188" i="60"/>
  <c r="BH188" i="60"/>
  <c r="BG188" i="60"/>
  <c r="BE188" i="60"/>
  <c r="T188" i="60"/>
  <c r="R188" i="60"/>
  <c r="P188" i="60"/>
  <c r="J188" i="60"/>
  <c r="BF188" i="60" s="1"/>
  <c r="BK187" i="60"/>
  <c r="BI187" i="60"/>
  <c r="BH187" i="60"/>
  <c r="BG187" i="60"/>
  <c r="BE187" i="60"/>
  <c r="T187" i="60"/>
  <c r="R187" i="60"/>
  <c r="P187" i="60"/>
  <c r="J187" i="60"/>
  <c r="BF187" i="60" s="1"/>
  <c r="BK186" i="60"/>
  <c r="BI186" i="60"/>
  <c r="BH186" i="60"/>
  <c r="BG186" i="60"/>
  <c r="BE186" i="60"/>
  <c r="T186" i="60"/>
  <c r="R186" i="60"/>
  <c r="P186" i="60"/>
  <c r="J186" i="60"/>
  <c r="BF186" i="60" s="1"/>
  <c r="BK185" i="60"/>
  <c r="BI185" i="60"/>
  <c r="BH185" i="60"/>
  <c r="BG185" i="60"/>
  <c r="BF185" i="60"/>
  <c r="BE185" i="60"/>
  <c r="T185" i="60"/>
  <c r="R185" i="60"/>
  <c r="P185" i="60"/>
  <c r="J185" i="60"/>
  <c r="BK184" i="60"/>
  <c r="BI184" i="60"/>
  <c r="BH184" i="60"/>
  <c r="BG184" i="60"/>
  <c r="BF184" i="60"/>
  <c r="BE184" i="60"/>
  <c r="T184" i="60"/>
  <c r="R184" i="60"/>
  <c r="P184" i="60"/>
  <c r="J184" i="60"/>
  <c r="BK183" i="60"/>
  <c r="BI183" i="60"/>
  <c r="BH183" i="60"/>
  <c r="BG183" i="60"/>
  <c r="BE183" i="60"/>
  <c r="T183" i="60"/>
  <c r="R183" i="60"/>
  <c r="P183" i="60"/>
  <c r="J183" i="60"/>
  <c r="BF183" i="60" s="1"/>
  <c r="BK182" i="60"/>
  <c r="BI182" i="60"/>
  <c r="BH182" i="60"/>
  <c r="BG182" i="60"/>
  <c r="BE182" i="60"/>
  <c r="T182" i="60"/>
  <c r="R182" i="60"/>
  <c r="P182" i="60"/>
  <c r="J182" i="60"/>
  <c r="BF182" i="60" s="1"/>
  <c r="BK181" i="60"/>
  <c r="BI181" i="60"/>
  <c r="BH181" i="60"/>
  <c r="BG181" i="60"/>
  <c r="BE181" i="60"/>
  <c r="T181" i="60"/>
  <c r="R181" i="60"/>
  <c r="P181" i="60"/>
  <c r="J181" i="60"/>
  <c r="BF181" i="60" s="1"/>
  <c r="BK180" i="60"/>
  <c r="BI180" i="60"/>
  <c r="BH180" i="60"/>
  <c r="BG180" i="60"/>
  <c r="BF180" i="60"/>
  <c r="BE180" i="60"/>
  <c r="T180" i="60"/>
  <c r="R180" i="60"/>
  <c r="P180" i="60"/>
  <c r="J180" i="60"/>
  <c r="BK179" i="60"/>
  <c r="BI179" i="60"/>
  <c r="BH179" i="60"/>
  <c r="BG179" i="60"/>
  <c r="BE179" i="60"/>
  <c r="T179" i="60"/>
  <c r="R179" i="60"/>
  <c r="P179" i="60"/>
  <c r="J179" i="60"/>
  <c r="BF179" i="60" s="1"/>
  <c r="BK178" i="60"/>
  <c r="BI178" i="60"/>
  <c r="BH178" i="60"/>
  <c r="BG178" i="60"/>
  <c r="BE178" i="60"/>
  <c r="T178" i="60"/>
  <c r="R178" i="60"/>
  <c r="P178" i="60"/>
  <c r="J178" i="60"/>
  <c r="BF178" i="60" s="1"/>
  <c r="BK177" i="60"/>
  <c r="BI177" i="60"/>
  <c r="BH177" i="60"/>
  <c r="BG177" i="60"/>
  <c r="BE177" i="60"/>
  <c r="T177" i="60"/>
  <c r="R177" i="60"/>
  <c r="P177" i="60"/>
  <c r="J177" i="60"/>
  <c r="BF177" i="60" s="1"/>
  <c r="BK175" i="60"/>
  <c r="BI175" i="60"/>
  <c r="BH175" i="60"/>
  <c r="BG175" i="60"/>
  <c r="BE175" i="60"/>
  <c r="T175" i="60"/>
  <c r="R175" i="60"/>
  <c r="P175" i="60"/>
  <c r="J175" i="60"/>
  <c r="BF175" i="60" s="1"/>
  <c r="BK174" i="60"/>
  <c r="BI174" i="60"/>
  <c r="BH174" i="60"/>
  <c r="BG174" i="60"/>
  <c r="BE174" i="60"/>
  <c r="T174" i="60"/>
  <c r="R174" i="60"/>
  <c r="P174" i="60"/>
  <c r="J174" i="60"/>
  <c r="BF174" i="60" s="1"/>
  <c r="BK173" i="60"/>
  <c r="BI173" i="60"/>
  <c r="BH173" i="60"/>
  <c r="BG173" i="60"/>
  <c r="BE173" i="60"/>
  <c r="T173" i="60"/>
  <c r="R173" i="60"/>
  <c r="P173" i="60"/>
  <c r="J173" i="60"/>
  <c r="BF173" i="60" s="1"/>
  <c r="BK172" i="60"/>
  <c r="BI172" i="60"/>
  <c r="BH172" i="60"/>
  <c r="BG172" i="60"/>
  <c r="BE172" i="60"/>
  <c r="T172" i="60"/>
  <c r="R172" i="60"/>
  <c r="P172" i="60"/>
  <c r="J172" i="60"/>
  <c r="BF172" i="60" s="1"/>
  <c r="BK171" i="60"/>
  <c r="BI171" i="60"/>
  <c r="BH171" i="60"/>
  <c r="BG171" i="60"/>
  <c r="BE171" i="60"/>
  <c r="T171" i="60"/>
  <c r="R171" i="60"/>
  <c r="P171" i="60"/>
  <c r="J171" i="60"/>
  <c r="BF171" i="60" s="1"/>
  <c r="BK170" i="60"/>
  <c r="BI170" i="60"/>
  <c r="BH170" i="60"/>
  <c r="BG170" i="60"/>
  <c r="BE170" i="60"/>
  <c r="T170" i="60"/>
  <c r="R170" i="60"/>
  <c r="P170" i="60"/>
  <c r="J170" i="60"/>
  <c r="BF170" i="60" s="1"/>
  <c r="BK169" i="60"/>
  <c r="BI169" i="60"/>
  <c r="BH169" i="60"/>
  <c r="BG169" i="60"/>
  <c r="BE169" i="60"/>
  <c r="T169" i="60"/>
  <c r="R169" i="60"/>
  <c r="P169" i="60"/>
  <c r="J169" i="60"/>
  <c r="BF169" i="60" s="1"/>
  <c r="BK168" i="60"/>
  <c r="BI168" i="60"/>
  <c r="BH168" i="60"/>
  <c r="BG168" i="60"/>
  <c r="BE168" i="60"/>
  <c r="T168" i="60"/>
  <c r="R168" i="60"/>
  <c r="P168" i="60"/>
  <c r="J168" i="60"/>
  <c r="BF168" i="60" s="1"/>
  <c r="BK167" i="60"/>
  <c r="BI167" i="60"/>
  <c r="BH167" i="60"/>
  <c r="BG167" i="60"/>
  <c r="BE167" i="60"/>
  <c r="T167" i="60"/>
  <c r="R167" i="60"/>
  <c r="P167" i="60"/>
  <c r="J167" i="60"/>
  <c r="BF167" i="60" s="1"/>
  <c r="BK166" i="60"/>
  <c r="BI166" i="60"/>
  <c r="BH166" i="60"/>
  <c r="BG166" i="60"/>
  <c r="BE166" i="60"/>
  <c r="T166" i="60"/>
  <c r="T150" i="60" s="1"/>
  <c r="R166" i="60"/>
  <c r="P166" i="60"/>
  <c r="J166" i="60"/>
  <c r="BF166" i="60" s="1"/>
  <c r="BK165" i="60"/>
  <c r="BI165" i="60"/>
  <c r="BH165" i="60"/>
  <c r="BG165" i="60"/>
  <c r="BE165" i="60"/>
  <c r="T165" i="60"/>
  <c r="R165" i="60"/>
  <c r="P165" i="60"/>
  <c r="J165" i="60"/>
  <c r="BF165" i="60" s="1"/>
  <c r="BK164" i="60"/>
  <c r="BI164" i="60"/>
  <c r="BH164" i="60"/>
  <c r="BG164" i="60"/>
  <c r="BE164" i="60"/>
  <c r="T164" i="60"/>
  <c r="R164" i="60"/>
  <c r="P164" i="60"/>
  <c r="J164" i="60"/>
  <c r="BF164" i="60" s="1"/>
  <c r="BK163" i="60"/>
  <c r="BI163" i="60"/>
  <c r="BH163" i="60"/>
  <c r="BG163" i="60"/>
  <c r="BE163" i="60"/>
  <c r="T163" i="60"/>
  <c r="R163" i="60"/>
  <c r="P163" i="60"/>
  <c r="J163" i="60"/>
  <c r="BF163" i="60" s="1"/>
  <c r="BK162" i="60"/>
  <c r="BI162" i="60"/>
  <c r="BH162" i="60"/>
  <c r="BG162" i="60"/>
  <c r="BE162" i="60"/>
  <c r="T162" i="60"/>
  <c r="R162" i="60"/>
  <c r="P162" i="60"/>
  <c r="J162" i="60"/>
  <c r="BF162" i="60" s="1"/>
  <c r="BK161" i="60"/>
  <c r="BI161" i="60"/>
  <c r="BH161" i="60"/>
  <c r="BG161" i="60"/>
  <c r="BE161" i="60"/>
  <c r="T161" i="60"/>
  <c r="R161" i="60"/>
  <c r="P161" i="60"/>
  <c r="J161" i="60"/>
  <c r="BF161" i="60" s="1"/>
  <c r="BK160" i="60"/>
  <c r="BI160" i="60"/>
  <c r="BH160" i="60"/>
  <c r="BG160" i="60"/>
  <c r="BE160" i="60"/>
  <c r="T160" i="60"/>
  <c r="R160" i="60"/>
  <c r="P160" i="60"/>
  <c r="J160" i="60"/>
  <c r="BF160" i="60" s="1"/>
  <c r="BK159" i="60"/>
  <c r="BI159" i="60"/>
  <c r="BH159" i="60"/>
  <c r="BG159" i="60"/>
  <c r="BE159" i="60"/>
  <c r="T159" i="60"/>
  <c r="R159" i="60"/>
  <c r="P159" i="60"/>
  <c r="J159" i="60"/>
  <c r="BF159" i="60" s="1"/>
  <c r="BK158" i="60"/>
  <c r="BI158" i="60"/>
  <c r="BH158" i="60"/>
  <c r="BG158" i="60"/>
  <c r="BE158" i="60"/>
  <c r="T158" i="60"/>
  <c r="R158" i="60"/>
  <c r="P158" i="60"/>
  <c r="J158" i="60"/>
  <c r="BF158" i="60" s="1"/>
  <c r="BK157" i="60"/>
  <c r="BI157" i="60"/>
  <c r="BH157" i="60"/>
  <c r="BG157" i="60"/>
  <c r="BE157" i="60"/>
  <c r="T157" i="60"/>
  <c r="R157" i="60"/>
  <c r="P157" i="60"/>
  <c r="J157" i="60"/>
  <c r="BF157" i="60" s="1"/>
  <c r="BK156" i="60"/>
  <c r="BI156" i="60"/>
  <c r="BH156" i="60"/>
  <c r="BG156" i="60"/>
  <c r="BE156" i="60"/>
  <c r="T156" i="60"/>
  <c r="R156" i="60"/>
  <c r="P156" i="60"/>
  <c r="J156" i="60"/>
  <c r="BF156" i="60" s="1"/>
  <c r="BK155" i="60"/>
  <c r="BI155" i="60"/>
  <c r="BH155" i="60"/>
  <c r="BG155" i="60"/>
  <c r="BE155" i="60"/>
  <c r="T155" i="60"/>
  <c r="R155" i="60"/>
  <c r="P155" i="60"/>
  <c r="J155" i="60"/>
  <c r="BF155" i="60" s="1"/>
  <c r="BK154" i="60"/>
  <c r="BI154" i="60"/>
  <c r="BH154" i="60"/>
  <c r="BG154" i="60"/>
  <c r="BE154" i="60"/>
  <c r="T154" i="60"/>
  <c r="R154" i="60"/>
  <c r="P154" i="60"/>
  <c r="J154" i="60"/>
  <c r="BF154" i="60" s="1"/>
  <c r="BK153" i="60"/>
  <c r="BI153" i="60"/>
  <c r="BH153" i="60"/>
  <c r="BG153" i="60"/>
  <c r="BE153" i="60"/>
  <c r="T153" i="60"/>
  <c r="R153" i="60"/>
  <c r="P153" i="60"/>
  <c r="J153" i="60"/>
  <c r="BF153" i="60" s="1"/>
  <c r="BK152" i="60"/>
  <c r="BI152" i="60"/>
  <c r="BH152" i="60"/>
  <c r="BG152" i="60"/>
  <c r="BE152" i="60"/>
  <c r="T152" i="60"/>
  <c r="R152" i="60"/>
  <c r="P152" i="60"/>
  <c r="P150" i="60" s="1"/>
  <c r="J152" i="60"/>
  <c r="BF152" i="60" s="1"/>
  <c r="BK151" i="60"/>
  <c r="BI151" i="60"/>
  <c r="BH151" i="60"/>
  <c r="BG151" i="60"/>
  <c r="BE151" i="60"/>
  <c r="T151" i="60"/>
  <c r="R151" i="60"/>
  <c r="P151" i="60"/>
  <c r="J151" i="60"/>
  <c r="BF151" i="60" s="1"/>
  <c r="BK149" i="60"/>
  <c r="BI149" i="60"/>
  <c r="BH149" i="60"/>
  <c r="BG149" i="60"/>
  <c r="BE149" i="60"/>
  <c r="T149" i="60"/>
  <c r="R149" i="60"/>
  <c r="P149" i="60"/>
  <c r="J149" i="60"/>
  <c r="BF149" i="60" s="1"/>
  <c r="BK148" i="60"/>
  <c r="BI148" i="60"/>
  <c r="BH148" i="60"/>
  <c r="BG148" i="60"/>
  <c r="BE148" i="60"/>
  <c r="T148" i="60"/>
  <c r="R148" i="60"/>
  <c r="P148" i="60"/>
  <c r="J148" i="60"/>
  <c r="BF148" i="60" s="1"/>
  <c r="BK147" i="60"/>
  <c r="BI147" i="60"/>
  <c r="BH147" i="60"/>
  <c r="BG147" i="60"/>
  <c r="BE147" i="60"/>
  <c r="T147" i="60"/>
  <c r="R147" i="60"/>
  <c r="P147" i="60"/>
  <c r="J147" i="60"/>
  <c r="BF147" i="60" s="1"/>
  <c r="BK146" i="60"/>
  <c r="BI146" i="60"/>
  <c r="BH146" i="60"/>
  <c r="BG146" i="60"/>
  <c r="BE146" i="60"/>
  <c r="T146" i="60"/>
  <c r="R146" i="60"/>
  <c r="P146" i="60"/>
  <c r="J146" i="60"/>
  <c r="BF146" i="60" s="1"/>
  <c r="BK145" i="60"/>
  <c r="BI145" i="60"/>
  <c r="BH145" i="60"/>
  <c r="BG145" i="60"/>
  <c r="BF145" i="60"/>
  <c r="BE145" i="60"/>
  <c r="T145" i="60"/>
  <c r="R145" i="60"/>
  <c r="P145" i="60"/>
  <c r="J145" i="60"/>
  <c r="BK144" i="60"/>
  <c r="BI144" i="60"/>
  <c r="BH144" i="60"/>
  <c r="BG144" i="60"/>
  <c r="BE144" i="60"/>
  <c r="T144" i="60"/>
  <c r="R144" i="60"/>
  <c r="P144" i="60"/>
  <c r="J144" i="60"/>
  <c r="BF144" i="60" s="1"/>
  <c r="BI143" i="60"/>
  <c r="BH143" i="60"/>
  <c r="BG143" i="60"/>
  <c r="BE143" i="60"/>
  <c r="BK142" i="60"/>
  <c r="BI142" i="60"/>
  <c r="BH142" i="60"/>
  <c r="BG142" i="60"/>
  <c r="BE142" i="60"/>
  <c r="T142" i="60"/>
  <c r="R142" i="60"/>
  <c r="P142" i="60"/>
  <c r="J142" i="60"/>
  <c r="BF142" i="60" s="1"/>
  <c r="BK141" i="60"/>
  <c r="BI141" i="60"/>
  <c r="BH141" i="60"/>
  <c r="BG141" i="60"/>
  <c r="BE141" i="60"/>
  <c r="T141" i="60"/>
  <c r="R141" i="60"/>
  <c r="P141" i="60"/>
  <c r="J141" i="60"/>
  <c r="BF141" i="60" s="1"/>
  <c r="BK140" i="60"/>
  <c r="BI140" i="60"/>
  <c r="BH140" i="60"/>
  <c r="BG140" i="60"/>
  <c r="BE140" i="60"/>
  <c r="T140" i="60"/>
  <c r="R140" i="60"/>
  <c r="P140" i="60"/>
  <c r="J140" i="60"/>
  <c r="BF140" i="60" s="1"/>
  <c r="BK139" i="60"/>
  <c r="BI139" i="60"/>
  <c r="BH139" i="60"/>
  <c r="BG139" i="60"/>
  <c r="BE139" i="60"/>
  <c r="T139" i="60"/>
  <c r="R139" i="60"/>
  <c r="P139" i="60"/>
  <c r="BF139" i="60"/>
  <c r="BK138" i="60"/>
  <c r="BI138" i="60"/>
  <c r="BH138" i="60"/>
  <c r="BG138" i="60"/>
  <c r="BE138" i="60"/>
  <c r="T138" i="60"/>
  <c r="R138" i="60"/>
  <c r="P138" i="60"/>
  <c r="J138" i="60"/>
  <c r="BF138" i="60" s="1"/>
  <c r="BK137" i="60"/>
  <c r="BI137" i="60"/>
  <c r="BH137" i="60"/>
  <c r="BG137" i="60"/>
  <c r="BE137" i="60"/>
  <c r="T137" i="60"/>
  <c r="R137" i="60"/>
  <c r="P137" i="60"/>
  <c r="J137" i="60"/>
  <c r="BF137" i="60" s="1"/>
  <c r="BK136" i="60"/>
  <c r="BI136" i="60"/>
  <c r="BH136" i="60"/>
  <c r="BG136" i="60"/>
  <c r="BE136" i="60"/>
  <c r="T136" i="60"/>
  <c r="R136" i="60"/>
  <c r="P136" i="60"/>
  <c r="J136" i="60"/>
  <c r="BF136" i="60" s="1"/>
  <c r="BK135" i="60"/>
  <c r="BI135" i="60"/>
  <c r="BH135" i="60"/>
  <c r="BG135" i="60"/>
  <c r="BF135" i="60"/>
  <c r="BE135" i="60"/>
  <c r="T135" i="60"/>
  <c r="R135" i="60"/>
  <c r="P135" i="60"/>
  <c r="J135" i="60"/>
  <c r="BK134" i="60"/>
  <c r="BI134" i="60"/>
  <c r="BH134" i="60"/>
  <c r="BG134" i="60"/>
  <c r="BE134" i="60"/>
  <c r="T134" i="60"/>
  <c r="R134" i="60"/>
  <c r="P134" i="60"/>
  <c r="J134" i="60"/>
  <c r="BF134" i="60" s="1"/>
  <c r="BK133" i="60"/>
  <c r="BI133" i="60"/>
  <c r="BH133" i="60"/>
  <c r="BG133" i="60"/>
  <c r="BE133" i="60"/>
  <c r="T133" i="60"/>
  <c r="R133" i="60"/>
  <c r="P133" i="60"/>
  <c r="J133" i="60"/>
  <c r="BF133" i="60" s="1"/>
  <c r="BK132" i="60"/>
  <c r="BI132" i="60"/>
  <c r="BH132" i="60"/>
  <c r="BG132" i="60"/>
  <c r="BE132" i="60"/>
  <c r="T132" i="60"/>
  <c r="R132" i="60"/>
  <c r="P132" i="60"/>
  <c r="J132" i="60"/>
  <c r="BF132" i="60" s="1"/>
  <c r="BK131" i="60"/>
  <c r="BI131" i="60"/>
  <c r="BH131" i="60"/>
  <c r="BG131" i="60"/>
  <c r="BF131" i="60"/>
  <c r="BE131" i="60"/>
  <c r="T131" i="60"/>
  <c r="R131" i="60"/>
  <c r="P131" i="60"/>
  <c r="J131" i="60"/>
  <c r="BK130" i="60"/>
  <c r="BI130" i="60"/>
  <c r="BH130" i="60"/>
  <c r="BG130" i="60"/>
  <c r="BE130" i="60"/>
  <c r="T130" i="60"/>
  <c r="R130" i="60"/>
  <c r="P130" i="60"/>
  <c r="J130" i="60"/>
  <c r="BF130" i="60" s="1"/>
  <c r="BK129" i="60"/>
  <c r="BI129" i="60"/>
  <c r="BH129" i="60"/>
  <c r="BG129" i="60"/>
  <c r="BE129" i="60"/>
  <c r="T129" i="60"/>
  <c r="R129" i="60"/>
  <c r="P129" i="60"/>
  <c r="J129" i="60"/>
  <c r="BF129" i="60" s="1"/>
  <c r="F120" i="60"/>
  <c r="E118" i="60"/>
  <c r="E116" i="60"/>
  <c r="J102" i="60"/>
  <c r="F89" i="60"/>
  <c r="E87" i="60"/>
  <c r="E85" i="60"/>
  <c r="J39" i="60"/>
  <c r="J38" i="60"/>
  <c r="J37" i="60"/>
  <c r="J31" i="60"/>
  <c r="J24" i="60"/>
  <c r="E24" i="60"/>
  <c r="J23" i="60"/>
  <c r="J21" i="60"/>
  <c r="J122" i="60"/>
  <c r="J20" i="60"/>
  <c r="J18" i="60"/>
  <c r="E18" i="60"/>
  <c r="F123" i="60" s="1"/>
  <c r="J17" i="60"/>
  <c r="J15" i="60"/>
  <c r="E15" i="60"/>
  <c r="F91" i="60" s="1"/>
  <c r="J14" i="60"/>
  <c r="J12" i="60"/>
  <c r="J120" i="60" s="1"/>
  <c r="E7" i="60"/>
  <c r="BK212" i="59"/>
  <c r="BI212" i="59"/>
  <c r="BH212" i="59"/>
  <c r="BG212" i="59"/>
  <c r="BE212" i="59"/>
  <c r="T212" i="59"/>
  <c r="R212" i="59"/>
  <c r="P212" i="59"/>
  <c r="J212" i="59"/>
  <c r="BF212" i="59" s="1"/>
  <c r="BK211" i="59"/>
  <c r="BI211" i="59"/>
  <c r="BH211" i="59"/>
  <c r="BG211" i="59"/>
  <c r="BE211" i="59"/>
  <c r="T211" i="59"/>
  <c r="R211" i="59"/>
  <c r="P211" i="59"/>
  <c r="J211" i="59"/>
  <c r="BF211" i="59" s="1"/>
  <c r="BK210" i="59"/>
  <c r="BK209" i="59" s="1"/>
  <c r="J209" i="59" s="1"/>
  <c r="J104" i="59" s="1"/>
  <c r="BI210" i="59"/>
  <c r="BH210" i="59"/>
  <c r="BG210" i="59"/>
  <c r="BE210" i="59"/>
  <c r="T210" i="59"/>
  <c r="R210" i="59"/>
  <c r="R209" i="59" s="1"/>
  <c r="P210" i="59"/>
  <c r="J210" i="59"/>
  <c r="BF210" i="59" s="1"/>
  <c r="T209" i="59"/>
  <c r="T207" i="59" s="1"/>
  <c r="P209" i="59"/>
  <c r="BK208" i="59"/>
  <c r="BI208" i="59"/>
  <c r="BH208" i="59"/>
  <c r="BG208" i="59"/>
  <c r="BE208" i="59"/>
  <c r="T208" i="59"/>
  <c r="R208" i="59"/>
  <c r="P208" i="59"/>
  <c r="P207" i="59" s="1"/>
  <c r="J208" i="59"/>
  <c r="BF208" i="59" s="1"/>
  <c r="R207" i="59"/>
  <c r="BI206" i="59"/>
  <c r="BH206" i="59"/>
  <c r="BG206" i="59"/>
  <c r="BE206" i="59"/>
  <c r="BI205" i="59"/>
  <c r="BH205" i="59"/>
  <c r="BG205" i="59"/>
  <c r="BE205" i="59"/>
  <c r="BI204" i="59"/>
  <c r="BH204" i="59"/>
  <c r="BG204" i="59"/>
  <c r="BE204" i="59"/>
  <c r="BK202" i="59"/>
  <c r="BI202" i="59"/>
  <c r="BH202" i="59"/>
  <c r="BG202" i="59"/>
  <c r="BE202" i="59"/>
  <c r="T202" i="59"/>
  <c r="R202" i="59"/>
  <c r="P202" i="59"/>
  <c r="J202" i="59"/>
  <c r="BF202" i="59" s="1"/>
  <c r="BI201" i="59"/>
  <c r="BH201" i="59"/>
  <c r="BG201" i="59"/>
  <c r="BE201" i="59"/>
  <c r="BI200" i="59"/>
  <c r="BH200" i="59"/>
  <c r="BG200" i="59"/>
  <c r="BE200" i="59"/>
  <c r="BI199" i="59"/>
  <c r="BH199" i="59"/>
  <c r="BG199" i="59"/>
  <c r="BE199" i="59"/>
  <c r="BK197" i="59"/>
  <c r="BI197" i="59"/>
  <c r="BH197" i="59"/>
  <c r="BG197" i="59"/>
  <c r="BE197" i="59"/>
  <c r="T197" i="59"/>
  <c r="R197" i="59"/>
  <c r="P197" i="59"/>
  <c r="J197" i="59"/>
  <c r="BF197" i="59" s="1"/>
  <c r="BK196" i="59"/>
  <c r="BI196" i="59"/>
  <c r="BH196" i="59"/>
  <c r="BG196" i="59"/>
  <c r="BE196" i="59"/>
  <c r="T196" i="59"/>
  <c r="R196" i="59"/>
  <c r="P196" i="59"/>
  <c r="J196" i="59"/>
  <c r="BF196" i="59" s="1"/>
  <c r="BK195" i="59"/>
  <c r="BI195" i="59"/>
  <c r="BH195" i="59"/>
  <c r="BG195" i="59"/>
  <c r="BE195" i="59"/>
  <c r="T195" i="59"/>
  <c r="R195" i="59"/>
  <c r="P195" i="59"/>
  <c r="J195" i="59"/>
  <c r="BF195" i="59" s="1"/>
  <c r="BK194" i="59"/>
  <c r="BI194" i="59"/>
  <c r="BH194" i="59"/>
  <c r="BG194" i="59"/>
  <c r="BE194" i="59"/>
  <c r="T194" i="59"/>
  <c r="R194" i="59"/>
  <c r="P194" i="59"/>
  <c r="J194" i="59"/>
  <c r="BF194" i="59" s="1"/>
  <c r="BK193" i="59"/>
  <c r="BI193" i="59"/>
  <c r="BH193" i="59"/>
  <c r="BG193" i="59"/>
  <c r="BE193" i="59"/>
  <c r="T193" i="59"/>
  <c r="R193" i="59"/>
  <c r="P193" i="59"/>
  <c r="J193" i="59"/>
  <c r="BF193" i="59" s="1"/>
  <c r="BK192" i="59"/>
  <c r="BI192" i="59"/>
  <c r="BH192" i="59"/>
  <c r="BG192" i="59"/>
  <c r="BE192" i="59"/>
  <c r="T192" i="59"/>
  <c r="R192" i="59"/>
  <c r="P192" i="59"/>
  <c r="J192" i="59"/>
  <c r="BF192" i="59" s="1"/>
  <c r="BK191" i="59"/>
  <c r="BI191" i="59"/>
  <c r="BH191" i="59"/>
  <c r="BG191" i="59"/>
  <c r="BE191" i="59"/>
  <c r="T191" i="59"/>
  <c r="R191" i="59"/>
  <c r="P191" i="59"/>
  <c r="J191" i="59"/>
  <c r="BF191" i="59" s="1"/>
  <c r="BK190" i="59"/>
  <c r="BI190" i="59"/>
  <c r="BH190" i="59"/>
  <c r="BG190" i="59"/>
  <c r="BE190" i="59"/>
  <c r="T190" i="59"/>
  <c r="R190" i="59"/>
  <c r="P190" i="59"/>
  <c r="J190" i="59"/>
  <c r="BF190" i="59" s="1"/>
  <c r="BK189" i="59"/>
  <c r="BI189" i="59"/>
  <c r="BH189" i="59"/>
  <c r="BG189" i="59"/>
  <c r="BE189" i="59"/>
  <c r="T189" i="59"/>
  <c r="R189" i="59"/>
  <c r="P189" i="59"/>
  <c r="J189" i="59"/>
  <c r="BF189" i="59" s="1"/>
  <c r="BK188" i="59"/>
  <c r="BI188" i="59"/>
  <c r="BH188" i="59"/>
  <c r="BG188" i="59"/>
  <c r="BF188" i="59"/>
  <c r="BE188" i="59"/>
  <c r="T188" i="59"/>
  <c r="R188" i="59"/>
  <c r="P188" i="59"/>
  <c r="J188" i="59"/>
  <c r="BK187" i="59"/>
  <c r="BI187" i="59"/>
  <c r="BH187" i="59"/>
  <c r="BG187" i="59"/>
  <c r="BE187" i="59"/>
  <c r="T187" i="59"/>
  <c r="R187" i="59"/>
  <c r="P187" i="59"/>
  <c r="J187" i="59"/>
  <c r="BF187" i="59" s="1"/>
  <c r="BK186" i="59"/>
  <c r="BI186" i="59"/>
  <c r="BH186" i="59"/>
  <c r="BG186" i="59"/>
  <c r="BE186" i="59"/>
  <c r="T186" i="59"/>
  <c r="R186" i="59"/>
  <c r="P186" i="59"/>
  <c r="J186" i="59"/>
  <c r="BF186" i="59" s="1"/>
  <c r="BK185" i="59"/>
  <c r="BI185" i="59"/>
  <c r="BH185" i="59"/>
  <c r="BG185" i="59"/>
  <c r="BE185" i="59"/>
  <c r="T185" i="59"/>
  <c r="R185" i="59"/>
  <c r="P185" i="59"/>
  <c r="J185" i="59"/>
  <c r="BF185" i="59" s="1"/>
  <c r="BK184" i="59"/>
  <c r="BI184" i="59"/>
  <c r="BH184" i="59"/>
  <c r="BG184" i="59"/>
  <c r="BE184" i="59"/>
  <c r="T184" i="59"/>
  <c r="R184" i="59"/>
  <c r="P184" i="59"/>
  <c r="J184" i="59"/>
  <c r="BF184" i="59" s="1"/>
  <c r="BK183" i="59"/>
  <c r="BI183" i="59"/>
  <c r="BH183" i="59"/>
  <c r="BG183" i="59"/>
  <c r="BE183" i="59"/>
  <c r="T183" i="59"/>
  <c r="R183" i="59"/>
  <c r="P183" i="59"/>
  <c r="J183" i="59"/>
  <c r="BF183" i="59" s="1"/>
  <c r="BK182" i="59"/>
  <c r="BI182" i="59"/>
  <c r="BH182" i="59"/>
  <c r="BG182" i="59"/>
  <c r="BE182" i="59"/>
  <c r="T182" i="59"/>
  <c r="R182" i="59"/>
  <c r="P182" i="59"/>
  <c r="J182" i="59"/>
  <c r="BF182" i="59" s="1"/>
  <c r="BK181" i="59"/>
  <c r="BI181" i="59"/>
  <c r="BH181" i="59"/>
  <c r="BG181" i="59"/>
  <c r="BE181" i="59"/>
  <c r="T181" i="59"/>
  <c r="R181" i="59"/>
  <c r="P181" i="59"/>
  <c r="J181" i="59"/>
  <c r="BF181" i="59" s="1"/>
  <c r="BK180" i="59"/>
  <c r="BI180" i="59"/>
  <c r="BH180" i="59"/>
  <c r="BG180" i="59"/>
  <c r="BE180" i="59"/>
  <c r="T180" i="59"/>
  <c r="R180" i="59"/>
  <c r="P180" i="59"/>
  <c r="J180" i="59"/>
  <c r="BF180" i="59" s="1"/>
  <c r="BK179" i="59"/>
  <c r="BI179" i="59"/>
  <c r="BH179" i="59"/>
  <c r="BG179" i="59"/>
  <c r="BE179" i="59"/>
  <c r="T179" i="59"/>
  <c r="R179" i="59"/>
  <c r="P179" i="59"/>
  <c r="J179" i="59"/>
  <c r="BF179" i="59" s="1"/>
  <c r="BK178" i="59"/>
  <c r="BI178" i="59"/>
  <c r="BH178" i="59"/>
  <c r="BG178" i="59"/>
  <c r="BE178" i="59"/>
  <c r="T178" i="59"/>
  <c r="R178" i="59"/>
  <c r="P178" i="59"/>
  <c r="J178" i="59"/>
  <c r="BF178" i="59" s="1"/>
  <c r="BK177" i="59"/>
  <c r="BI177" i="59"/>
  <c r="BH177" i="59"/>
  <c r="BG177" i="59"/>
  <c r="BE177" i="59"/>
  <c r="T177" i="59"/>
  <c r="R177" i="59"/>
  <c r="P177" i="59"/>
  <c r="J177" i="59"/>
  <c r="BF177" i="59" s="1"/>
  <c r="BK176" i="59"/>
  <c r="BI176" i="59"/>
  <c r="BH176" i="59"/>
  <c r="BG176" i="59"/>
  <c r="BF176" i="59"/>
  <c r="BE176" i="59"/>
  <c r="T176" i="59"/>
  <c r="R176" i="59"/>
  <c r="P176" i="59"/>
  <c r="J176" i="59"/>
  <c r="BK175" i="59"/>
  <c r="BI175" i="59"/>
  <c r="BH175" i="59"/>
  <c r="BG175" i="59"/>
  <c r="BE175" i="59"/>
  <c r="T175" i="59"/>
  <c r="R175" i="59"/>
  <c r="P175" i="59"/>
  <c r="J175" i="59"/>
  <c r="BF175" i="59" s="1"/>
  <c r="BK174" i="59"/>
  <c r="BI174" i="59"/>
  <c r="BH174" i="59"/>
  <c r="BG174" i="59"/>
  <c r="BE174" i="59"/>
  <c r="T174" i="59"/>
  <c r="R174" i="59"/>
  <c r="P174" i="59"/>
  <c r="P172" i="59" s="1"/>
  <c r="J174" i="59"/>
  <c r="BF174" i="59" s="1"/>
  <c r="BK173" i="59"/>
  <c r="BI173" i="59"/>
  <c r="BH173" i="59"/>
  <c r="BG173" i="59"/>
  <c r="BE173" i="59"/>
  <c r="T173" i="59"/>
  <c r="T172" i="59" s="1"/>
  <c r="R173" i="59"/>
  <c r="R172" i="59" s="1"/>
  <c r="P173" i="59"/>
  <c r="J173" i="59"/>
  <c r="BF173" i="59" s="1"/>
  <c r="BK171" i="59"/>
  <c r="BI171" i="59"/>
  <c r="BH171" i="59"/>
  <c r="BG171" i="59"/>
  <c r="BE171" i="59"/>
  <c r="T171" i="59"/>
  <c r="R171" i="59"/>
  <c r="P171" i="59"/>
  <c r="J171" i="59"/>
  <c r="BF171" i="59" s="1"/>
  <c r="BK170" i="59"/>
  <c r="BI170" i="59"/>
  <c r="BH170" i="59"/>
  <c r="BG170" i="59"/>
  <c r="BE170" i="59"/>
  <c r="T170" i="59"/>
  <c r="R170" i="59"/>
  <c r="P170" i="59"/>
  <c r="J170" i="59"/>
  <c r="BF170" i="59" s="1"/>
  <c r="BK169" i="59"/>
  <c r="BI169" i="59"/>
  <c r="BH169" i="59"/>
  <c r="BG169" i="59"/>
  <c r="BF169" i="59"/>
  <c r="BE169" i="59"/>
  <c r="T169" i="59"/>
  <c r="R169" i="59"/>
  <c r="P169" i="59"/>
  <c r="J169" i="59"/>
  <c r="BK168" i="59"/>
  <c r="BI168" i="59"/>
  <c r="BH168" i="59"/>
  <c r="BG168" i="59"/>
  <c r="BF168" i="59"/>
  <c r="BE168" i="59"/>
  <c r="T168" i="59"/>
  <c r="R168" i="59"/>
  <c r="P168" i="59"/>
  <c r="J168" i="59"/>
  <c r="BK167" i="59"/>
  <c r="BI167" i="59"/>
  <c r="BH167" i="59"/>
  <c r="BG167" i="59"/>
  <c r="BE167" i="59"/>
  <c r="T167" i="59"/>
  <c r="R167" i="59"/>
  <c r="P167" i="59"/>
  <c r="J167" i="59"/>
  <c r="BF167" i="59" s="1"/>
  <c r="BK166" i="59"/>
  <c r="BI166" i="59"/>
  <c r="BH166" i="59"/>
  <c r="BG166" i="59"/>
  <c r="BE166" i="59"/>
  <c r="T166" i="59"/>
  <c r="R166" i="59"/>
  <c r="P166" i="59"/>
  <c r="J166" i="59"/>
  <c r="BF166" i="59" s="1"/>
  <c r="BK165" i="59"/>
  <c r="BI165" i="59"/>
  <c r="BH165" i="59"/>
  <c r="BG165" i="59"/>
  <c r="BE165" i="59"/>
  <c r="T165" i="59"/>
  <c r="R165" i="59"/>
  <c r="P165" i="59"/>
  <c r="J165" i="59"/>
  <c r="BF165" i="59" s="1"/>
  <c r="BK164" i="59"/>
  <c r="BI164" i="59"/>
  <c r="BH164" i="59"/>
  <c r="BG164" i="59"/>
  <c r="BF164" i="59"/>
  <c r="BE164" i="59"/>
  <c r="T164" i="59"/>
  <c r="R164" i="59"/>
  <c r="P164" i="59"/>
  <c r="J164" i="59"/>
  <c r="BK163" i="59"/>
  <c r="BI163" i="59"/>
  <c r="BH163" i="59"/>
  <c r="BG163" i="59"/>
  <c r="BE163" i="59"/>
  <c r="T163" i="59"/>
  <c r="R163" i="59"/>
  <c r="P163" i="59"/>
  <c r="J163" i="59"/>
  <c r="BF163" i="59" s="1"/>
  <c r="BK162" i="59"/>
  <c r="BI162" i="59"/>
  <c r="BH162" i="59"/>
  <c r="BG162" i="59"/>
  <c r="BE162" i="59"/>
  <c r="T162" i="59"/>
  <c r="R162" i="59"/>
  <c r="P162" i="59"/>
  <c r="J162" i="59"/>
  <c r="BF162" i="59" s="1"/>
  <c r="BK161" i="59"/>
  <c r="BI161" i="59"/>
  <c r="BH161" i="59"/>
  <c r="BG161" i="59"/>
  <c r="BE161" i="59"/>
  <c r="T161" i="59"/>
  <c r="R161" i="59"/>
  <c r="P161" i="59"/>
  <c r="J161" i="59"/>
  <c r="BF161" i="59" s="1"/>
  <c r="BK160" i="59"/>
  <c r="BI160" i="59"/>
  <c r="BH160" i="59"/>
  <c r="BG160" i="59"/>
  <c r="BE160" i="59"/>
  <c r="T160" i="59"/>
  <c r="R160" i="59"/>
  <c r="P160" i="59"/>
  <c r="J160" i="59"/>
  <c r="BF160" i="59" s="1"/>
  <c r="BK159" i="59"/>
  <c r="BI159" i="59"/>
  <c r="BH159" i="59"/>
  <c r="BG159" i="59"/>
  <c r="BE159" i="59"/>
  <c r="T159" i="59"/>
  <c r="R159" i="59"/>
  <c r="P159" i="59"/>
  <c r="J159" i="59"/>
  <c r="BF159" i="59" s="1"/>
  <c r="BK158" i="59"/>
  <c r="BI158" i="59"/>
  <c r="BH158" i="59"/>
  <c r="BG158" i="59"/>
  <c r="BE158" i="59"/>
  <c r="T158" i="59"/>
  <c r="R158" i="59"/>
  <c r="P158" i="59"/>
  <c r="J158" i="59"/>
  <c r="BF158" i="59" s="1"/>
  <c r="BK157" i="59"/>
  <c r="BI157" i="59"/>
  <c r="BH157" i="59"/>
  <c r="BG157" i="59"/>
  <c r="BF157" i="59"/>
  <c r="BE157" i="59"/>
  <c r="T157" i="59"/>
  <c r="R157" i="59"/>
  <c r="P157" i="59"/>
  <c r="J157" i="59"/>
  <c r="BK156" i="59"/>
  <c r="BI156" i="59"/>
  <c r="BH156" i="59"/>
  <c r="BG156" i="59"/>
  <c r="BE156" i="59"/>
  <c r="T156" i="59"/>
  <c r="R156" i="59"/>
  <c r="P156" i="59"/>
  <c r="J156" i="59"/>
  <c r="BF156" i="59" s="1"/>
  <c r="BK155" i="59"/>
  <c r="BI155" i="59"/>
  <c r="BH155" i="59"/>
  <c r="BG155" i="59"/>
  <c r="BE155" i="59"/>
  <c r="T155" i="59"/>
  <c r="R155" i="59"/>
  <c r="P155" i="59"/>
  <c r="J155" i="59"/>
  <c r="BF155" i="59" s="1"/>
  <c r="BK154" i="59"/>
  <c r="BI154" i="59"/>
  <c r="BH154" i="59"/>
  <c r="BG154" i="59"/>
  <c r="BE154" i="59"/>
  <c r="T154" i="59"/>
  <c r="R154" i="59"/>
  <c r="P154" i="59"/>
  <c r="J154" i="59"/>
  <c r="BF154" i="59" s="1"/>
  <c r="BK153" i="59"/>
  <c r="BI153" i="59"/>
  <c r="BH153" i="59"/>
  <c r="BG153" i="59"/>
  <c r="BF153" i="59"/>
  <c r="BE153" i="59"/>
  <c r="T153" i="59"/>
  <c r="R153" i="59"/>
  <c r="P153" i="59"/>
  <c r="J153" i="59"/>
  <c r="BK152" i="59"/>
  <c r="BI152" i="59"/>
  <c r="BH152" i="59"/>
  <c r="BG152" i="59"/>
  <c r="BF152" i="59"/>
  <c r="BE152" i="59"/>
  <c r="T152" i="59"/>
  <c r="R152" i="59"/>
  <c r="P152" i="59"/>
  <c r="J152" i="59"/>
  <c r="BK151" i="59"/>
  <c r="BI151" i="59"/>
  <c r="BH151" i="59"/>
  <c r="BG151" i="59"/>
  <c r="BE151" i="59"/>
  <c r="T151" i="59"/>
  <c r="R151" i="59"/>
  <c r="R148" i="59" s="1"/>
  <c r="P151" i="59"/>
  <c r="J151" i="59"/>
  <c r="BF151" i="59" s="1"/>
  <c r="BK150" i="59"/>
  <c r="BI150" i="59"/>
  <c r="BH150" i="59"/>
  <c r="BG150" i="59"/>
  <c r="BE150" i="59"/>
  <c r="T150" i="59"/>
  <c r="R150" i="59"/>
  <c r="P150" i="59"/>
  <c r="P148" i="59" s="1"/>
  <c r="J150" i="59"/>
  <c r="BF150" i="59" s="1"/>
  <c r="BK149" i="59"/>
  <c r="BI149" i="59"/>
  <c r="BH149" i="59"/>
  <c r="BG149" i="59"/>
  <c r="BE149" i="59"/>
  <c r="T149" i="59"/>
  <c r="T148" i="59" s="1"/>
  <c r="R149" i="59"/>
  <c r="P149" i="59"/>
  <c r="J149" i="59"/>
  <c r="BF149" i="59" s="1"/>
  <c r="BK147" i="59"/>
  <c r="BI147" i="59"/>
  <c r="BH147" i="59"/>
  <c r="BG147" i="59"/>
  <c r="BF147" i="59"/>
  <c r="BE147" i="59"/>
  <c r="T147" i="59"/>
  <c r="R147" i="59"/>
  <c r="P147" i="59"/>
  <c r="J147" i="59"/>
  <c r="BK146" i="59"/>
  <c r="BI146" i="59"/>
  <c r="BH146" i="59"/>
  <c r="BG146" i="59"/>
  <c r="BE146" i="59"/>
  <c r="T146" i="59"/>
  <c r="R146" i="59"/>
  <c r="P146" i="59"/>
  <c r="J146" i="59"/>
  <c r="BF146" i="59" s="1"/>
  <c r="BK145" i="59"/>
  <c r="BI145" i="59"/>
  <c r="BH145" i="59"/>
  <c r="BG145" i="59"/>
  <c r="BE145" i="59"/>
  <c r="T145" i="59"/>
  <c r="R145" i="59"/>
  <c r="P145" i="59"/>
  <c r="J145" i="59"/>
  <c r="BF145" i="59" s="1"/>
  <c r="BK144" i="59"/>
  <c r="BI144" i="59"/>
  <c r="BH144" i="59"/>
  <c r="BG144" i="59"/>
  <c r="BE144" i="59"/>
  <c r="T144" i="59"/>
  <c r="R144" i="59"/>
  <c r="P144" i="59"/>
  <c r="J144" i="59"/>
  <c r="BF144" i="59" s="1"/>
  <c r="BK143" i="59"/>
  <c r="BI143" i="59"/>
  <c r="BH143" i="59"/>
  <c r="BG143" i="59"/>
  <c r="BE143" i="59"/>
  <c r="T143" i="59"/>
  <c r="R143" i="59"/>
  <c r="P143" i="59"/>
  <c r="J143" i="59"/>
  <c r="BF143" i="59" s="1"/>
  <c r="BK142" i="59"/>
  <c r="BI142" i="59"/>
  <c r="BH142" i="59"/>
  <c r="BG142" i="59"/>
  <c r="BE142" i="59"/>
  <c r="T142" i="59"/>
  <c r="R142" i="59"/>
  <c r="P142" i="59"/>
  <c r="J142" i="59"/>
  <c r="BF142" i="59" s="1"/>
  <c r="BK141" i="59"/>
  <c r="BI141" i="59"/>
  <c r="BH141" i="59"/>
  <c r="BG141" i="59"/>
  <c r="BE141" i="59"/>
  <c r="T141" i="59"/>
  <c r="R141" i="59"/>
  <c r="P141" i="59"/>
  <c r="J141" i="59"/>
  <c r="BF141" i="59" s="1"/>
  <c r="BK140" i="59"/>
  <c r="BI140" i="59"/>
  <c r="BH140" i="59"/>
  <c r="BG140" i="59"/>
  <c r="BE140" i="59"/>
  <c r="T140" i="59"/>
  <c r="R140" i="59"/>
  <c r="P140" i="59"/>
  <c r="J140" i="59"/>
  <c r="BF140" i="59" s="1"/>
  <c r="BI139" i="59"/>
  <c r="BH139" i="59"/>
  <c r="BG139" i="59"/>
  <c r="BE139" i="59"/>
  <c r="BK138" i="59"/>
  <c r="BI138" i="59"/>
  <c r="BH138" i="59"/>
  <c r="BG138" i="59"/>
  <c r="BE138" i="59"/>
  <c r="T138" i="59"/>
  <c r="R138" i="59"/>
  <c r="P138" i="59"/>
  <c r="J138" i="59"/>
  <c r="BF138" i="59" s="1"/>
  <c r="BK137" i="59"/>
  <c r="BI137" i="59"/>
  <c r="BH137" i="59"/>
  <c r="BG137" i="59"/>
  <c r="BE137" i="59"/>
  <c r="T137" i="59"/>
  <c r="R137" i="59"/>
  <c r="P137" i="59"/>
  <c r="J137" i="59"/>
  <c r="BF137" i="59" s="1"/>
  <c r="BK136" i="59"/>
  <c r="BI136" i="59"/>
  <c r="BH136" i="59"/>
  <c r="BG136" i="59"/>
  <c r="BE136" i="59"/>
  <c r="T136" i="59"/>
  <c r="R136" i="59"/>
  <c r="P136" i="59"/>
  <c r="J136" i="59"/>
  <c r="BF136" i="59" s="1"/>
  <c r="BK135" i="59"/>
  <c r="BI135" i="59"/>
  <c r="BH135" i="59"/>
  <c r="BG135" i="59"/>
  <c r="BF135" i="59"/>
  <c r="BE135" i="59"/>
  <c r="T135" i="59"/>
  <c r="R135" i="59"/>
  <c r="P135" i="59"/>
  <c r="J135" i="59"/>
  <c r="BK134" i="59"/>
  <c r="BI134" i="59"/>
  <c r="BH134" i="59"/>
  <c r="BG134" i="59"/>
  <c r="BE134" i="59"/>
  <c r="T134" i="59"/>
  <c r="R134" i="59"/>
  <c r="P134" i="59"/>
  <c r="J134" i="59"/>
  <c r="BF134" i="59" s="1"/>
  <c r="BK133" i="59"/>
  <c r="BI133" i="59"/>
  <c r="BH133" i="59"/>
  <c r="BG133" i="59"/>
  <c r="BE133" i="59"/>
  <c r="T133" i="59"/>
  <c r="R133" i="59"/>
  <c r="P133" i="59"/>
  <c r="J133" i="59"/>
  <c r="BF133" i="59" s="1"/>
  <c r="BK132" i="59"/>
  <c r="BI132" i="59"/>
  <c r="BH132" i="59"/>
  <c r="BG132" i="59"/>
  <c r="BE132" i="59"/>
  <c r="T132" i="59"/>
  <c r="R132" i="59"/>
  <c r="P132" i="59"/>
  <c r="J132" i="59"/>
  <c r="BF132" i="59" s="1"/>
  <c r="BK131" i="59"/>
  <c r="BI131" i="59"/>
  <c r="BH131" i="59"/>
  <c r="BG131" i="59"/>
  <c r="BE131" i="59"/>
  <c r="T131" i="59"/>
  <c r="R131" i="59"/>
  <c r="P131" i="59"/>
  <c r="J131" i="59"/>
  <c r="BF131" i="59" s="1"/>
  <c r="F122" i="59"/>
  <c r="E120" i="59"/>
  <c r="E118" i="59"/>
  <c r="F89" i="59"/>
  <c r="E87" i="59"/>
  <c r="J39" i="59"/>
  <c r="J38" i="59"/>
  <c r="J37" i="59"/>
  <c r="J31" i="59"/>
  <c r="J24" i="59"/>
  <c r="E24" i="59"/>
  <c r="J125" i="59" s="1"/>
  <c r="J23" i="59"/>
  <c r="J21" i="59"/>
  <c r="E21" i="59"/>
  <c r="J124" i="59" s="1"/>
  <c r="J20" i="59"/>
  <c r="J18" i="59"/>
  <c r="E18" i="59"/>
  <c r="F125" i="59" s="1"/>
  <c r="J17" i="59"/>
  <c r="J15" i="59"/>
  <c r="E15" i="59"/>
  <c r="F91" i="59" s="1"/>
  <c r="J14" i="59"/>
  <c r="J12" i="59"/>
  <c r="J122" i="59" s="1"/>
  <c r="E7" i="59"/>
  <c r="E85" i="59" s="1"/>
  <c r="AY119" i="58"/>
  <c r="AX119" i="58"/>
  <c r="AY118" i="58"/>
  <c r="AX118" i="58"/>
  <c r="AY117" i="58"/>
  <c r="AX117" i="58"/>
  <c r="AY116" i="58"/>
  <c r="AX116" i="58"/>
  <c r="AY115" i="58"/>
  <c r="AX115" i="58"/>
  <c r="AY114" i="58"/>
  <c r="AX114" i="58"/>
  <c r="AY113" i="58"/>
  <c r="AX113" i="58"/>
  <c r="AY112" i="58"/>
  <c r="AX112" i="58"/>
  <c r="AY111" i="58"/>
  <c r="AX111" i="58"/>
  <c r="AY110" i="58"/>
  <c r="AX110" i="58"/>
  <c r="AY109" i="58"/>
  <c r="AX109" i="58"/>
  <c r="AY108" i="58"/>
  <c r="AX108" i="58"/>
  <c r="AY107" i="58"/>
  <c r="AX107" i="58"/>
  <c r="AY106" i="58"/>
  <c r="AX106" i="58"/>
  <c r="AY105" i="58"/>
  <c r="AX105" i="58"/>
  <c r="AY104" i="58"/>
  <c r="AX104" i="58"/>
  <c r="AY103" i="58"/>
  <c r="AX103" i="58"/>
  <c r="AY102" i="58"/>
  <c r="AX102" i="58"/>
  <c r="AY101" i="58"/>
  <c r="AX101" i="58"/>
  <c r="AY100" i="58"/>
  <c r="AX100" i="58"/>
  <c r="AY99" i="58"/>
  <c r="AX99" i="58"/>
  <c r="AY98" i="58"/>
  <c r="AX98" i="58"/>
  <c r="AY97" i="58"/>
  <c r="AX97" i="58"/>
  <c r="AY96" i="58"/>
  <c r="AX96" i="58"/>
  <c r="AY95" i="58"/>
  <c r="AX95" i="58"/>
  <c r="AS94" i="58"/>
  <c r="AM90" i="58"/>
  <c r="L90" i="58"/>
  <c r="AM89" i="58"/>
  <c r="L89" i="58"/>
  <c r="AM87" i="58"/>
  <c r="L87" i="58"/>
  <c r="L85" i="58"/>
  <c r="L84" i="58"/>
  <c r="AK27" i="58"/>
  <c r="BK150" i="60" l="1"/>
  <c r="J150" i="60" s="1"/>
  <c r="J99" i="60" s="1"/>
  <c r="R180" i="61"/>
  <c r="E117" i="61"/>
  <c r="BK189" i="62"/>
  <c r="J189" i="62" s="1"/>
  <c r="J101" i="62" s="1"/>
  <c r="F92" i="78"/>
  <c r="J124" i="72"/>
  <c r="J91" i="65"/>
  <c r="J125" i="70"/>
  <c r="J125" i="69"/>
  <c r="J92" i="64"/>
  <c r="J92" i="76"/>
  <c r="J92" i="73"/>
  <c r="J92" i="78"/>
  <c r="J92" i="63"/>
  <c r="F92" i="79"/>
  <c r="F124" i="63"/>
  <c r="J123" i="62"/>
  <c r="J124" i="78"/>
  <c r="J91" i="77"/>
  <c r="J124" i="64"/>
  <c r="J125" i="76"/>
  <c r="F122" i="60"/>
  <c r="F91" i="72"/>
  <c r="F91" i="70"/>
  <c r="F125" i="76"/>
  <c r="F91" i="66"/>
  <c r="F123" i="61"/>
  <c r="F91" i="71"/>
  <c r="F124" i="77"/>
  <c r="F124" i="79"/>
  <c r="F124" i="59"/>
  <c r="F91" i="67"/>
  <c r="F124" i="69"/>
  <c r="F125" i="72"/>
  <c r="F92" i="59"/>
  <c r="F92" i="64"/>
  <c r="F92" i="65"/>
  <c r="F92" i="77"/>
  <c r="F126" i="76"/>
  <c r="F127" i="74"/>
  <c r="F92" i="62"/>
  <c r="F125" i="70"/>
  <c r="T135" i="83"/>
  <c r="BK159" i="73"/>
  <c r="J159" i="73" s="1"/>
  <c r="J103" i="73" s="1"/>
  <c r="P159" i="73"/>
  <c r="P142" i="68"/>
  <c r="P151" i="68"/>
  <c r="R129" i="64"/>
  <c r="R128" i="64" s="1"/>
  <c r="T129" i="64"/>
  <c r="T128" i="64" s="1"/>
  <c r="J35" i="64"/>
  <c r="AV100" i="58" s="1"/>
  <c r="P136" i="64"/>
  <c r="F37" i="64"/>
  <c r="BB100" i="58" s="1"/>
  <c r="J36" i="64"/>
  <c r="AW100" i="58" s="1"/>
  <c r="AT100" i="58" s="1"/>
  <c r="BK136" i="64"/>
  <c r="J136" i="64" s="1"/>
  <c r="J101" i="64" s="1"/>
  <c r="F35" i="64"/>
  <c r="AZ100" i="58" s="1"/>
  <c r="F38" i="64"/>
  <c r="BC100" i="58" s="1"/>
  <c r="F39" i="64"/>
  <c r="BD100" i="58" s="1"/>
  <c r="BK139" i="65"/>
  <c r="J139" i="65" s="1"/>
  <c r="J102" i="65" s="1"/>
  <c r="P129" i="65"/>
  <c r="P128" i="65" s="1"/>
  <c r="AU101" i="58" s="1"/>
  <c r="R129" i="65"/>
  <c r="R128" i="65" s="1"/>
  <c r="J35" i="65"/>
  <c r="AV101" i="58" s="1"/>
  <c r="T142" i="66"/>
  <c r="T129" i="66" s="1"/>
  <c r="T128" i="66" s="1"/>
  <c r="F38" i="66"/>
  <c r="BC102" i="58" s="1"/>
  <c r="F39" i="67"/>
  <c r="BD103" i="58" s="1"/>
  <c r="T139" i="67"/>
  <c r="BK139" i="67"/>
  <c r="J139" i="67" s="1"/>
  <c r="J102" i="67" s="1"/>
  <c r="F38" i="67"/>
  <c r="BC103" i="58" s="1"/>
  <c r="BK142" i="67"/>
  <c r="J142" i="67" s="1"/>
  <c r="J103" i="67" s="1"/>
  <c r="F37" i="67"/>
  <c r="BB103" i="58" s="1"/>
  <c r="J182" i="83"/>
  <c r="J105" i="83" s="1"/>
  <c r="BK181" i="83"/>
  <c r="J181" i="83" s="1"/>
  <c r="J104" i="83" s="1"/>
  <c r="BK242" i="83"/>
  <c r="J242" i="83" s="1"/>
  <c r="J109" i="83" s="1"/>
  <c r="BK182" i="82"/>
  <c r="BK143" i="81"/>
  <c r="J143" i="81" s="1"/>
  <c r="J99" i="81" s="1"/>
  <c r="BK182" i="81"/>
  <c r="BK135" i="81"/>
  <c r="BK190" i="81"/>
  <c r="J190" i="81" s="1"/>
  <c r="J107" i="81" s="1"/>
  <c r="BK162" i="80"/>
  <c r="J162" i="80" s="1"/>
  <c r="J101" i="80" s="1"/>
  <c r="J35" i="78"/>
  <c r="AV114" i="58" s="1"/>
  <c r="BK139" i="78"/>
  <c r="J139" i="78" s="1"/>
  <c r="J98" i="78" s="1"/>
  <c r="BK147" i="78"/>
  <c r="J147" i="78" s="1"/>
  <c r="J99" i="78" s="1"/>
  <c r="BK161" i="76"/>
  <c r="J161" i="76" s="1"/>
  <c r="J99" i="76" s="1"/>
  <c r="BK148" i="75"/>
  <c r="J148" i="75" s="1"/>
  <c r="J100" i="75" s="1"/>
  <c r="BK156" i="75"/>
  <c r="BK187" i="75"/>
  <c r="J187" i="75" s="1"/>
  <c r="J105" i="75" s="1"/>
  <c r="BK137" i="74"/>
  <c r="J137" i="74" s="1"/>
  <c r="J99" i="74" s="1"/>
  <c r="BK189" i="74"/>
  <c r="J189" i="74" s="1"/>
  <c r="J104" i="74" s="1"/>
  <c r="BK141" i="73"/>
  <c r="J141" i="73" s="1"/>
  <c r="J99" i="73" s="1"/>
  <c r="BK141" i="72"/>
  <c r="J141" i="72" s="1"/>
  <c r="J99" i="72" s="1"/>
  <c r="BK142" i="70"/>
  <c r="J142" i="70" s="1"/>
  <c r="J99" i="70" s="1"/>
  <c r="BK150" i="70"/>
  <c r="J150" i="70" s="1"/>
  <c r="J100" i="70" s="1"/>
  <c r="BK159" i="69"/>
  <c r="BK142" i="68"/>
  <c r="J142" i="68" s="1"/>
  <c r="J99" i="68" s="1"/>
  <c r="BK197" i="79"/>
  <c r="BK207" i="59"/>
  <c r="J207" i="59" s="1"/>
  <c r="J103" i="59" s="1"/>
  <c r="BK148" i="59"/>
  <c r="J148" i="59" s="1"/>
  <c r="J99" i="59" s="1"/>
  <c r="BK172" i="59"/>
  <c r="J172" i="59" s="1"/>
  <c r="J100" i="59" s="1"/>
  <c r="J212" i="63"/>
  <c r="J103" i="63" s="1"/>
  <c r="BK211" i="63"/>
  <c r="J211" i="63" s="1"/>
  <c r="J102" i="63" s="1"/>
  <c r="BK129" i="62"/>
  <c r="J129" i="62" s="1"/>
  <c r="J98" i="62" s="1"/>
  <c r="BK157" i="62"/>
  <c r="J157" i="62" s="1"/>
  <c r="J100" i="62" s="1"/>
  <c r="J35" i="80"/>
  <c r="AV116" i="58" s="1"/>
  <c r="F39" i="77"/>
  <c r="BD113" i="58" s="1"/>
  <c r="F38" i="83"/>
  <c r="BC119" i="58" s="1"/>
  <c r="F39" i="82"/>
  <c r="BD118" i="58" s="1"/>
  <c r="F37" i="81"/>
  <c r="BB117" i="58" s="1"/>
  <c r="F35" i="79"/>
  <c r="AZ115" i="58" s="1"/>
  <c r="F39" i="79"/>
  <c r="BD115" i="58" s="1"/>
  <c r="J35" i="79"/>
  <c r="AV115" i="58" s="1"/>
  <c r="J35" i="75"/>
  <c r="AV111" i="58" s="1"/>
  <c r="F37" i="75"/>
  <c r="BB111" i="58" s="1"/>
  <c r="F37" i="74"/>
  <c r="BB110" i="58" s="1"/>
  <c r="F38" i="73"/>
  <c r="BC109" i="58" s="1"/>
  <c r="F38" i="72"/>
  <c r="BC108" i="58" s="1"/>
  <c r="F35" i="71"/>
  <c r="AZ107" i="58" s="1"/>
  <c r="F39" i="71"/>
  <c r="BD107" i="58" s="1"/>
  <c r="F37" i="71"/>
  <c r="BB107" i="58" s="1"/>
  <c r="F38" i="71"/>
  <c r="BC107" i="58" s="1"/>
  <c r="F38" i="70"/>
  <c r="BC106" i="58" s="1"/>
  <c r="F37" i="70"/>
  <c r="BB106" i="58" s="1"/>
  <c r="J35" i="69"/>
  <c r="AV105" i="58" s="1"/>
  <c r="F38" i="68"/>
  <c r="BC104" i="58" s="1"/>
  <c r="F38" i="63"/>
  <c r="BC99" i="58" s="1"/>
  <c r="F37" i="62"/>
  <c r="BB98" i="58" s="1"/>
  <c r="J35" i="62"/>
  <c r="AV98" i="58" s="1"/>
  <c r="F38" i="62"/>
  <c r="BC98" i="58" s="1"/>
  <c r="F35" i="62"/>
  <c r="AZ98" i="58" s="1"/>
  <c r="P129" i="62"/>
  <c r="F39" i="61"/>
  <c r="BD97" i="58" s="1"/>
  <c r="F37" i="61"/>
  <c r="BB97" i="58" s="1"/>
  <c r="J89" i="59"/>
  <c r="J89" i="63"/>
  <c r="J89" i="68"/>
  <c r="J89" i="83"/>
  <c r="J89" i="73"/>
  <c r="J123" i="76"/>
  <c r="J122" i="77"/>
  <c r="J122" i="71"/>
  <c r="J127" i="82"/>
  <c r="F37" i="59"/>
  <c r="BB95" i="58" s="1"/>
  <c r="J35" i="59"/>
  <c r="AV95" i="58" s="1"/>
  <c r="F38" i="59"/>
  <c r="BC95" i="58" s="1"/>
  <c r="F39" i="59"/>
  <c r="BD95" i="58" s="1"/>
  <c r="F38" i="60"/>
  <c r="BC96" i="58" s="1"/>
  <c r="F37" i="60"/>
  <c r="BB96" i="58" s="1"/>
  <c r="J35" i="60"/>
  <c r="AV96" i="58" s="1"/>
  <c r="F35" i="60"/>
  <c r="AZ96" i="58" s="1"/>
  <c r="T155" i="61"/>
  <c r="J35" i="61"/>
  <c r="AV97" i="58" s="1"/>
  <c r="F35" i="61"/>
  <c r="AZ97" i="58" s="1"/>
  <c r="F39" i="63"/>
  <c r="BD99" i="58" s="1"/>
  <c r="F37" i="63"/>
  <c r="BB99" i="58" s="1"/>
  <c r="J36" i="65"/>
  <c r="AW101" i="58" s="1"/>
  <c r="F36" i="65"/>
  <c r="BA101" i="58" s="1"/>
  <c r="J123" i="60"/>
  <c r="J92" i="60"/>
  <c r="J155" i="62"/>
  <c r="J99" i="62" s="1"/>
  <c r="J36" i="67"/>
  <c r="AW103" i="58" s="1"/>
  <c r="F36" i="67"/>
  <c r="BA103" i="58" s="1"/>
  <c r="F35" i="59"/>
  <c r="AZ95" i="58" s="1"/>
  <c r="J91" i="59"/>
  <c r="F39" i="60"/>
  <c r="BD96" i="58" s="1"/>
  <c r="F38" i="61"/>
  <c r="BC97" i="58" s="1"/>
  <c r="P129" i="63"/>
  <c r="BK129" i="63"/>
  <c r="R153" i="63"/>
  <c r="J35" i="66"/>
  <c r="AV102" i="58" s="1"/>
  <c r="F35" i="66"/>
  <c r="AZ102" i="58" s="1"/>
  <c r="J159" i="69"/>
  <c r="J104" i="69" s="1"/>
  <c r="BK158" i="69"/>
  <c r="J158" i="69" s="1"/>
  <c r="J103" i="69" s="1"/>
  <c r="J92" i="59"/>
  <c r="R150" i="60"/>
  <c r="T129" i="63"/>
  <c r="J35" i="63"/>
  <c r="AV99" i="58" s="1"/>
  <c r="P155" i="61"/>
  <c r="F39" i="62"/>
  <c r="BD98" i="58" s="1"/>
  <c r="J91" i="60"/>
  <c r="J92" i="62"/>
  <c r="F91" i="63"/>
  <c r="T129" i="65"/>
  <c r="T128" i="65" s="1"/>
  <c r="P129" i="66"/>
  <c r="P128" i="66" s="1"/>
  <c r="AU102" i="58" s="1"/>
  <c r="J35" i="67"/>
  <c r="AV103" i="58" s="1"/>
  <c r="AT103" i="58" s="1"/>
  <c r="F35" i="67"/>
  <c r="AZ103" i="58" s="1"/>
  <c r="F37" i="68"/>
  <c r="BB104" i="58" s="1"/>
  <c r="J35" i="68"/>
  <c r="AV104" i="58" s="1"/>
  <c r="F39" i="69"/>
  <c r="BD105" i="58" s="1"/>
  <c r="F38" i="69"/>
  <c r="BC105" i="58" s="1"/>
  <c r="F39" i="70"/>
  <c r="BD106" i="58" s="1"/>
  <c r="F35" i="70"/>
  <c r="AZ106" i="58" s="1"/>
  <c r="F92" i="60"/>
  <c r="J89" i="61"/>
  <c r="E85" i="62"/>
  <c r="F35" i="63"/>
  <c r="AZ99" i="58" s="1"/>
  <c r="J91" i="63"/>
  <c r="J91" i="66"/>
  <c r="R129" i="66"/>
  <c r="R128" i="66" s="1"/>
  <c r="T129" i="67"/>
  <c r="T128" i="67" s="1"/>
  <c r="F39" i="68"/>
  <c r="BD104" i="58" s="1"/>
  <c r="F125" i="69"/>
  <c r="F92" i="69"/>
  <c r="J122" i="65"/>
  <c r="BK129" i="66"/>
  <c r="J91" i="61"/>
  <c r="E118" i="64"/>
  <c r="E85" i="64"/>
  <c r="F92" i="61"/>
  <c r="J89" i="62"/>
  <c r="E85" i="63"/>
  <c r="J122" i="64"/>
  <c r="J89" i="64"/>
  <c r="F36" i="64"/>
  <c r="BA100" i="58" s="1"/>
  <c r="P129" i="64"/>
  <c r="P128" i="64" s="1"/>
  <c r="AU100" i="58" s="1"/>
  <c r="F38" i="65"/>
  <c r="BC101" i="58" s="1"/>
  <c r="P129" i="67"/>
  <c r="P128" i="67" s="1"/>
  <c r="AU103" i="58" s="1"/>
  <c r="J92" i="61"/>
  <c r="F91" i="62"/>
  <c r="F124" i="64"/>
  <c r="J122" i="66"/>
  <c r="F37" i="66"/>
  <c r="BB102" i="58" s="1"/>
  <c r="E118" i="67"/>
  <c r="E85" i="67"/>
  <c r="R142" i="67"/>
  <c r="R129" i="67" s="1"/>
  <c r="R128" i="67" s="1"/>
  <c r="J35" i="70"/>
  <c r="AV106" i="58" s="1"/>
  <c r="T142" i="70"/>
  <c r="J89" i="60"/>
  <c r="F37" i="65"/>
  <c r="BB101" i="58" s="1"/>
  <c r="J36" i="66"/>
  <c r="AW102" i="58" s="1"/>
  <c r="F36" i="66"/>
  <c r="BA102" i="58" s="1"/>
  <c r="R142" i="68"/>
  <c r="T151" i="68"/>
  <c r="R139" i="69"/>
  <c r="F37" i="69"/>
  <c r="BB105" i="58" s="1"/>
  <c r="J92" i="65"/>
  <c r="F92" i="66"/>
  <c r="J91" i="67"/>
  <c r="F91" i="68"/>
  <c r="J89" i="69"/>
  <c r="J91" i="71"/>
  <c r="J125" i="71"/>
  <c r="R189" i="74"/>
  <c r="F39" i="75"/>
  <c r="BD111" i="58" s="1"/>
  <c r="F38" i="75"/>
  <c r="BC111" i="58" s="1"/>
  <c r="P156" i="75"/>
  <c r="P155" i="75" s="1"/>
  <c r="J35" i="76"/>
  <c r="AV112" i="58" s="1"/>
  <c r="BK146" i="76"/>
  <c r="J146" i="76" s="1"/>
  <c r="J98" i="76" s="1"/>
  <c r="F35" i="77"/>
  <c r="AZ113" i="58" s="1"/>
  <c r="E85" i="65"/>
  <c r="J92" i="66"/>
  <c r="F92" i="67"/>
  <c r="F35" i="68"/>
  <c r="AZ104" i="58" s="1"/>
  <c r="J91" i="68"/>
  <c r="J89" i="70"/>
  <c r="F37" i="73"/>
  <c r="BB109" i="58" s="1"/>
  <c r="J35" i="73"/>
  <c r="AV109" i="58" s="1"/>
  <c r="J127" i="74"/>
  <c r="E85" i="66"/>
  <c r="J92" i="67"/>
  <c r="F92" i="68"/>
  <c r="F35" i="69"/>
  <c r="AZ105" i="58" s="1"/>
  <c r="J91" i="69"/>
  <c r="J35" i="71"/>
  <c r="AV107" i="58" s="1"/>
  <c r="F38" i="74"/>
  <c r="BC110" i="58" s="1"/>
  <c r="BK129" i="64"/>
  <c r="J92" i="68"/>
  <c r="J91" i="70"/>
  <c r="F125" i="71"/>
  <c r="F92" i="71"/>
  <c r="T147" i="72"/>
  <c r="J35" i="74"/>
  <c r="AV110" i="58" s="1"/>
  <c r="F35" i="74"/>
  <c r="AZ110" i="58" s="1"/>
  <c r="P137" i="74"/>
  <c r="J130" i="78"/>
  <c r="J97" i="78" s="1"/>
  <c r="BK129" i="65"/>
  <c r="E85" i="68"/>
  <c r="F39" i="72"/>
  <c r="BD108" i="58" s="1"/>
  <c r="F39" i="73"/>
  <c r="BD109" i="58" s="1"/>
  <c r="F39" i="74"/>
  <c r="BD110" i="58" s="1"/>
  <c r="P155" i="74"/>
  <c r="P154" i="74" s="1"/>
  <c r="BK155" i="74"/>
  <c r="R137" i="75"/>
  <c r="BK167" i="75"/>
  <c r="J167" i="75" s="1"/>
  <c r="J104" i="75" s="1"/>
  <c r="E118" i="71"/>
  <c r="E85" i="71"/>
  <c r="J92" i="72"/>
  <c r="J125" i="72"/>
  <c r="F37" i="72"/>
  <c r="BB108" i="58" s="1"/>
  <c r="J35" i="72"/>
  <c r="AV108" i="58" s="1"/>
  <c r="T137" i="74"/>
  <c r="R154" i="74"/>
  <c r="J35" i="77"/>
  <c r="AV113" i="58" s="1"/>
  <c r="J197" i="79"/>
  <c r="J104" i="79" s="1"/>
  <c r="BK195" i="79"/>
  <c r="J195" i="79" s="1"/>
  <c r="J103" i="79" s="1"/>
  <c r="T155" i="74"/>
  <c r="T154" i="74" s="1"/>
  <c r="J156" i="75"/>
  <c r="J103" i="75" s="1"/>
  <c r="F91" i="73"/>
  <c r="R146" i="76"/>
  <c r="R143" i="77"/>
  <c r="BK143" i="77"/>
  <c r="J143" i="77" s="1"/>
  <c r="J98" i="77" s="1"/>
  <c r="P130" i="78"/>
  <c r="T139" i="78"/>
  <c r="R139" i="78"/>
  <c r="P147" i="78"/>
  <c r="F37" i="79"/>
  <c r="BB115" i="58" s="1"/>
  <c r="F35" i="73"/>
  <c r="AZ109" i="58" s="1"/>
  <c r="J89" i="75"/>
  <c r="T156" i="75"/>
  <c r="R167" i="75"/>
  <c r="R155" i="75" s="1"/>
  <c r="F38" i="76"/>
  <c r="BC112" i="58" s="1"/>
  <c r="T143" i="77"/>
  <c r="R167" i="78"/>
  <c r="BK167" i="78"/>
  <c r="J167" i="78" s="1"/>
  <c r="J101" i="78" s="1"/>
  <c r="J91" i="79"/>
  <c r="P151" i="80"/>
  <c r="F38" i="81"/>
  <c r="BC117" i="58" s="1"/>
  <c r="J89" i="72"/>
  <c r="F92" i="73"/>
  <c r="J89" i="74"/>
  <c r="F91" i="75"/>
  <c r="T167" i="75"/>
  <c r="P130" i="76"/>
  <c r="BK130" i="76"/>
  <c r="F39" i="76"/>
  <c r="BD112" i="58" s="1"/>
  <c r="F37" i="76"/>
  <c r="BB112" i="58" s="1"/>
  <c r="F124" i="78"/>
  <c r="T130" i="78"/>
  <c r="T147" i="78"/>
  <c r="T167" i="78"/>
  <c r="P167" i="78"/>
  <c r="P160" i="79"/>
  <c r="T195" i="79"/>
  <c r="F35" i="80"/>
  <c r="AZ116" i="58" s="1"/>
  <c r="F37" i="80"/>
  <c r="BB116" i="58" s="1"/>
  <c r="J135" i="81"/>
  <c r="J98" i="81" s="1"/>
  <c r="F39" i="81"/>
  <c r="BD117" i="58" s="1"/>
  <c r="BK189" i="82"/>
  <c r="J189" i="82" s="1"/>
  <c r="J106" i="82" s="1"/>
  <c r="J190" i="82"/>
  <c r="J107" i="82" s="1"/>
  <c r="F91" i="74"/>
  <c r="F35" i="75"/>
  <c r="AZ111" i="58" s="1"/>
  <c r="J91" i="75"/>
  <c r="R130" i="76"/>
  <c r="P146" i="76"/>
  <c r="BK161" i="77"/>
  <c r="J161" i="77" s="1"/>
  <c r="J99" i="77" s="1"/>
  <c r="R160" i="79"/>
  <c r="BK160" i="79"/>
  <c r="J160" i="79" s="1"/>
  <c r="J100" i="79" s="1"/>
  <c r="R136" i="80"/>
  <c r="BK136" i="80"/>
  <c r="F38" i="80"/>
  <c r="BC116" i="58" s="1"/>
  <c r="F35" i="72"/>
  <c r="AZ108" i="58" s="1"/>
  <c r="J91" i="74"/>
  <c r="F92" i="75"/>
  <c r="T130" i="76"/>
  <c r="P161" i="76"/>
  <c r="T180" i="76"/>
  <c r="F38" i="77"/>
  <c r="BC113" i="58" s="1"/>
  <c r="T129" i="77"/>
  <c r="F38" i="78"/>
  <c r="BC114" i="58" s="1"/>
  <c r="T160" i="79"/>
  <c r="T136" i="80"/>
  <c r="J92" i="75"/>
  <c r="F35" i="76"/>
  <c r="AZ112" i="58" s="1"/>
  <c r="BK129" i="77"/>
  <c r="F37" i="77"/>
  <c r="BB113" i="58" s="1"/>
  <c r="T161" i="77"/>
  <c r="R161" i="77"/>
  <c r="F39" i="78"/>
  <c r="BD114" i="58" s="1"/>
  <c r="F37" i="78"/>
  <c r="BB114" i="58" s="1"/>
  <c r="F35" i="78"/>
  <c r="AZ114" i="58" s="1"/>
  <c r="R130" i="78"/>
  <c r="R147" i="78"/>
  <c r="F38" i="79"/>
  <c r="BC115" i="58" s="1"/>
  <c r="BK148" i="79"/>
  <c r="J148" i="79" s="1"/>
  <c r="J99" i="79" s="1"/>
  <c r="F39" i="80"/>
  <c r="BD116" i="58" s="1"/>
  <c r="R191" i="80"/>
  <c r="F37" i="82"/>
  <c r="BB118" i="58" s="1"/>
  <c r="J92" i="77"/>
  <c r="E85" i="78"/>
  <c r="J92" i="79"/>
  <c r="E85" i="80"/>
  <c r="J128" i="80"/>
  <c r="BK183" i="80"/>
  <c r="J89" i="81"/>
  <c r="J127" i="81"/>
  <c r="P135" i="81"/>
  <c r="P189" i="81"/>
  <c r="T150" i="83"/>
  <c r="P228" i="83"/>
  <c r="P183" i="80"/>
  <c r="P182" i="80" s="1"/>
  <c r="T135" i="81"/>
  <c r="R190" i="81"/>
  <c r="R189" i="81" s="1"/>
  <c r="J35" i="82"/>
  <c r="AV118" i="58" s="1"/>
  <c r="F35" i="82"/>
  <c r="AZ118" i="58" s="1"/>
  <c r="T190" i="82"/>
  <c r="T189" i="82" s="1"/>
  <c r="R228" i="82"/>
  <c r="F39" i="83"/>
  <c r="BD119" i="58" s="1"/>
  <c r="F37" i="83"/>
  <c r="BB119" i="58" s="1"/>
  <c r="J35" i="83"/>
  <c r="AV119" i="58" s="1"/>
  <c r="F35" i="83"/>
  <c r="AZ119" i="58" s="1"/>
  <c r="BK150" i="83"/>
  <c r="J150" i="83" s="1"/>
  <c r="J100" i="83" s="1"/>
  <c r="T189" i="83"/>
  <c r="R190" i="83"/>
  <c r="R189" i="83" s="1"/>
  <c r="R183" i="80"/>
  <c r="R182" i="80" s="1"/>
  <c r="J35" i="81"/>
  <c r="AV117" i="58" s="1"/>
  <c r="P150" i="83"/>
  <c r="J89" i="78"/>
  <c r="T183" i="80"/>
  <c r="T182" i="80" s="1"/>
  <c r="BK228" i="81"/>
  <c r="J182" i="82"/>
  <c r="J105" i="82" s="1"/>
  <c r="BK181" i="82"/>
  <c r="J181" i="82" s="1"/>
  <c r="J104" i="82" s="1"/>
  <c r="BK191" i="80"/>
  <c r="R236" i="80"/>
  <c r="P189" i="83"/>
  <c r="T191" i="80"/>
  <c r="T190" i="80" s="1"/>
  <c r="J182" i="81"/>
  <c r="J105" i="81" s="1"/>
  <c r="BK181" i="81"/>
  <c r="J181" i="81" s="1"/>
  <c r="J104" i="81" s="1"/>
  <c r="T228" i="81"/>
  <c r="T189" i="81" s="1"/>
  <c r="F38" i="82"/>
  <c r="BC118" i="58" s="1"/>
  <c r="R189" i="82"/>
  <c r="P135" i="83"/>
  <c r="BK135" i="83"/>
  <c r="F35" i="81"/>
  <c r="AZ117" i="58" s="1"/>
  <c r="E123" i="83"/>
  <c r="E123" i="82"/>
  <c r="E123" i="81"/>
  <c r="BK189" i="83"/>
  <c r="J189" i="83" s="1"/>
  <c r="J106" i="83" s="1"/>
  <c r="AT101" i="58" l="1"/>
  <c r="BK129" i="67"/>
  <c r="BK155" i="75"/>
  <c r="J155" i="75" s="1"/>
  <c r="J102" i="75" s="1"/>
  <c r="BB94" i="58"/>
  <c r="AX94" i="58" s="1"/>
  <c r="BC94" i="58"/>
  <c r="AY94" i="58" s="1"/>
  <c r="BD94" i="58"/>
  <c r="W36" i="58" s="1"/>
  <c r="J228" i="81"/>
  <c r="J108" i="81" s="1"/>
  <c r="BK189" i="81"/>
  <c r="J189" i="81" s="1"/>
  <c r="J106" i="81" s="1"/>
  <c r="BK154" i="74"/>
  <c r="J154" i="74" s="1"/>
  <c r="J102" i="74" s="1"/>
  <c r="J155" i="74"/>
  <c r="J103" i="74" s="1"/>
  <c r="J129" i="66"/>
  <c r="J97" i="66" s="1"/>
  <c r="BK128" i="66"/>
  <c r="J128" i="66" s="1"/>
  <c r="J96" i="66" s="1"/>
  <c r="J136" i="80"/>
  <c r="J98" i="80" s="1"/>
  <c r="J183" i="80"/>
  <c r="J105" i="80" s="1"/>
  <c r="BK182" i="80"/>
  <c r="J182" i="80" s="1"/>
  <c r="J104" i="80" s="1"/>
  <c r="R190" i="80"/>
  <c r="J130" i="76"/>
  <c r="J97" i="76" s="1"/>
  <c r="J129" i="63"/>
  <c r="J98" i="63" s="1"/>
  <c r="J129" i="77"/>
  <c r="J97" i="77" s="1"/>
  <c r="BK190" i="80"/>
  <c r="J190" i="80" s="1"/>
  <c r="J106" i="80" s="1"/>
  <c r="J191" i="80"/>
  <c r="J107" i="80" s="1"/>
  <c r="T155" i="75"/>
  <c r="J129" i="67"/>
  <c r="J97" i="67" s="1"/>
  <c r="BK128" i="67"/>
  <c r="J128" i="67" s="1"/>
  <c r="J96" i="67" s="1"/>
  <c r="AZ94" i="58"/>
  <c r="J135" i="83"/>
  <c r="J98" i="83" s="1"/>
  <c r="J129" i="65"/>
  <c r="J97" i="65" s="1"/>
  <c r="BK128" i="65"/>
  <c r="J128" i="65" s="1"/>
  <c r="J96" i="65" s="1"/>
  <c r="J129" i="64"/>
  <c r="J97" i="64" s="1"/>
  <c r="BK128" i="64"/>
  <c r="J128" i="64" s="1"/>
  <c r="J96" i="64" s="1"/>
  <c r="AT102" i="58"/>
  <c r="W34" i="58" l="1"/>
  <c r="W35" i="58"/>
  <c r="J30" i="65"/>
  <c r="J32" i="65" s="1"/>
  <c r="J109" i="65"/>
  <c r="J30" i="66"/>
  <c r="J32" i="66" s="1"/>
  <c r="J109" i="66"/>
  <c r="J30" i="64"/>
  <c r="J32" i="64" s="1"/>
  <c r="J109" i="64"/>
  <c r="J30" i="67"/>
  <c r="J32" i="67" s="1"/>
  <c r="J109" i="67"/>
  <c r="W32" i="58"/>
  <c r="AV94" i="58"/>
  <c r="J41" i="66" l="1"/>
  <c r="AG102" i="58"/>
  <c r="AN102" i="58" s="1"/>
  <c r="J41" i="65"/>
  <c r="AG101" i="58"/>
  <c r="AN101" i="58" s="1"/>
  <c r="J41" i="67"/>
  <c r="AG103" i="58"/>
  <c r="AN103" i="58" s="1"/>
  <c r="J41" i="64"/>
  <c r="AG100" i="58"/>
  <c r="AN100" i="58" s="1"/>
  <c r="AK32" i="58"/>
  <c r="C157" i="12" l="1"/>
  <c r="L157" i="12" s="1"/>
  <c r="C156" i="12"/>
  <c r="L156" i="12" s="1"/>
  <c r="C155" i="12"/>
  <c r="L155" i="12" s="1"/>
  <c r="C154" i="12"/>
  <c r="L154" i="12" s="1"/>
  <c r="R151" i="12"/>
  <c r="R150" i="12"/>
  <c r="R149" i="12"/>
  <c r="L149" i="12"/>
  <c r="M149" i="12" s="1"/>
  <c r="R148" i="12"/>
  <c r="L148" i="12"/>
  <c r="R147" i="12"/>
  <c r="H212" i="85" s="1"/>
  <c r="P147" i="12"/>
  <c r="Q147" i="12" s="1"/>
  <c r="Q152" i="12" s="1"/>
  <c r="F160" i="12" s="1"/>
  <c r="N147" i="12"/>
  <c r="L147" i="12"/>
  <c r="S149" i="12" l="1"/>
  <c r="H142" i="88" s="1"/>
  <c r="H169" i="88"/>
  <c r="H172" i="88"/>
  <c r="H170" i="88"/>
  <c r="M147" i="12"/>
  <c r="H215" i="85" s="1"/>
  <c r="H209" i="85"/>
  <c r="S150" i="12"/>
  <c r="H135" i="89" s="1"/>
  <c r="H150" i="89"/>
  <c r="BK212" i="85"/>
  <c r="J212" i="85"/>
  <c r="BF212" i="85" s="1"/>
  <c r="R212" i="85"/>
  <c r="T212" i="85"/>
  <c r="P212" i="85"/>
  <c r="O147" i="12"/>
  <c r="H210" i="85"/>
  <c r="S151" i="12"/>
  <c r="H136" i="90" s="1"/>
  <c r="H153" i="90"/>
  <c r="M148" i="12"/>
  <c r="H194" i="87" s="1"/>
  <c r="H187" i="87"/>
  <c r="S148" i="12"/>
  <c r="H139" i="87" s="1"/>
  <c r="H188" i="87"/>
  <c r="R152" i="12"/>
  <c r="H157" i="12" s="1"/>
  <c r="F157" i="12" s="1"/>
  <c r="G157" i="12" s="1"/>
  <c r="L152" i="12"/>
  <c r="N152" i="12"/>
  <c r="H155" i="12" s="1"/>
  <c r="P152" i="12"/>
  <c r="H156" i="12" s="1"/>
  <c r="F156" i="12" s="1"/>
  <c r="J156" i="12" s="1"/>
  <c r="S147" i="12"/>
  <c r="P142" i="88" l="1"/>
  <c r="P136" i="88" s="1"/>
  <c r="BK142" i="88"/>
  <c r="BK136" i="88" s="1"/>
  <c r="J142" i="88"/>
  <c r="BF142" i="88" s="1"/>
  <c r="T142" i="88"/>
  <c r="T136" i="88" s="1"/>
  <c r="R142" i="88"/>
  <c r="R136" i="88" s="1"/>
  <c r="T210" i="85"/>
  <c r="R210" i="85"/>
  <c r="BK210" i="85"/>
  <c r="P210" i="85"/>
  <c r="J210" i="85"/>
  <c r="BF210" i="85" s="1"/>
  <c r="R135" i="89"/>
  <c r="R131" i="89" s="1"/>
  <c r="BK135" i="89"/>
  <c r="BK131" i="89" s="1"/>
  <c r="P135" i="89"/>
  <c r="P131" i="89" s="1"/>
  <c r="T135" i="89"/>
  <c r="T131" i="89" s="1"/>
  <c r="J135" i="89"/>
  <c r="BF135" i="89" s="1"/>
  <c r="R153" i="90"/>
  <c r="R152" i="90" s="1"/>
  <c r="P153" i="90"/>
  <c r="P152" i="90" s="1"/>
  <c r="BK153" i="90"/>
  <c r="BK152" i="90" s="1"/>
  <c r="J152" i="90" s="1"/>
  <c r="J101" i="90" s="1"/>
  <c r="J153" i="90"/>
  <c r="BF153" i="90" s="1"/>
  <c r="T153" i="90"/>
  <c r="T152" i="90" s="1"/>
  <c r="P136" i="90"/>
  <c r="P132" i="90" s="1"/>
  <c r="R136" i="90"/>
  <c r="R132" i="90" s="1"/>
  <c r="BK136" i="90"/>
  <c r="BK132" i="90" s="1"/>
  <c r="J136" i="90"/>
  <c r="BF136" i="90" s="1"/>
  <c r="T136" i="90"/>
  <c r="T132" i="90" s="1"/>
  <c r="R150" i="89"/>
  <c r="R149" i="89" s="1"/>
  <c r="J150" i="89"/>
  <c r="BF150" i="89" s="1"/>
  <c r="P150" i="89"/>
  <c r="P149" i="89" s="1"/>
  <c r="BK150" i="89"/>
  <c r="BK149" i="89" s="1"/>
  <c r="J149" i="89" s="1"/>
  <c r="J100" i="89" s="1"/>
  <c r="T150" i="89"/>
  <c r="T149" i="89" s="1"/>
  <c r="M152" i="12"/>
  <c r="O152" i="12"/>
  <c r="D160" i="12" s="1"/>
  <c r="H216" i="85"/>
  <c r="T209" i="85"/>
  <c r="R209" i="85"/>
  <c r="P209" i="85"/>
  <c r="BK209" i="85"/>
  <c r="J209" i="85"/>
  <c r="BF209" i="85" s="1"/>
  <c r="BK188" i="87"/>
  <c r="J188" i="87"/>
  <c r="BF188" i="87" s="1"/>
  <c r="T188" i="87"/>
  <c r="R188" i="87"/>
  <c r="P188" i="87"/>
  <c r="P215" i="85"/>
  <c r="J215" i="85"/>
  <c r="BF215" i="85" s="1"/>
  <c r="T215" i="85"/>
  <c r="BK215" i="85"/>
  <c r="R215" i="85"/>
  <c r="T139" i="87"/>
  <c r="T130" i="87" s="1"/>
  <c r="R139" i="87"/>
  <c r="R130" i="87" s="1"/>
  <c r="P139" i="87"/>
  <c r="P130" i="87" s="1"/>
  <c r="BK139" i="87"/>
  <c r="BK130" i="87" s="1"/>
  <c r="J139" i="87"/>
  <c r="BF139" i="87" s="1"/>
  <c r="H171" i="88"/>
  <c r="T170" i="88"/>
  <c r="R170" i="88"/>
  <c r="BK170" i="88"/>
  <c r="P170" i="88"/>
  <c r="J170" i="88"/>
  <c r="BF170" i="88" s="1"/>
  <c r="S152" i="12"/>
  <c r="H160" i="12" s="1"/>
  <c r="H142" i="85"/>
  <c r="R187" i="87"/>
  <c r="BK187" i="87"/>
  <c r="P187" i="87"/>
  <c r="J187" i="87"/>
  <c r="BF187" i="87" s="1"/>
  <c r="T187" i="87"/>
  <c r="BK172" i="88"/>
  <c r="J172" i="88"/>
  <c r="BF172" i="88" s="1"/>
  <c r="T172" i="88"/>
  <c r="R172" i="88"/>
  <c r="P172" i="88"/>
  <c r="H192" i="87"/>
  <c r="T194" i="87"/>
  <c r="R194" i="87"/>
  <c r="BK194" i="87"/>
  <c r="P194" i="87"/>
  <c r="J194" i="87"/>
  <c r="BF194" i="87" s="1"/>
  <c r="T169" i="88"/>
  <c r="R169" i="88"/>
  <c r="P169" i="88"/>
  <c r="BK169" i="88"/>
  <c r="J169" i="88"/>
  <c r="BF169" i="88" s="1"/>
  <c r="B160" i="12"/>
  <c r="H154" i="12"/>
  <c r="F154" i="12" s="1"/>
  <c r="G154" i="12" s="1"/>
  <c r="F155" i="12"/>
  <c r="J155" i="12" s="1"/>
  <c r="G156" i="12"/>
  <c r="J157" i="12"/>
  <c r="T131" i="90" l="1"/>
  <c r="T130" i="90" s="1"/>
  <c r="H218" i="85"/>
  <c r="BK216" i="85"/>
  <c r="T216" i="85"/>
  <c r="R216" i="85"/>
  <c r="P216" i="85"/>
  <c r="J216" i="85"/>
  <c r="BF216" i="85" s="1"/>
  <c r="H193" i="87"/>
  <c r="BK192" i="87"/>
  <c r="H189" i="87"/>
  <c r="T192" i="87"/>
  <c r="J192" i="87"/>
  <c r="BF192" i="87" s="1"/>
  <c r="R192" i="87"/>
  <c r="P192" i="87"/>
  <c r="BK131" i="90"/>
  <c r="J132" i="90"/>
  <c r="J98" i="90" s="1"/>
  <c r="F36" i="89"/>
  <c r="BA99" i="84" s="1"/>
  <c r="J36" i="89"/>
  <c r="AW99" i="84" s="1"/>
  <c r="AT99" i="84" s="1"/>
  <c r="P171" i="88"/>
  <c r="P168" i="88" s="1"/>
  <c r="P135" i="88" s="1"/>
  <c r="P134" i="88" s="1"/>
  <c r="AU98" i="84" s="1"/>
  <c r="T171" i="88"/>
  <c r="T168" i="88" s="1"/>
  <c r="T135" i="88" s="1"/>
  <c r="T134" i="88" s="1"/>
  <c r="BK171" i="88"/>
  <c r="BK168" i="88" s="1"/>
  <c r="J171" i="88"/>
  <c r="BF171" i="88" s="1"/>
  <c r="R171" i="88"/>
  <c r="R168" i="88" s="1"/>
  <c r="R135" i="88" s="1"/>
  <c r="R134" i="88" s="1"/>
  <c r="R131" i="90"/>
  <c r="R130" i="90" s="1"/>
  <c r="T130" i="89"/>
  <c r="T129" i="89" s="1"/>
  <c r="J136" i="88"/>
  <c r="J98" i="88" s="1"/>
  <c r="R142" i="85"/>
  <c r="R129" i="85" s="1"/>
  <c r="P142" i="85"/>
  <c r="P129" i="85" s="1"/>
  <c r="BK142" i="85"/>
  <c r="BK129" i="85" s="1"/>
  <c r="J142" i="85"/>
  <c r="BF142" i="85" s="1"/>
  <c r="T142" i="85"/>
  <c r="T129" i="85" s="1"/>
  <c r="P131" i="90"/>
  <c r="P130" i="90" s="1"/>
  <c r="AU100" i="84" s="1"/>
  <c r="P130" i="89"/>
  <c r="P129" i="89" s="1"/>
  <c r="AU99" i="84" s="1"/>
  <c r="J130" i="87"/>
  <c r="J98" i="87" s="1"/>
  <c r="J131" i="89"/>
  <c r="J98" i="89" s="1"/>
  <c r="BK130" i="89"/>
  <c r="R130" i="89"/>
  <c r="R129" i="89" s="1"/>
  <c r="F36" i="88"/>
  <c r="BA98" i="84" s="1"/>
  <c r="J36" i="88"/>
  <c r="AW98" i="84" s="1"/>
  <c r="AT98" i="84" s="1"/>
  <c r="J154" i="12"/>
  <c r="G155" i="12"/>
  <c r="J168" i="88" l="1"/>
  <c r="J104" i="88" s="1"/>
  <c r="BK135" i="88"/>
  <c r="T193" i="87"/>
  <c r="R193" i="87"/>
  <c r="P193" i="87"/>
  <c r="BK193" i="87"/>
  <c r="BK191" i="87" s="1"/>
  <c r="J191" i="87" s="1"/>
  <c r="J102" i="87" s="1"/>
  <c r="J193" i="87"/>
  <c r="BF193" i="87" s="1"/>
  <c r="J130" i="89"/>
  <c r="J97" i="89" s="1"/>
  <c r="BK129" i="89"/>
  <c r="J129" i="89" s="1"/>
  <c r="J96" i="89" s="1"/>
  <c r="R191" i="87"/>
  <c r="J129" i="85"/>
  <c r="J98" i="85" s="1"/>
  <c r="P191" i="87"/>
  <c r="T191" i="87"/>
  <c r="T218" i="85"/>
  <c r="H219" i="85"/>
  <c r="H213" i="85"/>
  <c r="R218" i="85"/>
  <c r="P218" i="85"/>
  <c r="BK218" i="85"/>
  <c r="J218" i="85"/>
  <c r="BF218" i="85" s="1"/>
  <c r="J131" i="90"/>
  <c r="J97" i="90" s="1"/>
  <c r="BK130" i="90"/>
  <c r="J130" i="90" s="1"/>
  <c r="J96" i="90" s="1"/>
  <c r="J109" i="90" s="1"/>
  <c r="J189" i="87"/>
  <c r="BF189" i="87" s="1"/>
  <c r="P189" i="87"/>
  <c r="P186" i="87" s="1"/>
  <c r="BK189" i="87"/>
  <c r="BK186" i="87" s="1"/>
  <c r="R189" i="87"/>
  <c r="R186" i="87" s="1"/>
  <c r="R129" i="87" s="1"/>
  <c r="R128" i="87" s="1"/>
  <c r="T189" i="87"/>
  <c r="T186" i="87" s="1"/>
  <c r="T129" i="87" s="1"/>
  <c r="T128" i="87" s="1"/>
  <c r="R116" i="12"/>
  <c r="R117" i="12"/>
  <c r="R118" i="12"/>
  <c r="R119" i="12"/>
  <c r="R120" i="12"/>
  <c r="R121" i="12"/>
  <c r="R122" i="12"/>
  <c r="R123" i="12"/>
  <c r="R124" i="12"/>
  <c r="R125" i="12"/>
  <c r="R126" i="12"/>
  <c r="R127" i="12"/>
  <c r="R128" i="12"/>
  <c r="R129" i="12"/>
  <c r="R130" i="12"/>
  <c r="R131" i="12"/>
  <c r="R132" i="12"/>
  <c r="R133" i="12"/>
  <c r="S133" i="12" s="1"/>
  <c r="R134" i="12"/>
  <c r="R135" i="12"/>
  <c r="R115" i="12"/>
  <c r="H216" i="60" s="1"/>
  <c r="L115" i="12"/>
  <c r="P116" i="12"/>
  <c r="P117" i="12"/>
  <c r="P118" i="12"/>
  <c r="P115" i="12"/>
  <c r="N132" i="12"/>
  <c r="N133" i="12"/>
  <c r="N134" i="12"/>
  <c r="N135" i="12"/>
  <c r="N116" i="12"/>
  <c r="N117" i="12"/>
  <c r="N118" i="12"/>
  <c r="N115" i="12"/>
  <c r="H214" i="60" s="1"/>
  <c r="L116" i="12"/>
  <c r="L117" i="12"/>
  <c r="L118" i="12"/>
  <c r="L119" i="12"/>
  <c r="L120" i="12"/>
  <c r="L121" i="12"/>
  <c r="L122" i="12"/>
  <c r="L123" i="12"/>
  <c r="L124" i="12"/>
  <c r="L125" i="12"/>
  <c r="L126" i="12"/>
  <c r="M126" i="12" s="1"/>
  <c r="L129" i="12"/>
  <c r="L132" i="12"/>
  <c r="L133" i="12"/>
  <c r="L134" i="12"/>
  <c r="L135" i="12"/>
  <c r="C141" i="12"/>
  <c r="L141" i="12" s="1"/>
  <c r="C140" i="12"/>
  <c r="L140" i="12" s="1"/>
  <c r="C139" i="12"/>
  <c r="L139" i="12" s="1"/>
  <c r="C138" i="12"/>
  <c r="BF109" i="90" l="1"/>
  <c r="J108" i="90"/>
  <c r="J31" i="90" s="1"/>
  <c r="M132" i="12"/>
  <c r="H177" i="80" s="1"/>
  <c r="H171" i="80"/>
  <c r="M120" i="12"/>
  <c r="H194" i="79" s="1"/>
  <c r="H187" i="79"/>
  <c r="O116" i="12"/>
  <c r="H216" i="61" s="1"/>
  <c r="H207" i="61"/>
  <c r="Q116" i="12"/>
  <c r="H208" i="61"/>
  <c r="S130" i="12"/>
  <c r="H188" i="77" s="1"/>
  <c r="H190" i="77"/>
  <c r="S122" i="12"/>
  <c r="H136" i="69" s="1"/>
  <c r="H151" i="69"/>
  <c r="M121" i="12"/>
  <c r="H165" i="68" s="1"/>
  <c r="H158" i="68"/>
  <c r="M115" i="12"/>
  <c r="H222" i="60" s="1"/>
  <c r="H213" i="60"/>
  <c r="S121" i="12"/>
  <c r="H138" i="68" s="1"/>
  <c r="H159" i="68"/>
  <c r="M118" i="12"/>
  <c r="H209" i="63" s="1"/>
  <c r="H200" i="63"/>
  <c r="O134" i="12"/>
  <c r="H177" i="82" s="1"/>
  <c r="H171" i="82"/>
  <c r="T216" i="60"/>
  <c r="R216" i="60"/>
  <c r="BK216" i="60"/>
  <c r="P216" i="60"/>
  <c r="J216" i="60"/>
  <c r="BF216" i="60" s="1"/>
  <c r="S128" i="12"/>
  <c r="H136" i="75" s="1"/>
  <c r="H154" i="75"/>
  <c r="S120" i="12"/>
  <c r="H139" i="79" s="1"/>
  <c r="H188" i="79"/>
  <c r="P129" i="87"/>
  <c r="P128" i="87" s="1"/>
  <c r="AU97" i="84" s="1"/>
  <c r="R213" i="85"/>
  <c r="R179" i="85" s="1"/>
  <c r="P213" i="85"/>
  <c r="P179" i="85" s="1"/>
  <c r="BK213" i="85"/>
  <c r="BK179" i="85" s="1"/>
  <c r="T213" i="85"/>
  <c r="T179" i="85" s="1"/>
  <c r="J213" i="85"/>
  <c r="BF213" i="85" s="1"/>
  <c r="M122" i="12"/>
  <c r="H152" i="69" s="1"/>
  <c r="H150" i="69"/>
  <c r="Q118" i="12"/>
  <c r="H202" i="63"/>
  <c r="S132" i="12"/>
  <c r="H172" i="81"/>
  <c r="H173" i="80"/>
  <c r="S124" i="12"/>
  <c r="H137" i="71" s="1"/>
  <c r="H157" i="71"/>
  <c r="S116" i="12"/>
  <c r="H146" i="61" s="1"/>
  <c r="H209" i="61"/>
  <c r="J135" i="88"/>
  <c r="J97" i="88" s="1"/>
  <c r="BK134" i="88"/>
  <c r="J134" i="88" s="1"/>
  <c r="J96" i="88" s="1"/>
  <c r="M133" i="12"/>
  <c r="H176" i="81" s="1"/>
  <c r="H170" i="81"/>
  <c r="Q117" i="12"/>
  <c r="H233" i="62"/>
  <c r="S123" i="12"/>
  <c r="H139" i="70" s="1"/>
  <c r="H168" i="70"/>
  <c r="J30" i="89"/>
  <c r="J32" i="89" s="1"/>
  <c r="J110" i="89"/>
  <c r="M129" i="12"/>
  <c r="H198" i="76" s="1"/>
  <c r="H192" i="76"/>
  <c r="S129" i="12"/>
  <c r="H190" i="76" s="1"/>
  <c r="H193" i="76"/>
  <c r="M125" i="12"/>
  <c r="H163" i="72" s="1"/>
  <c r="H156" i="72"/>
  <c r="M117" i="12"/>
  <c r="H240" i="62" s="1"/>
  <c r="H231" i="62"/>
  <c r="O133" i="12"/>
  <c r="H177" i="81" s="1"/>
  <c r="H171" i="81"/>
  <c r="S135" i="12"/>
  <c r="H172" i="83"/>
  <c r="S127" i="12"/>
  <c r="H136" i="74" s="1"/>
  <c r="H153" i="74"/>
  <c r="F36" i="87"/>
  <c r="BA97" i="84" s="1"/>
  <c r="J36" i="87"/>
  <c r="AW97" i="84" s="1"/>
  <c r="AT97" i="84" s="1"/>
  <c r="R219" i="85"/>
  <c r="R214" i="85" s="1"/>
  <c r="P219" i="85"/>
  <c r="P214" i="85" s="1"/>
  <c r="BK219" i="85"/>
  <c r="BK214" i="85" s="1"/>
  <c r="J214" i="85" s="1"/>
  <c r="J102" i="85" s="1"/>
  <c r="J219" i="85"/>
  <c r="BF219" i="85" s="1"/>
  <c r="T219" i="85"/>
  <c r="T214" i="85" s="1"/>
  <c r="M134" i="12"/>
  <c r="H176" i="82" s="1"/>
  <c r="H170" i="82"/>
  <c r="O117" i="12"/>
  <c r="H241" i="62" s="1"/>
  <c r="H232" i="62"/>
  <c r="J186" i="87"/>
  <c r="J101" i="87" s="1"/>
  <c r="BK129" i="87"/>
  <c r="M124" i="12"/>
  <c r="H163" i="71" s="1"/>
  <c r="H156" i="71"/>
  <c r="M116" i="12"/>
  <c r="H215" i="61" s="1"/>
  <c r="H206" i="61"/>
  <c r="O132" i="12"/>
  <c r="H178" i="80" s="1"/>
  <c r="H172" i="80"/>
  <c r="S134" i="12"/>
  <c r="H142" i="82" s="1"/>
  <c r="H172" i="82"/>
  <c r="S126" i="12"/>
  <c r="H137" i="73" s="1"/>
  <c r="H156" i="73"/>
  <c r="S118" i="12"/>
  <c r="H203" i="63"/>
  <c r="J30" i="90"/>
  <c r="O118" i="12"/>
  <c r="H201" i="63"/>
  <c r="S131" i="12"/>
  <c r="H181" i="78" s="1"/>
  <c r="H183" i="78"/>
  <c r="O135" i="12"/>
  <c r="H177" i="83" s="1"/>
  <c r="H171" i="83"/>
  <c r="M135" i="12"/>
  <c r="H176" i="83" s="1"/>
  <c r="H170" i="83"/>
  <c r="M123" i="12"/>
  <c r="H172" i="70" s="1"/>
  <c r="H167" i="70"/>
  <c r="R214" i="60"/>
  <c r="P214" i="60"/>
  <c r="T214" i="60"/>
  <c r="J214" i="60"/>
  <c r="BF214" i="60" s="1"/>
  <c r="BK214" i="60"/>
  <c r="Q115" i="12"/>
  <c r="H215" i="60"/>
  <c r="S125" i="12"/>
  <c r="H137" i="72" s="1"/>
  <c r="H157" i="72"/>
  <c r="S117" i="12"/>
  <c r="H234" i="62"/>
  <c r="L138" i="12"/>
  <c r="C163" i="12"/>
  <c r="M119" i="12"/>
  <c r="H199" i="59"/>
  <c r="S119" i="12"/>
  <c r="H139" i="59" s="1"/>
  <c r="H200" i="59"/>
  <c r="P136" i="12"/>
  <c r="H140" i="12" s="1"/>
  <c r="R136" i="12"/>
  <c r="H141" i="12" s="1"/>
  <c r="N136" i="12"/>
  <c r="H139" i="12" s="1"/>
  <c r="O115" i="12"/>
  <c r="B144" i="12"/>
  <c r="L136" i="12"/>
  <c r="Q136" i="12"/>
  <c r="F144" i="12" s="1"/>
  <c r="S115" i="12"/>
  <c r="J32" i="90" l="1"/>
  <c r="J111" i="90"/>
  <c r="F36" i="90"/>
  <c r="BA100" i="84" s="1"/>
  <c r="J36" i="90"/>
  <c r="AW100" i="84" s="1"/>
  <c r="AT100" i="84" s="1"/>
  <c r="R156" i="73"/>
  <c r="R154" i="73" s="1"/>
  <c r="BK156" i="73"/>
  <c r="BK154" i="73" s="1"/>
  <c r="J154" i="73" s="1"/>
  <c r="J102" i="73" s="1"/>
  <c r="T156" i="73"/>
  <c r="T154" i="73" s="1"/>
  <c r="P156" i="73"/>
  <c r="P154" i="73" s="1"/>
  <c r="J156" i="73"/>
  <c r="BF156" i="73" s="1"/>
  <c r="T139" i="70"/>
  <c r="T130" i="70" s="1"/>
  <c r="P139" i="70"/>
  <c r="P130" i="70" s="1"/>
  <c r="BK139" i="70"/>
  <c r="BK130" i="70" s="1"/>
  <c r="R139" i="70"/>
  <c r="R130" i="70" s="1"/>
  <c r="J139" i="70"/>
  <c r="BF139" i="70" s="1"/>
  <c r="T167" i="70"/>
  <c r="P167" i="70"/>
  <c r="J167" i="70"/>
  <c r="BF167" i="70" s="1"/>
  <c r="BK167" i="70"/>
  <c r="R167" i="70"/>
  <c r="T193" i="76"/>
  <c r="R193" i="76"/>
  <c r="P193" i="76"/>
  <c r="J193" i="76"/>
  <c r="BF193" i="76" s="1"/>
  <c r="BK193" i="76"/>
  <c r="P188" i="77"/>
  <c r="P184" i="77" s="1"/>
  <c r="BK188" i="77"/>
  <c r="BK184" i="77" s="1"/>
  <c r="J188" i="77"/>
  <c r="BF188" i="77" s="1"/>
  <c r="T188" i="77"/>
  <c r="T184" i="77" s="1"/>
  <c r="R188" i="77"/>
  <c r="R184" i="77" s="1"/>
  <c r="T215" i="60"/>
  <c r="BK215" i="60"/>
  <c r="J215" i="60"/>
  <c r="BF215" i="60" s="1"/>
  <c r="R215" i="60"/>
  <c r="P215" i="60"/>
  <c r="H173" i="70"/>
  <c r="H174" i="70"/>
  <c r="BK172" i="70"/>
  <c r="J172" i="70"/>
  <c r="BF172" i="70" s="1"/>
  <c r="T172" i="70"/>
  <c r="P172" i="70"/>
  <c r="R172" i="70"/>
  <c r="P172" i="82"/>
  <c r="BK172" i="82"/>
  <c r="J172" i="82"/>
  <c r="BF172" i="82" s="1"/>
  <c r="T172" i="82"/>
  <c r="R172" i="82"/>
  <c r="J129" i="87"/>
  <c r="J97" i="87" s="1"/>
  <c r="BK128" i="87"/>
  <c r="J128" i="87" s="1"/>
  <c r="J96" i="87" s="1"/>
  <c r="P190" i="76"/>
  <c r="P186" i="76" s="1"/>
  <c r="BK190" i="76"/>
  <c r="BK186" i="76" s="1"/>
  <c r="J190" i="76"/>
  <c r="BF190" i="76" s="1"/>
  <c r="T190" i="76"/>
  <c r="T186" i="76" s="1"/>
  <c r="R190" i="76"/>
  <c r="R186" i="76" s="1"/>
  <c r="R137" i="71"/>
  <c r="R130" i="71" s="1"/>
  <c r="P137" i="71"/>
  <c r="P130" i="71" s="1"/>
  <c r="BK137" i="71"/>
  <c r="BK130" i="71" s="1"/>
  <c r="J137" i="71"/>
  <c r="BF137" i="71" s="1"/>
  <c r="T137" i="71"/>
  <c r="T130" i="71" s="1"/>
  <c r="J36" i="85"/>
  <c r="AW95" i="84" s="1"/>
  <c r="AT95" i="84" s="1"/>
  <c r="F36" i="85"/>
  <c r="BA95" i="84" s="1"/>
  <c r="BA94" i="84" s="1"/>
  <c r="T154" i="75"/>
  <c r="T153" i="75" s="1"/>
  <c r="R154" i="75"/>
  <c r="R153" i="75" s="1"/>
  <c r="P154" i="75"/>
  <c r="P153" i="75" s="1"/>
  <c r="BK154" i="75"/>
  <c r="BK153" i="75" s="1"/>
  <c r="J153" i="75" s="1"/>
  <c r="J101" i="75" s="1"/>
  <c r="J154" i="75"/>
  <c r="BF154" i="75" s="1"/>
  <c r="T177" i="82"/>
  <c r="R177" i="82"/>
  <c r="P177" i="82"/>
  <c r="BK177" i="82"/>
  <c r="J177" i="82"/>
  <c r="BF177" i="82" s="1"/>
  <c r="P208" i="61"/>
  <c r="BK208" i="61"/>
  <c r="T208" i="61"/>
  <c r="R208" i="61"/>
  <c r="J208" i="61"/>
  <c r="BF208" i="61" s="1"/>
  <c r="T157" i="72"/>
  <c r="R157" i="72"/>
  <c r="BK157" i="72"/>
  <c r="J157" i="72"/>
  <c r="BF157" i="72" s="1"/>
  <c r="P157" i="72"/>
  <c r="R137" i="72"/>
  <c r="R130" i="72" s="1"/>
  <c r="P137" i="72"/>
  <c r="P130" i="72" s="1"/>
  <c r="BK137" i="72"/>
  <c r="BK130" i="72" s="1"/>
  <c r="J137" i="72"/>
  <c r="BF137" i="72" s="1"/>
  <c r="T137" i="72"/>
  <c r="T130" i="72" s="1"/>
  <c r="H154" i="69"/>
  <c r="P152" i="69"/>
  <c r="BK152" i="69"/>
  <c r="J152" i="69"/>
  <c r="BF152" i="69" s="1"/>
  <c r="T152" i="69"/>
  <c r="R152" i="69"/>
  <c r="P170" i="83"/>
  <c r="BK170" i="83"/>
  <c r="J170" i="83"/>
  <c r="BF170" i="83" s="1"/>
  <c r="T170" i="83"/>
  <c r="R170" i="83"/>
  <c r="BK171" i="81"/>
  <c r="J171" i="81"/>
  <c r="BF171" i="81" s="1"/>
  <c r="T171" i="81"/>
  <c r="R171" i="81"/>
  <c r="P171" i="81"/>
  <c r="BK192" i="76"/>
  <c r="J192" i="76"/>
  <c r="BF192" i="76" s="1"/>
  <c r="T192" i="76"/>
  <c r="R192" i="76"/>
  <c r="P192" i="76"/>
  <c r="T173" i="80"/>
  <c r="R173" i="80"/>
  <c r="P173" i="80"/>
  <c r="BK173" i="80"/>
  <c r="J173" i="80"/>
  <c r="BF173" i="80" s="1"/>
  <c r="T200" i="63"/>
  <c r="R200" i="63"/>
  <c r="BK200" i="63"/>
  <c r="P200" i="63"/>
  <c r="J200" i="63"/>
  <c r="BF200" i="63" s="1"/>
  <c r="H173" i="83"/>
  <c r="T176" i="83"/>
  <c r="R176" i="83"/>
  <c r="P176" i="83"/>
  <c r="BK176" i="83"/>
  <c r="J176" i="83"/>
  <c r="BF176" i="83" s="1"/>
  <c r="AG100" i="84"/>
  <c r="T172" i="80"/>
  <c r="R172" i="80"/>
  <c r="P172" i="80"/>
  <c r="BK172" i="80"/>
  <c r="J172" i="80"/>
  <c r="BF172" i="80" s="1"/>
  <c r="P232" i="62"/>
  <c r="R232" i="62"/>
  <c r="J232" i="62"/>
  <c r="BF232" i="62" s="1"/>
  <c r="BK232" i="62"/>
  <c r="T232" i="62"/>
  <c r="H169" i="81"/>
  <c r="R177" i="81"/>
  <c r="P177" i="81"/>
  <c r="BK177" i="81"/>
  <c r="J177" i="81"/>
  <c r="BF177" i="81" s="1"/>
  <c r="T177" i="81"/>
  <c r="H194" i="76"/>
  <c r="H196" i="76"/>
  <c r="T198" i="76"/>
  <c r="R198" i="76"/>
  <c r="BK198" i="76"/>
  <c r="P198" i="76"/>
  <c r="J198" i="76"/>
  <c r="BF198" i="76" s="1"/>
  <c r="T176" i="81"/>
  <c r="R176" i="81"/>
  <c r="BK176" i="81"/>
  <c r="P176" i="81"/>
  <c r="J176" i="81"/>
  <c r="BF176" i="81" s="1"/>
  <c r="T172" i="81"/>
  <c r="R172" i="81"/>
  <c r="J172" i="81"/>
  <c r="BF172" i="81" s="1"/>
  <c r="BK172" i="81"/>
  <c r="P172" i="81"/>
  <c r="J179" i="85"/>
  <c r="J101" i="85" s="1"/>
  <c r="BK128" i="85"/>
  <c r="H207" i="63"/>
  <c r="P209" i="63"/>
  <c r="BK209" i="63"/>
  <c r="J209" i="63"/>
  <c r="BF209" i="63" s="1"/>
  <c r="T209" i="63"/>
  <c r="R209" i="63"/>
  <c r="H163" i="68"/>
  <c r="R165" i="68"/>
  <c r="P165" i="68"/>
  <c r="BK165" i="68"/>
  <c r="J165" i="68"/>
  <c r="BF165" i="68" s="1"/>
  <c r="T165" i="68"/>
  <c r="R207" i="61"/>
  <c r="T207" i="61"/>
  <c r="BK207" i="61"/>
  <c r="P207" i="61"/>
  <c r="J207" i="61"/>
  <c r="BF207" i="61" s="1"/>
  <c r="T136" i="74"/>
  <c r="T132" i="74" s="1"/>
  <c r="R136" i="74"/>
  <c r="R132" i="74" s="1"/>
  <c r="P136" i="74"/>
  <c r="P132" i="74" s="1"/>
  <c r="P131" i="74" s="1"/>
  <c r="P130" i="74" s="1"/>
  <c r="AU110" i="58" s="1"/>
  <c r="BK136" i="74"/>
  <c r="BK132" i="74" s="1"/>
  <c r="J136" i="74"/>
  <c r="BF136" i="74" s="1"/>
  <c r="P201" i="63"/>
  <c r="BK201" i="63"/>
  <c r="J201" i="63"/>
  <c r="BF201" i="63" s="1"/>
  <c r="T201" i="63"/>
  <c r="R201" i="63"/>
  <c r="H161" i="71"/>
  <c r="R163" i="71"/>
  <c r="P163" i="71"/>
  <c r="BK163" i="71"/>
  <c r="J163" i="71"/>
  <c r="BF163" i="71" s="1"/>
  <c r="T163" i="71"/>
  <c r="T172" i="83"/>
  <c r="R172" i="83"/>
  <c r="P172" i="83"/>
  <c r="J172" i="83"/>
  <c r="BF172" i="83" s="1"/>
  <c r="BK172" i="83"/>
  <c r="T233" i="62"/>
  <c r="BK233" i="62"/>
  <c r="J233" i="62"/>
  <c r="BF233" i="62" s="1"/>
  <c r="R233" i="62"/>
  <c r="P233" i="62"/>
  <c r="R171" i="82"/>
  <c r="P171" i="82"/>
  <c r="BK171" i="82"/>
  <c r="J171" i="82"/>
  <c r="BF171" i="82" s="1"/>
  <c r="T171" i="82"/>
  <c r="BK171" i="83"/>
  <c r="J171" i="83"/>
  <c r="BF171" i="83" s="1"/>
  <c r="T171" i="83"/>
  <c r="R171" i="83"/>
  <c r="P171" i="83"/>
  <c r="BK178" i="80"/>
  <c r="J178" i="80"/>
  <c r="BF178" i="80" s="1"/>
  <c r="T178" i="80"/>
  <c r="P178" i="80"/>
  <c r="R178" i="80"/>
  <c r="T241" i="62"/>
  <c r="R241" i="62"/>
  <c r="BK241" i="62"/>
  <c r="J241" i="62"/>
  <c r="BF241" i="62" s="1"/>
  <c r="P241" i="62"/>
  <c r="R231" i="62"/>
  <c r="P231" i="62"/>
  <c r="J231" i="62"/>
  <c r="BF231" i="62" s="1"/>
  <c r="BK231" i="62"/>
  <c r="T231" i="62"/>
  <c r="J30" i="88"/>
  <c r="J32" i="88" s="1"/>
  <c r="J115" i="88"/>
  <c r="P128" i="85"/>
  <c r="P127" i="85" s="1"/>
  <c r="AU95" i="84" s="1"/>
  <c r="AU94" i="84" s="1"/>
  <c r="T216" i="61"/>
  <c r="BK216" i="61"/>
  <c r="J216" i="61"/>
  <c r="BF216" i="61" s="1"/>
  <c r="R216" i="61"/>
  <c r="P216" i="61"/>
  <c r="T181" i="78"/>
  <c r="T177" i="78" s="1"/>
  <c r="R181" i="78"/>
  <c r="R177" i="78" s="1"/>
  <c r="P181" i="78"/>
  <c r="P177" i="78" s="1"/>
  <c r="BK181" i="78"/>
  <c r="BK177" i="78" s="1"/>
  <c r="J181" i="78"/>
  <c r="BF181" i="78" s="1"/>
  <c r="BK156" i="71"/>
  <c r="J156" i="71"/>
  <c r="BF156" i="71" s="1"/>
  <c r="T156" i="71"/>
  <c r="P156" i="71"/>
  <c r="R156" i="71"/>
  <c r="R157" i="71"/>
  <c r="T157" i="71"/>
  <c r="P157" i="71"/>
  <c r="J157" i="71"/>
  <c r="BF157" i="71" s="1"/>
  <c r="BK157" i="71"/>
  <c r="H220" i="60"/>
  <c r="R222" i="60"/>
  <c r="T222" i="60"/>
  <c r="P222" i="60"/>
  <c r="BK222" i="60"/>
  <c r="J222" i="60"/>
  <c r="BF222" i="60" s="1"/>
  <c r="M136" i="12"/>
  <c r="R110" i="12"/>
  <c r="S110" i="12" s="1"/>
  <c r="P170" i="81"/>
  <c r="BK170" i="81"/>
  <c r="J170" i="81"/>
  <c r="BF170" i="81" s="1"/>
  <c r="R170" i="81"/>
  <c r="T170" i="81"/>
  <c r="T136" i="75"/>
  <c r="T132" i="75" s="1"/>
  <c r="T131" i="75" s="1"/>
  <c r="T130" i="75" s="1"/>
  <c r="R136" i="75"/>
  <c r="R132" i="75" s="1"/>
  <c r="R131" i="75" s="1"/>
  <c r="R130" i="75" s="1"/>
  <c r="P136" i="75"/>
  <c r="P132" i="75" s="1"/>
  <c r="P131" i="75" s="1"/>
  <c r="P130" i="75" s="1"/>
  <c r="AU111" i="58" s="1"/>
  <c r="J136" i="75"/>
  <c r="BF136" i="75" s="1"/>
  <c r="BK136" i="75"/>
  <c r="BK132" i="75" s="1"/>
  <c r="O136" i="12"/>
  <c r="H223" i="60"/>
  <c r="T234" i="62"/>
  <c r="R234" i="62"/>
  <c r="P234" i="62"/>
  <c r="J234" i="62"/>
  <c r="BF234" i="62" s="1"/>
  <c r="BK234" i="62"/>
  <c r="BK206" i="61"/>
  <c r="J206" i="61"/>
  <c r="BF206" i="61" s="1"/>
  <c r="T206" i="61"/>
  <c r="R206" i="61"/>
  <c r="P206" i="61"/>
  <c r="H237" i="62"/>
  <c r="T240" i="62"/>
  <c r="P240" i="62"/>
  <c r="R240" i="62"/>
  <c r="J240" i="62"/>
  <c r="BF240" i="62" s="1"/>
  <c r="BK240" i="62"/>
  <c r="J41" i="89"/>
  <c r="AG99" i="84"/>
  <c r="AN99" i="84" s="1"/>
  <c r="BK202" i="63"/>
  <c r="J202" i="63"/>
  <c r="BF202" i="63" s="1"/>
  <c r="T202" i="63"/>
  <c r="R202" i="63"/>
  <c r="P202" i="63"/>
  <c r="R128" i="85"/>
  <c r="R127" i="85" s="1"/>
  <c r="R159" i="68"/>
  <c r="T159" i="68"/>
  <c r="P159" i="68"/>
  <c r="J159" i="68"/>
  <c r="BF159" i="68" s="1"/>
  <c r="BK159" i="68"/>
  <c r="R151" i="69"/>
  <c r="P151" i="69"/>
  <c r="BK151" i="69"/>
  <c r="J151" i="69"/>
  <c r="BF151" i="69" s="1"/>
  <c r="T151" i="69"/>
  <c r="T187" i="79"/>
  <c r="R187" i="79"/>
  <c r="J187" i="79"/>
  <c r="BF187" i="79" s="1"/>
  <c r="P187" i="79"/>
  <c r="BK187" i="79"/>
  <c r="H158" i="72"/>
  <c r="H161" i="72"/>
  <c r="BK163" i="72"/>
  <c r="J163" i="72"/>
  <c r="BF163" i="72" s="1"/>
  <c r="T163" i="72"/>
  <c r="R163" i="72"/>
  <c r="P163" i="72"/>
  <c r="P137" i="73"/>
  <c r="P130" i="73" s="1"/>
  <c r="P129" i="73" s="1"/>
  <c r="P128" i="73" s="1"/>
  <c r="AU109" i="58" s="1"/>
  <c r="BK137" i="73"/>
  <c r="BK130" i="73" s="1"/>
  <c r="J137" i="73"/>
  <c r="BF137" i="73" s="1"/>
  <c r="T137" i="73"/>
  <c r="T130" i="73" s="1"/>
  <c r="T129" i="73" s="1"/>
  <c r="T128" i="73" s="1"/>
  <c r="R137" i="73"/>
  <c r="R130" i="73" s="1"/>
  <c r="BK139" i="79"/>
  <c r="BK130" i="79" s="1"/>
  <c r="P139" i="79"/>
  <c r="P130" i="79" s="1"/>
  <c r="J139" i="79"/>
  <c r="BF139" i="79" s="1"/>
  <c r="T139" i="79"/>
  <c r="T130" i="79" s="1"/>
  <c r="R139" i="79"/>
  <c r="R130" i="79" s="1"/>
  <c r="T142" i="82"/>
  <c r="T135" i="82" s="1"/>
  <c r="R142" i="82"/>
  <c r="R135" i="82" s="1"/>
  <c r="P142" i="82"/>
  <c r="P135" i="82" s="1"/>
  <c r="BK142" i="82"/>
  <c r="BK135" i="82" s="1"/>
  <c r="J142" i="82"/>
  <c r="BF142" i="82" s="1"/>
  <c r="T128" i="85"/>
  <c r="T127" i="85" s="1"/>
  <c r="BK158" i="68"/>
  <c r="J158" i="68"/>
  <c r="BF158" i="68" s="1"/>
  <c r="T158" i="68"/>
  <c r="P158" i="68"/>
  <c r="R158" i="68"/>
  <c r="T177" i="83"/>
  <c r="R177" i="83"/>
  <c r="P177" i="83"/>
  <c r="BK177" i="83"/>
  <c r="J177" i="83"/>
  <c r="BF177" i="83" s="1"/>
  <c r="R203" i="63"/>
  <c r="BK203" i="63"/>
  <c r="T203" i="63"/>
  <c r="P203" i="63"/>
  <c r="J203" i="63"/>
  <c r="BF203" i="63" s="1"/>
  <c r="T170" i="82"/>
  <c r="R170" i="82"/>
  <c r="P170" i="82"/>
  <c r="BK170" i="82"/>
  <c r="J170" i="82"/>
  <c r="BF170" i="82" s="1"/>
  <c r="P183" i="78"/>
  <c r="P182" i="78" s="1"/>
  <c r="BK183" i="78"/>
  <c r="BK182" i="78" s="1"/>
  <c r="J182" i="78" s="1"/>
  <c r="J104" i="78" s="1"/>
  <c r="J183" i="78"/>
  <c r="BF183" i="78" s="1"/>
  <c r="T183" i="78"/>
  <c r="T182" i="78" s="1"/>
  <c r="R183" i="78"/>
  <c r="R182" i="78" s="1"/>
  <c r="H213" i="61"/>
  <c r="P215" i="61"/>
  <c r="T215" i="61"/>
  <c r="R215" i="61"/>
  <c r="BK215" i="61"/>
  <c r="J215" i="61"/>
  <c r="BF215" i="61" s="1"/>
  <c r="H169" i="82"/>
  <c r="T176" i="82"/>
  <c r="R176" i="82"/>
  <c r="BK176" i="82"/>
  <c r="P176" i="82"/>
  <c r="J176" i="82"/>
  <c r="BF176" i="82" s="1"/>
  <c r="T153" i="74"/>
  <c r="T152" i="74" s="1"/>
  <c r="R153" i="74"/>
  <c r="R152" i="74" s="1"/>
  <c r="R131" i="74" s="1"/>
  <c r="R130" i="74" s="1"/>
  <c r="P153" i="74"/>
  <c r="P152" i="74" s="1"/>
  <c r="BK153" i="74"/>
  <c r="BK152" i="74" s="1"/>
  <c r="J152" i="74" s="1"/>
  <c r="J101" i="74" s="1"/>
  <c r="J153" i="74"/>
  <c r="BF153" i="74" s="1"/>
  <c r="T156" i="72"/>
  <c r="P156" i="72"/>
  <c r="J156" i="72"/>
  <c r="BF156" i="72" s="1"/>
  <c r="BK156" i="72"/>
  <c r="R156" i="72"/>
  <c r="T168" i="70"/>
  <c r="R168" i="70"/>
  <c r="J168" i="70"/>
  <c r="BF168" i="70" s="1"/>
  <c r="P168" i="70"/>
  <c r="BK168" i="70"/>
  <c r="T209" i="61"/>
  <c r="J209" i="61"/>
  <c r="BF209" i="61" s="1"/>
  <c r="R209" i="61"/>
  <c r="P209" i="61"/>
  <c r="BK209" i="61"/>
  <c r="BK138" i="68"/>
  <c r="BK129" i="68" s="1"/>
  <c r="J138" i="68"/>
  <c r="BF138" i="68" s="1"/>
  <c r="T138" i="68"/>
  <c r="T129" i="68" s="1"/>
  <c r="R138" i="68"/>
  <c r="R129" i="68" s="1"/>
  <c r="P138" i="68"/>
  <c r="P129" i="68" s="1"/>
  <c r="T136" i="69"/>
  <c r="T130" i="69" s="1"/>
  <c r="R136" i="69"/>
  <c r="R130" i="69" s="1"/>
  <c r="P136" i="69"/>
  <c r="P130" i="69" s="1"/>
  <c r="BK136" i="69"/>
  <c r="BK130" i="69" s="1"/>
  <c r="J136" i="69"/>
  <c r="BF136" i="69" s="1"/>
  <c r="H192" i="79"/>
  <c r="BK194" i="79"/>
  <c r="J194" i="79"/>
  <c r="BF194" i="79" s="1"/>
  <c r="T194" i="79"/>
  <c r="R194" i="79"/>
  <c r="P194" i="79"/>
  <c r="S136" i="12"/>
  <c r="H144" i="12" s="1"/>
  <c r="H143" i="60"/>
  <c r="T146" i="61"/>
  <c r="T129" i="61" s="1"/>
  <c r="R146" i="61"/>
  <c r="R129" i="61" s="1"/>
  <c r="P146" i="61"/>
  <c r="P129" i="61" s="1"/>
  <c r="J146" i="61"/>
  <c r="BF146" i="61" s="1"/>
  <c r="BK146" i="61"/>
  <c r="BK129" i="61" s="1"/>
  <c r="T150" i="69"/>
  <c r="T148" i="69" s="1"/>
  <c r="R150" i="69"/>
  <c r="P150" i="69"/>
  <c r="BK150" i="69"/>
  <c r="BK148" i="69" s="1"/>
  <c r="J148" i="69" s="1"/>
  <c r="J101" i="69" s="1"/>
  <c r="J150" i="69"/>
  <c r="BF150" i="69" s="1"/>
  <c r="T188" i="79"/>
  <c r="R188" i="79"/>
  <c r="P188" i="79"/>
  <c r="BK188" i="79"/>
  <c r="J188" i="79"/>
  <c r="BF188" i="79" s="1"/>
  <c r="T213" i="60"/>
  <c r="P213" i="60"/>
  <c r="R213" i="60"/>
  <c r="J213" i="60"/>
  <c r="BF213" i="60" s="1"/>
  <c r="BK213" i="60"/>
  <c r="T190" i="77"/>
  <c r="T189" i="77" s="1"/>
  <c r="R190" i="77"/>
  <c r="R189" i="77" s="1"/>
  <c r="BK190" i="77"/>
  <c r="BK189" i="77" s="1"/>
  <c r="J189" i="77" s="1"/>
  <c r="J104" i="77" s="1"/>
  <c r="P190" i="77"/>
  <c r="P189" i="77" s="1"/>
  <c r="J190" i="77"/>
  <c r="BF190" i="77" s="1"/>
  <c r="T171" i="80"/>
  <c r="R171" i="80"/>
  <c r="P171" i="80"/>
  <c r="J171" i="80"/>
  <c r="BF171" i="80" s="1"/>
  <c r="BK171" i="80"/>
  <c r="H170" i="80"/>
  <c r="P177" i="80"/>
  <c r="BK177" i="80"/>
  <c r="J177" i="80"/>
  <c r="BF177" i="80" s="1"/>
  <c r="T177" i="80"/>
  <c r="R177" i="80"/>
  <c r="T200" i="59"/>
  <c r="R200" i="59"/>
  <c r="P200" i="59"/>
  <c r="BK200" i="59"/>
  <c r="J200" i="59"/>
  <c r="BF200" i="59" s="1"/>
  <c r="BK139" i="59"/>
  <c r="BK130" i="59" s="1"/>
  <c r="P139" i="59"/>
  <c r="P130" i="59" s="1"/>
  <c r="J139" i="59"/>
  <c r="BF139" i="59" s="1"/>
  <c r="T139" i="59"/>
  <c r="T130" i="59" s="1"/>
  <c r="R139" i="59"/>
  <c r="R130" i="59" s="1"/>
  <c r="T199" i="59"/>
  <c r="R199" i="59"/>
  <c r="P199" i="59"/>
  <c r="BK199" i="59"/>
  <c r="J199" i="59"/>
  <c r="BF199" i="59" s="1"/>
  <c r="H201" i="59"/>
  <c r="H205" i="59"/>
  <c r="H204" i="59"/>
  <c r="H206" i="59"/>
  <c r="H138" i="12"/>
  <c r="I163" i="12" s="1"/>
  <c r="AN100" i="84" l="1"/>
  <c r="J41" i="90"/>
  <c r="R165" i="70"/>
  <c r="J135" i="82"/>
  <c r="J98" i="82" s="1"/>
  <c r="J130" i="79"/>
  <c r="J98" i="79" s="1"/>
  <c r="J186" i="76"/>
  <c r="J103" i="76" s="1"/>
  <c r="J184" i="77"/>
  <c r="J103" i="77" s="1"/>
  <c r="BK183" i="77"/>
  <c r="BK165" i="70"/>
  <c r="J165" i="70" s="1"/>
  <c r="J102" i="70" s="1"/>
  <c r="H235" i="62"/>
  <c r="H238" i="62"/>
  <c r="R237" i="62"/>
  <c r="P237" i="62"/>
  <c r="BK237" i="62"/>
  <c r="J237" i="62"/>
  <c r="BF237" i="62" s="1"/>
  <c r="T237" i="62"/>
  <c r="T131" i="74"/>
  <c r="T130" i="74" s="1"/>
  <c r="P183" i="77"/>
  <c r="P128" i="77" s="1"/>
  <c r="AU113" i="58" s="1"/>
  <c r="J130" i="72"/>
  <c r="J98" i="72" s="1"/>
  <c r="R173" i="70"/>
  <c r="R171" i="70" s="1"/>
  <c r="R129" i="70" s="1"/>
  <c r="R128" i="70" s="1"/>
  <c r="T173" i="70"/>
  <c r="T171" i="70" s="1"/>
  <c r="P173" i="70"/>
  <c r="P171" i="70" s="1"/>
  <c r="P129" i="70" s="1"/>
  <c r="P128" i="70" s="1"/>
  <c r="AU106" i="58" s="1"/>
  <c r="J173" i="70"/>
  <c r="BF173" i="70" s="1"/>
  <c r="J36" i="70" s="1"/>
  <c r="AW106" i="58" s="1"/>
  <c r="AT106" i="58" s="1"/>
  <c r="BK173" i="70"/>
  <c r="P183" i="61"/>
  <c r="F36" i="78"/>
  <c r="BA114" i="58" s="1"/>
  <c r="J36" i="78"/>
  <c r="AW114" i="58" s="1"/>
  <c r="AT114" i="58" s="1"/>
  <c r="H208" i="63"/>
  <c r="H204" i="63"/>
  <c r="T207" i="63"/>
  <c r="R207" i="63"/>
  <c r="P207" i="63"/>
  <c r="BK207" i="63"/>
  <c r="J207" i="63"/>
  <c r="BF207" i="63" s="1"/>
  <c r="J130" i="71"/>
  <c r="J98" i="71" s="1"/>
  <c r="J109" i="87"/>
  <c r="J30" i="87"/>
  <c r="J32" i="87" s="1"/>
  <c r="P165" i="70"/>
  <c r="J36" i="75"/>
  <c r="AW111" i="58" s="1"/>
  <c r="AT111" i="58" s="1"/>
  <c r="F36" i="75"/>
  <c r="BA111" i="58" s="1"/>
  <c r="P148" i="69"/>
  <c r="T143" i="60"/>
  <c r="T128" i="60" s="1"/>
  <c r="R143" i="60"/>
  <c r="R128" i="60" s="1"/>
  <c r="P143" i="60"/>
  <c r="P128" i="60" s="1"/>
  <c r="BK143" i="60"/>
  <c r="BK128" i="60" s="1"/>
  <c r="J143" i="60"/>
  <c r="BF143" i="60" s="1"/>
  <c r="J36" i="73"/>
  <c r="AW109" i="58" s="1"/>
  <c r="AT109" i="58" s="1"/>
  <c r="F36" i="73"/>
  <c r="BA109" i="58" s="1"/>
  <c r="H162" i="72"/>
  <c r="R161" i="72"/>
  <c r="P161" i="72"/>
  <c r="BK161" i="72"/>
  <c r="J161" i="72"/>
  <c r="BF161" i="72" s="1"/>
  <c r="T161" i="72"/>
  <c r="R183" i="61"/>
  <c r="BK176" i="78"/>
  <c r="J177" i="78"/>
  <c r="J103" i="78" s="1"/>
  <c r="J128" i="85"/>
  <c r="J97" i="85" s="1"/>
  <c r="BK127" i="85"/>
  <c r="J127" i="85" s="1"/>
  <c r="J96" i="85" s="1"/>
  <c r="H173" i="81"/>
  <c r="R169" i="81"/>
  <c r="P169" i="81"/>
  <c r="BK169" i="81"/>
  <c r="J169" i="81"/>
  <c r="BF169" i="81" s="1"/>
  <c r="T169" i="81"/>
  <c r="T165" i="70"/>
  <c r="T129" i="70" s="1"/>
  <c r="T128" i="70" s="1"/>
  <c r="H221" i="60"/>
  <c r="H217" i="60"/>
  <c r="BK220" i="60"/>
  <c r="J220" i="60"/>
  <c r="BF220" i="60" s="1"/>
  <c r="P220" i="60"/>
  <c r="T220" i="60"/>
  <c r="R220" i="60"/>
  <c r="H162" i="71"/>
  <c r="H158" i="71"/>
  <c r="T161" i="71"/>
  <c r="R161" i="71"/>
  <c r="P161" i="71"/>
  <c r="BK161" i="71"/>
  <c r="J161" i="71"/>
  <c r="BF161" i="71" s="1"/>
  <c r="J36" i="77"/>
  <c r="AW113" i="58" s="1"/>
  <c r="AT113" i="58" s="1"/>
  <c r="F36" i="77"/>
  <c r="BA113" i="58" s="1"/>
  <c r="H189" i="79"/>
  <c r="H193" i="79"/>
  <c r="R192" i="79"/>
  <c r="P192" i="79"/>
  <c r="BK192" i="79"/>
  <c r="J192" i="79"/>
  <c r="BF192" i="79" s="1"/>
  <c r="T192" i="79"/>
  <c r="H174" i="80"/>
  <c r="T170" i="80"/>
  <c r="R170" i="80"/>
  <c r="J170" i="80"/>
  <c r="BF170" i="80" s="1"/>
  <c r="BK170" i="80"/>
  <c r="P170" i="80"/>
  <c r="R148" i="69"/>
  <c r="J130" i="69"/>
  <c r="J98" i="69" s="1"/>
  <c r="J129" i="68"/>
  <c r="J98" i="68" s="1"/>
  <c r="H214" i="61"/>
  <c r="BK213" i="61"/>
  <c r="J213" i="61"/>
  <c r="BF213" i="61" s="1"/>
  <c r="T213" i="61"/>
  <c r="R213" i="61"/>
  <c r="P213" i="61"/>
  <c r="J130" i="73"/>
  <c r="J98" i="73" s="1"/>
  <c r="BK129" i="73"/>
  <c r="T158" i="72"/>
  <c r="T155" i="72" s="1"/>
  <c r="R158" i="72"/>
  <c r="R155" i="72" s="1"/>
  <c r="P158" i="72"/>
  <c r="P155" i="72" s="1"/>
  <c r="J158" i="72"/>
  <c r="BF158" i="72" s="1"/>
  <c r="BK158" i="72"/>
  <c r="BK155" i="72" s="1"/>
  <c r="T183" i="61"/>
  <c r="P223" i="60"/>
  <c r="T223" i="60"/>
  <c r="BK223" i="60"/>
  <c r="R223" i="60"/>
  <c r="J223" i="60"/>
  <c r="BF223" i="60" s="1"/>
  <c r="P176" i="78"/>
  <c r="P128" i="78" s="1"/>
  <c r="AU114" i="58" s="1"/>
  <c r="H160" i="68"/>
  <c r="H164" i="68"/>
  <c r="T163" i="68"/>
  <c r="R163" i="68"/>
  <c r="P163" i="68"/>
  <c r="J163" i="68"/>
  <c r="BF163" i="68" s="1"/>
  <c r="BK163" i="68"/>
  <c r="H197" i="76"/>
  <c r="T196" i="76"/>
  <c r="R196" i="76"/>
  <c r="P196" i="76"/>
  <c r="BK196" i="76"/>
  <c r="J196" i="76"/>
  <c r="BF196" i="76" s="1"/>
  <c r="H156" i="69"/>
  <c r="H155" i="69"/>
  <c r="BK154" i="69"/>
  <c r="J154" i="69"/>
  <c r="BF154" i="69" s="1"/>
  <c r="T154" i="69"/>
  <c r="R154" i="69"/>
  <c r="P154" i="69"/>
  <c r="R176" i="78"/>
  <c r="R128" i="78" s="1"/>
  <c r="T194" i="76"/>
  <c r="T191" i="76" s="1"/>
  <c r="R194" i="76"/>
  <c r="R191" i="76" s="1"/>
  <c r="P194" i="76"/>
  <c r="P191" i="76" s="1"/>
  <c r="J194" i="76"/>
  <c r="BF194" i="76" s="1"/>
  <c r="BK194" i="76"/>
  <c r="BK191" i="76" s="1"/>
  <c r="H169" i="83"/>
  <c r="H175" i="83"/>
  <c r="T173" i="83"/>
  <c r="R173" i="83"/>
  <c r="P173" i="83"/>
  <c r="BK173" i="83"/>
  <c r="J173" i="83"/>
  <c r="BF173" i="83" s="1"/>
  <c r="R183" i="77"/>
  <c r="R128" i="77" s="1"/>
  <c r="R129" i="73"/>
  <c r="R128" i="73" s="1"/>
  <c r="J129" i="61"/>
  <c r="J98" i="61" s="1"/>
  <c r="H173" i="82"/>
  <c r="T169" i="82"/>
  <c r="R169" i="82"/>
  <c r="P169" i="82"/>
  <c r="BK169" i="82"/>
  <c r="J169" i="82"/>
  <c r="BF169" i="82" s="1"/>
  <c r="BK183" i="61"/>
  <c r="J183" i="61" s="1"/>
  <c r="J102" i="61" s="1"/>
  <c r="BK131" i="75"/>
  <c r="J132" i="75"/>
  <c r="J98" i="75" s="1"/>
  <c r="T176" i="78"/>
  <c r="T128" i="78" s="1"/>
  <c r="J41" i="88"/>
  <c r="AG98" i="84"/>
  <c r="AN98" i="84" s="1"/>
  <c r="J132" i="74"/>
  <c r="J98" i="74" s="1"/>
  <c r="BK131" i="74"/>
  <c r="AW94" i="84"/>
  <c r="W33" i="84"/>
  <c r="T174" i="70"/>
  <c r="BK174" i="70"/>
  <c r="BK171" i="70" s="1"/>
  <c r="P174" i="70"/>
  <c r="R174" i="70"/>
  <c r="J174" i="70"/>
  <c r="BF174" i="70" s="1"/>
  <c r="T183" i="77"/>
  <c r="T128" i="77" s="1"/>
  <c r="J130" i="70"/>
  <c r="J98" i="70" s="1"/>
  <c r="P205" i="59"/>
  <c r="J205" i="59"/>
  <c r="BF205" i="59" s="1"/>
  <c r="T205" i="59"/>
  <c r="BK205" i="59"/>
  <c r="R205" i="59"/>
  <c r="R201" i="59"/>
  <c r="R198" i="59" s="1"/>
  <c r="P201" i="59"/>
  <c r="P198" i="59" s="1"/>
  <c r="BK201" i="59"/>
  <c r="BK198" i="59" s="1"/>
  <c r="J198" i="59" s="1"/>
  <c r="J101" i="59" s="1"/>
  <c r="J201" i="59"/>
  <c r="BF201" i="59" s="1"/>
  <c r="T201" i="59"/>
  <c r="T198" i="59" s="1"/>
  <c r="J130" i="59"/>
  <c r="J98" i="59" s="1"/>
  <c r="T206" i="59"/>
  <c r="R206" i="59"/>
  <c r="BK206" i="59"/>
  <c r="P206" i="59"/>
  <c r="J206" i="59"/>
  <c r="BF206" i="59" s="1"/>
  <c r="BK204" i="59"/>
  <c r="J204" i="59"/>
  <c r="BF204" i="59" s="1"/>
  <c r="J36" i="59" s="1"/>
  <c r="AW95" i="58" s="1"/>
  <c r="AT95" i="58" s="1"/>
  <c r="R204" i="59"/>
  <c r="T204" i="59"/>
  <c r="P204" i="59"/>
  <c r="F138" i="12"/>
  <c r="G138" i="12" s="1"/>
  <c r="F36" i="70" l="1"/>
  <c r="BA106" i="58" s="1"/>
  <c r="J191" i="76"/>
  <c r="J104" i="76" s="1"/>
  <c r="J171" i="70"/>
  <c r="J103" i="70" s="1"/>
  <c r="BK129" i="70"/>
  <c r="J155" i="72"/>
  <c r="J102" i="72" s="1"/>
  <c r="T162" i="71"/>
  <c r="R162" i="71"/>
  <c r="R160" i="71" s="1"/>
  <c r="P162" i="71"/>
  <c r="P160" i="71" s="1"/>
  <c r="BK162" i="71"/>
  <c r="BK160" i="71" s="1"/>
  <c r="J160" i="71" s="1"/>
  <c r="J103" i="71" s="1"/>
  <c r="J162" i="71"/>
  <c r="BF162" i="71" s="1"/>
  <c r="J41" i="87"/>
  <c r="AG97" i="84"/>
  <c r="AN97" i="84" s="1"/>
  <c r="P165" i="81"/>
  <c r="P238" i="62"/>
  <c r="BK238" i="62"/>
  <c r="BK236" i="62" s="1"/>
  <c r="J236" i="62" s="1"/>
  <c r="J103" i="62" s="1"/>
  <c r="J238" i="62"/>
  <c r="BF238" i="62" s="1"/>
  <c r="T238" i="62"/>
  <c r="R238" i="62"/>
  <c r="R236" i="62" s="1"/>
  <c r="T197" i="76"/>
  <c r="T195" i="76" s="1"/>
  <c r="T185" i="76" s="1"/>
  <c r="T129" i="76" s="1"/>
  <c r="R197" i="76"/>
  <c r="R195" i="76" s="1"/>
  <c r="R185" i="76" s="1"/>
  <c r="R129" i="76" s="1"/>
  <c r="P197" i="76"/>
  <c r="BK197" i="76"/>
  <c r="J197" i="76"/>
  <c r="BF197" i="76" s="1"/>
  <c r="F36" i="76" s="1"/>
  <c r="BA112" i="58" s="1"/>
  <c r="H175" i="82"/>
  <c r="BK173" i="82"/>
  <c r="J173" i="82"/>
  <c r="BF173" i="82" s="1"/>
  <c r="T173" i="82"/>
  <c r="T165" i="82" s="1"/>
  <c r="R173" i="82"/>
  <c r="R165" i="82" s="1"/>
  <c r="P173" i="82"/>
  <c r="R169" i="83"/>
  <c r="R165" i="83" s="1"/>
  <c r="P169" i="83"/>
  <c r="P165" i="83" s="1"/>
  <c r="BK169" i="83"/>
  <c r="BK165" i="83" s="1"/>
  <c r="J169" i="83"/>
  <c r="BF169" i="83" s="1"/>
  <c r="T169" i="83"/>
  <c r="T165" i="83" s="1"/>
  <c r="T134" i="83" s="1"/>
  <c r="T133" i="83" s="1"/>
  <c r="J128" i="60"/>
  <c r="J98" i="60" s="1"/>
  <c r="T205" i="63"/>
  <c r="T235" i="62"/>
  <c r="T192" i="62" s="1"/>
  <c r="R235" i="62"/>
  <c r="R192" i="62" s="1"/>
  <c r="R128" i="62" s="1"/>
  <c r="R127" i="62" s="1"/>
  <c r="P235" i="62"/>
  <c r="P192" i="62" s="1"/>
  <c r="J235" i="62"/>
  <c r="BF235" i="62" s="1"/>
  <c r="BK235" i="62"/>
  <c r="BK192" i="62" s="1"/>
  <c r="BK165" i="82"/>
  <c r="P218" i="60"/>
  <c r="H175" i="81"/>
  <c r="T173" i="81"/>
  <c r="T165" i="81" s="1"/>
  <c r="R173" i="81"/>
  <c r="R165" i="81" s="1"/>
  <c r="P173" i="81"/>
  <c r="J173" i="81"/>
  <c r="BF173" i="81" s="1"/>
  <c r="BK173" i="81"/>
  <c r="BK165" i="81" s="1"/>
  <c r="T204" i="63"/>
  <c r="T175" i="63" s="1"/>
  <c r="BK204" i="63"/>
  <c r="BK175" i="63" s="1"/>
  <c r="P204" i="63"/>
  <c r="P175" i="63" s="1"/>
  <c r="R204" i="63"/>
  <c r="R175" i="63" s="1"/>
  <c r="J204" i="63"/>
  <c r="BF204" i="63" s="1"/>
  <c r="J183" i="77"/>
  <c r="J102" i="77" s="1"/>
  <c r="BK128" i="77"/>
  <c r="J128" i="77" s="1"/>
  <c r="J96" i="77" s="1"/>
  <c r="J176" i="78"/>
  <c r="J102" i="78" s="1"/>
  <c r="BK128" i="78"/>
  <c r="J128" i="78" s="1"/>
  <c r="J96" i="78" s="1"/>
  <c r="J131" i="74"/>
  <c r="J97" i="74" s="1"/>
  <c r="BK130" i="74"/>
  <c r="J130" i="74" s="1"/>
  <c r="J96" i="74" s="1"/>
  <c r="J109" i="74" s="1"/>
  <c r="T175" i="83"/>
  <c r="T174" i="83" s="1"/>
  <c r="R175" i="83"/>
  <c r="R174" i="83" s="1"/>
  <c r="R134" i="83" s="1"/>
  <c r="R133" i="83" s="1"/>
  <c r="P175" i="83"/>
  <c r="P174" i="83" s="1"/>
  <c r="BK175" i="83"/>
  <c r="BK174" i="83" s="1"/>
  <c r="J174" i="83" s="1"/>
  <c r="J103" i="83" s="1"/>
  <c r="J175" i="83"/>
  <c r="BF175" i="83" s="1"/>
  <c r="T156" i="69"/>
  <c r="P156" i="69"/>
  <c r="P153" i="69" s="1"/>
  <c r="P129" i="69" s="1"/>
  <c r="P128" i="69" s="1"/>
  <c r="AU105" i="58" s="1"/>
  <c r="R156" i="69"/>
  <c r="J156" i="69"/>
  <c r="BF156" i="69" s="1"/>
  <c r="BK156" i="69"/>
  <c r="AK33" i="84"/>
  <c r="AT94" i="84"/>
  <c r="R153" i="69"/>
  <c r="R129" i="69" s="1"/>
  <c r="R128" i="69" s="1"/>
  <c r="BK195" i="76"/>
  <c r="J195" i="76" s="1"/>
  <c r="J105" i="76" s="1"/>
  <c r="BK128" i="73"/>
  <c r="J128" i="73" s="1"/>
  <c r="J96" i="73" s="1"/>
  <c r="J129" i="73"/>
  <c r="J97" i="73" s="1"/>
  <c r="R214" i="61"/>
  <c r="R211" i="61" s="1"/>
  <c r="R128" i="61" s="1"/>
  <c r="R127" i="61" s="1"/>
  <c r="T214" i="61"/>
  <c r="T211" i="61" s="1"/>
  <c r="T128" i="61" s="1"/>
  <c r="T127" i="61" s="1"/>
  <c r="BK214" i="61"/>
  <c r="BK211" i="61" s="1"/>
  <c r="P214" i="61"/>
  <c r="P211" i="61" s="1"/>
  <c r="P128" i="61" s="1"/>
  <c r="P127" i="61" s="1"/>
  <c r="AU97" i="58" s="1"/>
  <c r="J214" i="61"/>
  <c r="BF214" i="61" s="1"/>
  <c r="F36" i="61" s="1"/>
  <c r="BA97" i="58" s="1"/>
  <c r="J108" i="85"/>
  <c r="J30" i="85"/>
  <c r="J32" i="85" s="1"/>
  <c r="R208" i="63"/>
  <c r="R205" i="63" s="1"/>
  <c r="P208" i="63"/>
  <c r="P205" i="63" s="1"/>
  <c r="BK208" i="63"/>
  <c r="J208" i="63"/>
  <c r="BF208" i="63" s="1"/>
  <c r="T208" i="63"/>
  <c r="T236" i="62"/>
  <c r="J131" i="75"/>
  <c r="J97" i="75" s="1"/>
  <c r="BK130" i="75"/>
  <c r="J130" i="75" s="1"/>
  <c r="J96" i="75" s="1"/>
  <c r="R155" i="69"/>
  <c r="BK155" i="69"/>
  <c r="BK153" i="69" s="1"/>
  <c r="T155" i="69"/>
  <c r="P155" i="69"/>
  <c r="J155" i="69"/>
  <c r="BF155" i="69" s="1"/>
  <c r="F36" i="69" s="1"/>
  <c r="BA105" i="58" s="1"/>
  <c r="T153" i="69"/>
  <c r="T129" i="69" s="1"/>
  <c r="T128" i="69" s="1"/>
  <c r="P195" i="76"/>
  <c r="P185" i="76" s="1"/>
  <c r="P129" i="76" s="1"/>
  <c r="AU112" i="58" s="1"/>
  <c r="P193" i="79"/>
  <c r="P191" i="79" s="1"/>
  <c r="BK193" i="79"/>
  <c r="BK191" i="79" s="1"/>
  <c r="J191" i="79" s="1"/>
  <c r="J102" i="79" s="1"/>
  <c r="J193" i="79"/>
  <c r="BF193" i="79" s="1"/>
  <c r="R193" i="79"/>
  <c r="R191" i="79" s="1"/>
  <c r="T193" i="79"/>
  <c r="T191" i="79" s="1"/>
  <c r="R217" i="60"/>
  <c r="R176" i="60" s="1"/>
  <c r="P217" i="60"/>
  <c r="P176" i="60" s="1"/>
  <c r="P127" i="60" s="1"/>
  <c r="P126" i="60" s="1"/>
  <c r="AU96" i="58" s="1"/>
  <c r="J217" i="60"/>
  <c r="BF217" i="60" s="1"/>
  <c r="J36" i="60" s="1"/>
  <c r="AW96" i="58" s="1"/>
  <c r="AT96" i="58" s="1"/>
  <c r="BK217" i="60"/>
  <c r="BK176" i="60" s="1"/>
  <c r="J176" i="60" s="1"/>
  <c r="J100" i="60" s="1"/>
  <c r="T217" i="60"/>
  <c r="T176" i="60" s="1"/>
  <c r="J36" i="76"/>
  <c r="AW112" i="58" s="1"/>
  <c r="AT112" i="58" s="1"/>
  <c r="T164" i="68"/>
  <c r="T162" i="68" s="1"/>
  <c r="R164" i="68"/>
  <c r="R162" i="68" s="1"/>
  <c r="P164" i="68"/>
  <c r="P162" i="68" s="1"/>
  <c r="BK164" i="68"/>
  <c r="BK162" i="68" s="1"/>
  <c r="J162" i="68" s="1"/>
  <c r="J102" i="68" s="1"/>
  <c r="J164" i="68"/>
  <c r="BF164" i="68" s="1"/>
  <c r="T166" i="80"/>
  <c r="T189" i="79"/>
  <c r="T186" i="79" s="1"/>
  <c r="R189" i="79"/>
  <c r="R186" i="79" s="1"/>
  <c r="P189" i="79"/>
  <c r="P186" i="79" s="1"/>
  <c r="BK189" i="79"/>
  <c r="BK186" i="79" s="1"/>
  <c r="J189" i="79"/>
  <c r="BF189" i="79" s="1"/>
  <c r="T160" i="71"/>
  <c r="P165" i="82"/>
  <c r="T160" i="68"/>
  <c r="T156" i="68" s="1"/>
  <c r="P160" i="68"/>
  <c r="P156" i="68" s="1"/>
  <c r="R160" i="68"/>
  <c r="R156" i="68" s="1"/>
  <c r="J160" i="68"/>
  <c r="BF160" i="68" s="1"/>
  <c r="BK160" i="68"/>
  <c r="BK156" i="68" s="1"/>
  <c r="H176" i="80"/>
  <c r="T174" i="80"/>
  <c r="R174" i="80"/>
  <c r="R166" i="80" s="1"/>
  <c r="P174" i="80"/>
  <c r="P166" i="80" s="1"/>
  <c r="BK174" i="80"/>
  <c r="BK166" i="80" s="1"/>
  <c r="J174" i="80"/>
  <c r="BF174" i="80" s="1"/>
  <c r="T158" i="71"/>
  <c r="T155" i="71" s="1"/>
  <c r="T129" i="71" s="1"/>
  <c r="T128" i="71" s="1"/>
  <c r="P158" i="71"/>
  <c r="P155" i="71" s="1"/>
  <c r="BK158" i="71"/>
  <c r="BK155" i="71" s="1"/>
  <c r="R158" i="71"/>
  <c r="R155" i="71" s="1"/>
  <c r="J158" i="71"/>
  <c r="BF158" i="71" s="1"/>
  <c r="BK221" i="60"/>
  <c r="BK218" i="60" s="1"/>
  <c r="J218" i="60" s="1"/>
  <c r="J101" i="60" s="1"/>
  <c r="J221" i="60"/>
  <c r="BF221" i="60" s="1"/>
  <c r="T221" i="60"/>
  <c r="T218" i="60" s="1"/>
  <c r="R221" i="60"/>
  <c r="R218" i="60" s="1"/>
  <c r="R127" i="60" s="1"/>
  <c r="R126" i="60" s="1"/>
  <c r="P221" i="60"/>
  <c r="P162" i="72"/>
  <c r="P160" i="72" s="1"/>
  <c r="P129" i="72" s="1"/>
  <c r="P128" i="72" s="1"/>
  <c r="AU108" i="58" s="1"/>
  <c r="BK162" i="72"/>
  <c r="BK160" i="72" s="1"/>
  <c r="J162" i="72"/>
  <c r="BF162" i="72" s="1"/>
  <c r="J36" i="72" s="1"/>
  <c r="AW108" i="58" s="1"/>
  <c r="AT108" i="58" s="1"/>
  <c r="R162" i="72"/>
  <c r="R160" i="72" s="1"/>
  <c r="R129" i="72" s="1"/>
  <c r="R128" i="72" s="1"/>
  <c r="T162" i="72"/>
  <c r="T160" i="72" s="1"/>
  <c r="T129" i="72" s="1"/>
  <c r="T128" i="72" s="1"/>
  <c r="BK205" i="63"/>
  <c r="J205" i="63" s="1"/>
  <c r="J101" i="63" s="1"/>
  <c r="P236" i="62"/>
  <c r="BK203" i="59"/>
  <c r="J203" i="59" s="1"/>
  <c r="J102" i="59" s="1"/>
  <c r="R203" i="59"/>
  <c r="R129" i="59" s="1"/>
  <c r="R128" i="59" s="1"/>
  <c r="T203" i="59"/>
  <c r="T129" i="59" s="1"/>
  <c r="T128" i="59" s="1"/>
  <c r="P203" i="59"/>
  <c r="P129" i="59" s="1"/>
  <c r="P128" i="59" s="1"/>
  <c r="AU95" i="58" s="1"/>
  <c r="F36" i="59"/>
  <c r="BA95" i="58" s="1"/>
  <c r="BK129" i="59"/>
  <c r="I93" i="12"/>
  <c r="I160" i="12"/>
  <c r="J138" i="12"/>
  <c r="J108" i="74" l="1"/>
  <c r="J31" i="74" s="1"/>
  <c r="BF109" i="74"/>
  <c r="T128" i="63"/>
  <c r="T127" i="63" s="1"/>
  <c r="J166" i="80"/>
  <c r="J102" i="80" s="1"/>
  <c r="T127" i="60"/>
  <c r="T126" i="60" s="1"/>
  <c r="J153" i="69"/>
  <c r="J102" i="69" s="1"/>
  <c r="BK129" i="69"/>
  <c r="J211" i="61"/>
  <c r="J103" i="61" s="1"/>
  <c r="BK128" i="61"/>
  <c r="J160" i="72"/>
  <c r="J103" i="72" s="1"/>
  <c r="BK129" i="72"/>
  <c r="J165" i="81"/>
  <c r="J102" i="81" s="1"/>
  <c r="J186" i="79"/>
  <c r="J101" i="79" s="1"/>
  <c r="BK129" i="79"/>
  <c r="J36" i="71"/>
  <c r="AW107" i="58" s="1"/>
  <c r="AT107" i="58" s="1"/>
  <c r="F36" i="71"/>
  <c r="BA107" i="58" s="1"/>
  <c r="R129" i="79"/>
  <c r="R128" i="79" s="1"/>
  <c r="J36" i="69"/>
  <c r="AW105" i="58" s="1"/>
  <c r="AT105" i="58" s="1"/>
  <c r="R129" i="71"/>
  <c r="R128" i="71" s="1"/>
  <c r="T129" i="79"/>
  <c r="T128" i="79" s="1"/>
  <c r="BK127" i="60"/>
  <c r="F36" i="83"/>
  <c r="BA119" i="58" s="1"/>
  <c r="J36" i="83"/>
  <c r="AW119" i="58" s="1"/>
  <c r="AT119" i="58" s="1"/>
  <c r="R128" i="68"/>
  <c r="R127" i="68" s="1"/>
  <c r="J30" i="75"/>
  <c r="J32" i="75" s="1"/>
  <c r="J111" i="75"/>
  <c r="J175" i="63"/>
  <c r="J100" i="63" s="1"/>
  <c r="BK128" i="63"/>
  <c r="T128" i="68"/>
  <c r="T127" i="68" s="1"/>
  <c r="J155" i="71"/>
  <c r="J102" i="71" s="1"/>
  <c r="BK129" i="71"/>
  <c r="R176" i="80"/>
  <c r="R175" i="80" s="1"/>
  <c r="R135" i="80" s="1"/>
  <c r="R134" i="80" s="1"/>
  <c r="P176" i="80"/>
  <c r="P175" i="80" s="1"/>
  <c r="P135" i="80" s="1"/>
  <c r="P134" i="80" s="1"/>
  <c r="AU116" i="58" s="1"/>
  <c r="BK176" i="80"/>
  <c r="BK175" i="80" s="1"/>
  <c r="J175" i="80" s="1"/>
  <c r="J103" i="80" s="1"/>
  <c r="J176" i="80"/>
  <c r="BF176" i="80" s="1"/>
  <c r="T176" i="80"/>
  <c r="T175" i="80" s="1"/>
  <c r="T135" i="80"/>
  <c r="T134" i="80" s="1"/>
  <c r="J30" i="77"/>
  <c r="J32" i="77" s="1"/>
  <c r="J109" i="77"/>
  <c r="J165" i="82"/>
  <c r="J102" i="82" s="1"/>
  <c r="J165" i="83"/>
  <c r="J102" i="83" s="1"/>
  <c r="BK134" i="83"/>
  <c r="T175" i="82"/>
  <c r="T174" i="82" s="1"/>
  <c r="T134" i="82" s="1"/>
  <c r="T133" i="82" s="1"/>
  <c r="R175" i="82"/>
  <c r="R174" i="82" s="1"/>
  <c r="R134" i="82" s="1"/>
  <c r="R133" i="82" s="1"/>
  <c r="P175" i="82"/>
  <c r="P174" i="82" s="1"/>
  <c r="J175" i="82"/>
  <c r="BF175" i="82" s="1"/>
  <c r="J36" i="82" s="1"/>
  <c r="AW118" i="58" s="1"/>
  <c r="AT118" i="58" s="1"/>
  <c r="BK175" i="82"/>
  <c r="BK174" i="82" s="1"/>
  <c r="J174" i="82" s="1"/>
  <c r="J103" i="82" s="1"/>
  <c r="P129" i="79"/>
  <c r="P128" i="79" s="1"/>
  <c r="AU115" i="58" s="1"/>
  <c r="T175" i="81"/>
  <c r="T174" i="81" s="1"/>
  <c r="T134" i="81" s="1"/>
  <c r="T133" i="81" s="1"/>
  <c r="R175" i="81"/>
  <c r="R174" i="81" s="1"/>
  <c r="R134" i="81" s="1"/>
  <c r="R133" i="81" s="1"/>
  <c r="P175" i="81"/>
  <c r="P174" i="81" s="1"/>
  <c r="P134" i="81" s="1"/>
  <c r="P133" i="81" s="1"/>
  <c r="AU117" i="58" s="1"/>
  <c r="BK175" i="81"/>
  <c r="BK174" i="81" s="1"/>
  <c r="J174" i="81" s="1"/>
  <c r="J103" i="81" s="1"/>
  <c r="J175" i="81"/>
  <c r="BF175" i="81" s="1"/>
  <c r="F36" i="60"/>
  <c r="BA96" i="58" s="1"/>
  <c r="J192" i="62"/>
  <c r="J102" i="62" s="1"/>
  <c r="BK128" i="62"/>
  <c r="P134" i="83"/>
  <c r="P133" i="83" s="1"/>
  <c r="AU119" i="58" s="1"/>
  <c r="J129" i="70"/>
  <c r="J97" i="70" s="1"/>
  <c r="BK128" i="70"/>
  <c r="J128" i="70" s="1"/>
  <c r="J96" i="70" s="1"/>
  <c r="P128" i="68"/>
  <c r="P127" i="68" s="1"/>
  <c r="AU104" i="58" s="1"/>
  <c r="T128" i="62"/>
  <c r="T127" i="62" s="1"/>
  <c r="J109" i="78"/>
  <c r="J30" i="78"/>
  <c r="J32" i="78" s="1"/>
  <c r="P129" i="71"/>
  <c r="P128" i="71" s="1"/>
  <c r="AU107" i="58" s="1"/>
  <c r="P134" i="82"/>
  <c r="P133" i="82" s="1"/>
  <c r="AU118" i="58" s="1"/>
  <c r="J156" i="68"/>
  <c r="J101" i="68" s="1"/>
  <c r="BK128" i="68"/>
  <c r="J109" i="73"/>
  <c r="J30" i="73"/>
  <c r="J32" i="73" s="1"/>
  <c r="J36" i="63"/>
  <c r="AW99" i="58" s="1"/>
  <c r="AT99" i="58" s="1"/>
  <c r="F36" i="63"/>
  <c r="BA99" i="58" s="1"/>
  <c r="J36" i="62"/>
  <c r="AW98" i="58" s="1"/>
  <c r="AT98" i="58" s="1"/>
  <c r="F36" i="62"/>
  <c r="BA98" i="58" s="1"/>
  <c r="J36" i="61"/>
  <c r="AW97" i="58" s="1"/>
  <c r="AT97" i="58" s="1"/>
  <c r="AG95" i="84"/>
  <c r="J41" i="85"/>
  <c r="J36" i="68"/>
  <c r="AW104" i="58" s="1"/>
  <c r="AT104" i="58" s="1"/>
  <c r="F36" i="68"/>
  <c r="BA104" i="58" s="1"/>
  <c r="J36" i="79"/>
  <c r="AW115" i="58" s="1"/>
  <c r="AT115" i="58" s="1"/>
  <c r="F36" i="79"/>
  <c r="BA115" i="58" s="1"/>
  <c r="R128" i="63"/>
  <c r="R127" i="63" s="1"/>
  <c r="P128" i="62"/>
  <c r="P127" i="62" s="1"/>
  <c r="AU98" i="58" s="1"/>
  <c r="J30" i="74"/>
  <c r="P128" i="63"/>
  <c r="P127" i="63" s="1"/>
  <c r="AU99" i="58" s="1"/>
  <c r="F36" i="72"/>
  <c r="BA108" i="58" s="1"/>
  <c r="BK185" i="76"/>
  <c r="J129" i="59"/>
  <c r="J97" i="59" s="1"/>
  <c r="BK128" i="59"/>
  <c r="J128" i="59" s="1"/>
  <c r="J96" i="59" s="1"/>
  <c r="J36" i="74" l="1"/>
  <c r="AW110" i="58" s="1"/>
  <c r="AT110" i="58" s="1"/>
  <c r="F36" i="74"/>
  <c r="BA110" i="58" s="1"/>
  <c r="J111" i="74"/>
  <c r="J32" i="74"/>
  <c r="AU94" i="58"/>
  <c r="BK134" i="82"/>
  <c r="J129" i="71"/>
  <c r="J97" i="71" s="1"/>
  <c r="BK128" i="71"/>
  <c r="J128" i="71" s="1"/>
  <c r="J96" i="71" s="1"/>
  <c r="J185" i="76"/>
  <c r="J102" i="76" s="1"/>
  <c r="BK129" i="76"/>
  <c r="J129" i="76" s="1"/>
  <c r="J96" i="76" s="1"/>
  <c r="J41" i="73"/>
  <c r="AG109" i="58"/>
  <c r="AN109" i="58" s="1"/>
  <c r="J41" i="75"/>
  <c r="AG111" i="58"/>
  <c r="AN111" i="58" s="1"/>
  <c r="J36" i="81"/>
  <c r="AW117" i="58" s="1"/>
  <c r="AT117" i="58" s="1"/>
  <c r="F36" i="81"/>
  <c r="BA117" i="58" s="1"/>
  <c r="AG113" i="58"/>
  <c r="AN113" i="58" s="1"/>
  <c r="J41" i="77"/>
  <c r="J129" i="72"/>
  <c r="J97" i="72" s="1"/>
  <c r="BK128" i="72"/>
  <c r="J128" i="72" s="1"/>
  <c r="J96" i="72" s="1"/>
  <c r="J128" i="68"/>
  <c r="J97" i="68" s="1"/>
  <c r="BK127" i="68"/>
  <c r="J127" i="68" s="1"/>
  <c r="J96" i="68" s="1"/>
  <c r="J129" i="79"/>
  <c r="J97" i="79" s="1"/>
  <c r="BK128" i="79"/>
  <c r="J128" i="79" s="1"/>
  <c r="J96" i="79" s="1"/>
  <c r="J128" i="61"/>
  <c r="J97" i="61" s="1"/>
  <c r="BK127" i="61"/>
  <c r="J127" i="61" s="1"/>
  <c r="J96" i="61" s="1"/>
  <c r="AN95" i="84"/>
  <c r="AG94" i="84"/>
  <c r="J109" i="70"/>
  <c r="J30" i="70"/>
  <c r="J32" i="70" s="1"/>
  <c r="J127" i="60"/>
  <c r="J97" i="60" s="1"/>
  <c r="BK126" i="60"/>
  <c r="J126" i="60" s="1"/>
  <c r="J96" i="60" s="1"/>
  <c r="AG110" i="58"/>
  <c r="BK133" i="83"/>
  <c r="J133" i="83" s="1"/>
  <c r="J96" i="83" s="1"/>
  <c r="J134" i="83"/>
  <c r="J97" i="83" s="1"/>
  <c r="J128" i="63"/>
  <c r="J97" i="63" s="1"/>
  <c r="BK127" i="63"/>
  <c r="J127" i="63" s="1"/>
  <c r="J96" i="63" s="1"/>
  <c r="F36" i="82"/>
  <c r="BA118" i="58" s="1"/>
  <c r="BK135" i="80"/>
  <c r="BK128" i="69"/>
  <c r="J128" i="69" s="1"/>
  <c r="J96" i="69" s="1"/>
  <c r="J129" i="69"/>
  <c r="J97" i="69" s="1"/>
  <c r="J41" i="78"/>
  <c r="AG114" i="58"/>
  <c r="AN114" i="58" s="1"/>
  <c r="BK127" i="62"/>
  <c r="J127" i="62" s="1"/>
  <c r="J96" i="62" s="1"/>
  <c r="J128" i="62"/>
  <c r="J97" i="62" s="1"/>
  <c r="J134" i="82"/>
  <c r="J97" i="82" s="1"/>
  <c r="BK133" i="82"/>
  <c r="J133" i="82" s="1"/>
  <c r="J96" i="82" s="1"/>
  <c r="BK134" i="81"/>
  <c r="J109" i="59"/>
  <c r="J30" i="59"/>
  <c r="J32" i="59" s="1"/>
  <c r="J41" i="74" l="1"/>
  <c r="AN110" i="58"/>
  <c r="J135" i="80"/>
  <c r="J97" i="80" s="1"/>
  <c r="BK134" i="80"/>
  <c r="J134" i="80" s="1"/>
  <c r="J96" i="80" s="1"/>
  <c r="J113" i="80" s="1"/>
  <c r="J108" i="63"/>
  <c r="J30" i="63"/>
  <c r="J32" i="63" s="1"/>
  <c r="J30" i="68"/>
  <c r="J32" i="68" s="1"/>
  <c r="J108" i="68"/>
  <c r="J30" i="62"/>
  <c r="J32" i="62" s="1"/>
  <c r="J108" i="62"/>
  <c r="E51" i="12"/>
  <c r="AG104" i="84"/>
  <c r="AK26" i="84"/>
  <c r="AK29" i="84" s="1"/>
  <c r="AK38" i="84" s="1"/>
  <c r="AN94" i="84"/>
  <c r="AN104" i="84" s="1"/>
  <c r="J30" i="83"/>
  <c r="J32" i="83" s="1"/>
  <c r="J114" i="83"/>
  <c r="J114" i="82"/>
  <c r="J30" i="82"/>
  <c r="J32" i="82" s="1"/>
  <c r="J30" i="61"/>
  <c r="J32" i="61" s="1"/>
  <c r="J108" i="61"/>
  <c r="J30" i="76"/>
  <c r="J32" i="76" s="1"/>
  <c r="J110" i="76"/>
  <c r="J30" i="72"/>
  <c r="J32" i="72" s="1"/>
  <c r="J109" i="72"/>
  <c r="J134" i="81"/>
  <c r="J97" i="81" s="1"/>
  <c r="BK133" i="81"/>
  <c r="J133" i="81" s="1"/>
  <c r="J96" i="81" s="1"/>
  <c r="J30" i="69"/>
  <c r="J32" i="69" s="1"/>
  <c r="J109" i="69"/>
  <c r="J30" i="60"/>
  <c r="J32" i="60" s="1"/>
  <c r="J107" i="60"/>
  <c r="J30" i="79"/>
  <c r="J32" i="79" s="1"/>
  <c r="J109" i="79"/>
  <c r="J30" i="71"/>
  <c r="J32" i="71" s="1"/>
  <c r="J109" i="71"/>
  <c r="J41" i="70"/>
  <c r="AG106" i="58"/>
  <c r="AN106" i="58" s="1"/>
  <c r="J41" i="59"/>
  <c r="AG95" i="58"/>
  <c r="J108" i="12"/>
  <c r="I77" i="12"/>
  <c r="J89" i="12"/>
  <c r="BF113" i="80" l="1"/>
  <c r="J112" i="80"/>
  <c r="J31" i="80" s="1"/>
  <c r="AG115" i="58"/>
  <c r="AN115" i="58" s="1"/>
  <c r="J41" i="79"/>
  <c r="J41" i="72"/>
  <c r="AG108" i="58"/>
  <c r="AN108" i="58" s="1"/>
  <c r="J41" i="83"/>
  <c r="AG119" i="58"/>
  <c r="AN119" i="58" s="1"/>
  <c r="J41" i="68"/>
  <c r="AG104" i="58"/>
  <c r="AN104" i="58" s="1"/>
  <c r="J41" i="71"/>
  <c r="AG107" i="58"/>
  <c r="AN107" i="58" s="1"/>
  <c r="AG99" i="58"/>
  <c r="AN99" i="58" s="1"/>
  <c r="J41" i="63"/>
  <c r="AG98" i="58"/>
  <c r="AN98" i="58" s="1"/>
  <c r="J41" i="62"/>
  <c r="J41" i="60"/>
  <c r="AG96" i="58"/>
  <c r="AN96" i="58" s="1"/>
  <c r="J41" i="76"/>
  <c r="AG112" i="58"/>
  <c r="AN112" i="58" s="1"/>
  <c r="J41" i="69"/>
  <c r="AG105" i="58"/>
  <c r="AN105" i="58" s="1"/>
  <c r="AG97" i="58"/>
  <c r="AN97" i="58" s="1"/>
  <c r="J41" i="61"/>
  <c r="J30" i="80"/>
  <c r="J114" i="81"/>
  <c r="J30" i="81"/>
  <c r="J32" i="81" s="1"/>
  <c r="J41" i="82"/>
  <c r="AG118" i="58"/>
  <c r="AN118" i="58" s="1"/>
  <c r="AN95" i="58"/>
  <c r="I61" i="12"/>
  <c r="I58" i="18"/>
  <c r="G58" i="18"/>
  <c r="E58" i="18"/>
  <c r="I57" i="18"/>
  <c r="G57" i="18"/>
  <c r="E57" i="18"/>
  <c r="I56" i="18"/>
  <c r="G56" i="18"/>
  <c r="E56" i="18"/>
  <c r="I55" i="18"/>
  <c r="G55" i="18"/>
  <c r="E55" i="18"/>
  <c r="I54" i="18"/>
  <c r="G54" i="18"/>
  <c r="E54" i="18"/>
  <c r="I53" i="18"/>
  <c r="G53" i="18"/>
  <c r="E53" i="18"/>
  <c r="I52" i="18"/>
  <c r="G52" i="18"/>
  <c r="E52" i="18"/>
  <c r="I51" i="18"/>
  <c r="G51" i="18"/>
  <c r="E51" i="18"/>
  <c r="I50" i="18"/>
  <c r="G50" i="18"/>
  <c r="E50" i="18"/>
  <c r="I49" i="18"/>
  <c r="J49" i="18" s="1"/>
  <c r="H49" i="18"/>
  <c r="G49" i="18"/>
  <c r="F49" i="18"/>
  <c r="E49" i="18"/>
  <c r="I43" i="18"/>
  <c r="G43" i="18"/>
  <c r="E43" i="18"/>
  <c r="I42" i="18"/>
  <c r="G42" i="18"/>
  <c r="E42" i="18"/>
  <c r="I41" i="18"/>
  <c r="G41" i="18"/>
  <c r="E41" i="18"/>
  <c r="I40" i="18"/>
  <c r="G40" i="18"/>
  <c r="E40" i="18"/>
  <c r="I39" i="18"/>
  <c r="G39" i="18"/>
  <c r="E39" i="18"/>
  <c r="I38" i="18"/>
  <c r="G38" i="18"/>
  <c r="E38" i="18"/>
  <c r="I37" i="18"/>
  <c r="G37" i="18"/>
  <c r="E37" i="18"/>
  <c r="I36" i="18"/>
  <c r="G36" i="18"/>
  <c r="E36" i="18"/>
  <c r="I35" i="18"/>
  <c r="G35" i="18"/>
  <c r="E35" i="18"/>
  <c r="I34" i="18"/>
  <c r="J34" i="18" s="1"/>
  <c r="G34" i="18"/>
  <c r="H34" i="18" s="1"/>
  <c r="F34" i="18"/>
  <c r="E34" i="18"/>
  <c r="C19" i="18" a="1"/>
  <c r="C19" i="18" s="1"/>
  <c r="C34" i="18" s="1" a="1"/>
  <c r="C34" i="18" s="1"/>
  <c r="C49" i="18" s="1" a="1"/>
  <c r="C49" i="18" s="1"/>
  <c r="B19" i="18" a="1"/>
  <c r="B19" i="18" s="1"/>
  <c r="B34" i="18" s="1" a="1"/>
  <c r="B34" i="18" s="1"/>
  <c r="B49" i="18" s="1" a="1"/>
  <c r="B49" i="18" s="1"/>
  <c r="H14" i="18"/>
  <c r="I10" i="18" s="1"/>
  <c r="K13" i="18"/>
  <c r="K12" i="18"/>
  <c r="K11" i="18"/>
  <c r="K10" i="18"/>
  <c r="K9" i="18"/>
  <c r="K8" i="18"/>
  <c r="K7" i="18"/>
  <c r="K6" i="18"/>
  <c r="K5" i="18"/>
  <c r="K4" i="18"/>
  <c r="J32" i="80" l="1"/>
  <c r="J115" i="80"/>
  <c r="J36" i="80"/>
  <c r="AW116" i="58" s="1"/>
  <c r="AT116" i="58" s="1"/>
  <c r="F36" i="80"/>
  <c r="BA116" i="58" s="1"/>
  <c r="BA94" i="58" s="1"/>
  <c r="AG117" i="58"/>
  <c r="AN117" i="58" s="1"/>
  <c r="J41" i="81"/>
  <c r="I6" i="18"/>
  <c r="J36" i="18" s="1"/>
  <c r="I5" i="18"/>
  <c r="H35" i="18" s="1"/>
  <c r="I11" i="18"/>
  <c r="J26" i="18" s="1"/>
  <c r="I13" i="18"/>
  <c r="F43" i="18" s="1"/>
  <c r="I4" i="18"/>
  <c r="J4" i="18" s="1"/>
  <c r="I8" i="18"/>
  <c r="F38" i="18" s="1"/>
  <c r="J40" i="18"/>
  <c r="F55" i="18"/>
  <c r="H40" i="18"/>
  <c r="J10" i="18"/>
  <c r="J25" i="18"/>
  <c r="F40" i="18"/>
  <c r="H25" i="18"/>
  <c r="F25" i="18"/>
  <c r="J55" i="18"/>
  <c r="H55" i="18"/>
  <c r="I9" i="18"/>
  <c r="I12" i="18"/>
  <c r="I7" i="18"/>
  <c r="H41" i="18"/>
  <c r="J58" i="18"/>
  <c r="J41" i="80" l="1"/>
  <c r="AG116" i="58"/>
  <c r="AN116" i="58" s="1"/>
  <c r="W33" i="58"/>
  <c r="AW94" i="58"/>
  <c r="H58" i="18"/>
  <c r="H26" i="18"/>
  <c r="J11" i="18"/>
  <c r="F26" i="18"/>
  <c r="J50" i="18"/>
  <c r="F23" i="18"/>
  <c r="J41" i="18"/>
  <c r="J51" i="18"/>
  <c r="F56" i="18"/>
  <c r="F41" i="18"/>
  <c r="H56" i="18"/>
  <c r="J56" i="18"/>
  <c r="J6" i="18"/>
  <c r="H51" i="18"/>
  <c r="H36" i="18"/>
  <c r="H50" i="18"/>
  <c r="F21" i="18"/>
  <c r="F51" i="18"/>
  <c r="J20" i="18"/>
  <c r="F20" i="18"/>
  <c r="H38" i="18"/>
  <c r="H20" i="18"/>
  <c r="H23" i="18"/>
  <c r="F36" i="18"/>
  <c r="J21" i="18"/>
  <c r="J35" i="18"/>
  <c r="H21" i="18"/>
  <c r="F35" i="18"/>
  <c r="F50" i="18"/>
  <c r="J19" i="18"/>
  <c r="J5" i="18"/>
  <c r="I14" i="18"/>
  <c r="F19" i="18"/>
  <c r="F53" i="18"/>
  <c r="H43" i="18"/>
  <c r="J13" i="18"/>
  <c r="J23" i="18"/>
  <c r="J8" i="18"/>
  <c r="J38" i="18"/>
  <c r="F58" i="18"/>
  <c r="H19" i="18"/>
  <c r="H53" i="18"/>
  <c r="F28" i="18"/>
  <c r="J53" i="18"/>
  <c r="J28" i="18"/>
  <c r="H28" i="18"/>
  <c r="J43" i="18"/>
  <c r="H39" i="18"/>
  <c r="F24" i="18"/>
  <c r="F39" i="18"/>
  <c r="J54" i="18"/>
  <c r="J9" i="18"/>
  <c r="H54" i="18"/>
  <c r="J39" i="18"/>
  <c r="J24" i="18"/>
  <c r="F54" i="18"/>
  <c r="H24" i="18"/>
  <c r="F42" i="18"/>
  <c r="J57" i="18"/>
  <c r="H57" i="18"/>
  <c r="J42" i="18"/>
  <c r="J12" i="18"/>
  <c r="J27" i="18"/>
  <c r="F57" i="18"/>
  <c r="H42" i="18"/>
  <c r="H27" i="18"/>
  <c r="F27" i="18"/>
  <c r="H52" i="18"/>
  <c r="J37" i="18"/>
  <c r="F52" i="18"/>
  <c r="J7" i="18"/>
  <c r="D19" i="18" a="1"/>
  <c r="D19" i="18" s="1"/>
  <c r="D29" i="18" s="1"/>
  <c r="H37" i="18"/>
  <c r="J22" i="18"/>
  <c r="H22" i="18"/>
  <c r="F37" i="18"/>
  <c r="F22" i="18"/>
  <c r="J52" i="18"/>
  <c r="AG94" i="58" l="1"/>
  <c r="AK26" i="58" s="1"/>
  <c r="AK29" i="58" s="1"/>
  <c r="AK33" i="58"/>
  <c r="AT94" i="58"/>
  <c r="J59" i="18"/>
  <c r="F59" i="18"/>
  <c r="F44" i="18"/>
  <c r="J44" i="18"/>
  <c r="H29" i="18"/>
  <c r="H44" i="18"/>
  <c r="H59" i="18"/>
  <c r="J29" i="18"/>
  <c r="F29" i="18"/>
  <c r="J73" i="12"/>
  <c r="J57" i="12"/>
  <c r="AK38" i="58" l="1"/>
  <c r="AN94" i="58"/>
  <c r="AN123" i="58" s="1"/>
  <c r="AG123" i="58"/>
  <c r="E50" i="12"/>
  <c r="G50" i="12" s="1"/>
  <c r="H50" i="12" s="1"/>
  <c r="F163" i="12"/>
  <c r="G51" i="12" l="1"/>
  <c r="H51" i="12" s="1"/>
  <c r="D144" i="12"/>
  <c r="I144" i="12" s="1"/>
  <c r="F139" i="12"/>
  <c r="G139" i="12" s="1"/>
  <c r="J139" i="12" l="1"/>
  <c r="F140" i="12"/>
  <c r="G140" i="12" s="1"/>
  <c r="J140" i="12" l="1"/>
  <c r="F141" i="12"/>
  <c r="J141" i="12" s="1"/>
  <c r="J164" i="12" s="1"/>
  <c r="J165" i="12" s="1"/>
  <c r="G163" i="12"/>
  <c r="G14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tc={3F12AEA8-377A-4461-92A9-2A4DC2C7CADE}</author>
  </authors>
  <commentList>
    <comment ref="F6" authorId="0" shapeId="0" xr:uid="{3F12AEA8-377A-4461-92A9-2A4DC2C7CADE}">
      <text>
        <t>[Zreťazený komentár]
Vaša verzia programu Excel vám umožňuje čítať tento zreťazený komentár, avšak akékoľvek jeho zmeny sa odstránia, ak sa súbor otvorí v novšej verzii programu Excel. Ďalšie informácie: https://go.microsoft.com/fwlink/?linkid=870924
Komentár:
    Zmeniť na 500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Horváth Jakub, Mgr.</author>
  </authors>
  <commentList>
    <comment ref="E50" authorId="0" shapeId="0" xr:uid="{0FAA1019-AE4D-4CD1-831D-10BF0B239F5B}">
      <text>
        <r>
          <rPr>
            <sz val="9"/>
            <color indexed="81"/>
            <rFont val="Segoe UI"/>
            <family val="2"/>
            <charset val="238"/>
          </rPr>
          <t>Suma bez DPH z Výkazu Výmer (hárok 2) sa automaticky zobrazí v tejto bunke</t>
        </r>
      </text>
    </comment>
    <comment ref="E51" authorId="0" shapeId="0" xr:uid="{66549389-4FA8-418D-990D-0B9113C1C792}">
      <text>
        <r>
          <rPr>
            <sz val="9"/>
            <color indexed="81"/>
            <rFont val="Segoe UI"/>
            <family val="2"/>
            <charset val="238"/>
          </rPr>
          <t>Suma bez DPH z Výkazu Výmer (hárok 2) sa automaticky zobrazí v tejto bunke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<sst xmlns="http://schemas.openxmlformats.org/spreadsheetml/2006/main" count="30747" uniqueCount="3199">
  <si>
    <t>Základné nastavenie súťaže</t>
  </si>
  <si>
    <t>Por. č.</t>
  </si>
  <si>
    <t>názov kritéria</t>
  </si>
  <si>
    <t>jednotka</t>
  </si>
  <si>
    <t>Max hodnota</t>
  </si>
  <si>
    <t>Min hodnota</t>
  </si>
  <si>
    <t xml:space="preserve">Logika kritéria </t>
  </si>
  <si>
    <t>Koľko sme ochotní priplatiť si za najlepšiu hodnotu?</t>
  </si>
  <si>
    <t>Váha kritériá (%)</t>
  </si>
  <si>
    <t>Hodnota MVP</t>
  </si>
  <si>
    <t>Hodnota jednotky</t>
  </si>
  <si>
    <t>čím menej, tým lepšie</t>
  </si>
  <si>
    <t>...</t>
  </si>
  <si>
    <t>spolu</t>
  </si>
  <si>
    <t>Spôsob hodnotenia - bodový</t>
  </si>
  <si>
    <t>Váha (%)</t>
  </si>
  <si>
    <t>Ponuka A</t>
  </si>
  <si>
    <t>Ponuka B</t>
  </si>
  <si>
    <t>Ponuka C</t>
  </si>
  <si>
    <t>Ponuka A - Body</t>
  </si>
  <si>
    <t>Ponuka B - Body</t>
  </si>
  <si>
    <t>C - EUR</t>
  </si>
  <si>
    <t>Spolu</t>
  </si>
  <si>
    <t>Spôsob hodnotenia - peňažný bonusový</t>
  </si>
  <si>
    <t>Ponuka A - EUR</t>
  </si>
  <si>
    <t>Ponuka B - EUR</t>
  </si>
  <si>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</si>
  <si>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</si>
  <si>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</si>
  <si>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</si>
  <si>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</si>
  <si>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</si>
  <si>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</si>
  <si>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</si>
  <si>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</si>
  <si>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</si>
  <si>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t>Názov položky</t>
  </si>
  <si>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</si>
  <si>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</si>
  <si>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</si>
  <si>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</si>
  <si>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</si>
  <si>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</si>
  <si>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</si>
  <si>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</si>
  <si>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</si>
  <si>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</si>
  <si>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</si>
  <si>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</si>
  <si>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</si>
  <si>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</si>
  <si>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</si>
  <si>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</si>
  <si>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</si>
  <si>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</si>
  <si>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</si>
  <si>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</si>
  <si>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</si>
  <si>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</si>
  <si>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</si>
  <si>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</si>
  <si>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</si>
  <si>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</si>
  <si>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</si>
  <si>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</si>
  <si>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</si>
  <si>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</si>
  <si>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Spôsob hodnotenia - peňažný malusový</t>
  </si>
  <si>
    <t>EUR s DPH</t>
  </si>
  <si>
    <t>žiadna</t>
  </si>
  <si>
    <t>čím viac, tým lepšie</t>
  </si>
  <si>
    <t>Cena celkom</t>
  </si>
  <si>
    <t>Som platcom DPH</t>
  </si>
  <si>
    <t xml:space="preserve">Vyhlásenie k participácii na vypracovaní ponuky inou osobou </t>
  </si>
  <si>
    <t>Vypracoval uchádzač ponuku sám?</t>
  </si>
  <si>
    <t xml:space="preserve">Ak uchádzač nevypracoval ponuku sám, nižšie uvedie identifikáciu osoby, ktorej služby alebo podklady pri vypracovaní ponuky využil - ide o požiadavku v zmysle § 49 ods. 5 zákona č. 343/2015 Z. z. o verejnom obstarávaní a o zmene a doplnení niektorých zákonov v znení neskorších predpisov. Uchádzač ďalej vyhlasuje, že si je vedomý právnych následkov uvedenia nepravdivých informácií v tomto vyhlásení alebo zamlčania takejto osoby. </t>
  </si>
  <si>
    <t xml:space="preserve">Identifikačné údaje osoby, ktorá participovala na ponuke </t>
  </si>
  <si>
    <t>Meno a priezvisko:</t>
  </si>
  <si>
    <t>Obchodné meno alebo názov:</t>
  </si>
  <si>
    <t>Sídlo alebo miesto podnikania:</t>
  </si>
  <si>
    <t>Identifikačné číslo, ak bolo pridelené:</t>
  </si>
  <si>
    <t>Podmienky účasti technickej alebo odbornej spôsobilosti</t>
  </si>
  <si>
    <t>Zoznam stavebných prác: Podmienka účasti podľa § 34 ods. 1 písm. b) ZVO</t>
  </si>
  <si>
    <t>P.č.</t>
  </si>
  <si>
    <t>Lehota uskutočnenia</t>
  </si>
  <si>
    <t xml:space="preserve">Kontaktné údaje odberateľa (email, tel. č.) </t>
  </si>
  <si>
    <t xml:space="preserve">Stavbyvedúci </t>
  </si>
  <si>
    <t>meno a priezvisko</t>
  </si>
  <si>
    <t>Evidenčné číslo v zozname SKSI</t>
  </si>
  <si>
    <t xml:space="preserve">Cena v EUR bez DPH </t>
  </si>
  <si>
    <t xml:space="preserve">Výška DPH </t>
  </si>
  <si>
    <t xml:space="preserve">Suma v EUR s DPH </t>
  </si>
  <si>
    <t>Predpokladané celkové množstvo odpadu (t)</t>
  </si>
  <si>
    <t>Požiadavka na recykláciu min (%)</t>
  </si>
  <si>
    <t xml:space="preserve">Ponuka recyklácie uchádzača nad požadovaný rámec (%) </t>
  </si>
  <si>
    <t xml:space="preserve">Recyklácia stavebného odpadu celkom (%) </t>
  </si>
  <si>
    <t xml:space="preserve">Recyklácia stavebného odpadu celkom (t) </t>
  </si>
  <si>
    <t xml:space="preserve">Skládkovanie stavebného odpadu (t) </t>
  </si>
  <si>
    <t>Celkové množstvo stavebného odpadu určené na recykláciu</t>
  </si>
  <si>
    <t>Požiadavka na recykláciu z celkového množstva stavebného odpadu (%)</t>
  </si>
  <si>
    <t>Požiadavka na recykláciu z celkového množstva stavebného odpadu (t)</t>
  </si>
  <si>
    <t>Uchádzačom deklarovaná recyklácia z celkového množstva odpadu (%)</t>
  </si>
  <si>
    <t>Požiadavka na recykláciu stavebného odpadu</t>
  </si>
  <si>
    <t>Navýšenie hodnotenej ponuky:</t>
  </si>
  <si>
    <t>Stavbyvedúci:  (musí ísť o rovnakú osobu ako predloženú na preukázanie splnenia podmienky účasti odbornej a technickej spôsobilosti podľa § 34 ods. 1 písm g) ZVO)</t>
  </si>
  <si>
    <t>Lehota uskutočnenia (od-do)</t>
  </si>
  <si>
    <t xml:space="preserve">Kontaktné údaje odberateľa (email. Tel. č.) </t>
  </si>
  <si>
    <t>Suma pre hodnotenie ponuky celkom:</t>
  </si>
  <si>
    <t>2</t>
  </si>
  <si>
    <t>1</t>
  </si>
  <si>
    <t>4</t>
  </si>
  <si>
    <t>m2</t>
  </si>
  <si>
    <t>t</t>
  </si>
  <si>
    <t>m</t>
  </si>
  <si>
    <t>m3</t>
  </si>
  <si>
    <t>8</t>
  </si>
  <si>
    <t>7</t>
  </si>
  <si>
    <t>6</t>
  </si>
  <si>
    <t>5</t>
  </si>
  <si>
    <t>3</t>
  </si>
  <si>
    <t>MJ</t>
  </si>
  <si>
    <t>Popis</t>
  </si>
  <si>
    <t>Objednávateľ:</t>
  </si>
  <si>
    <t>ks</t>
  </si>
  <si>
    <t>a) Betón</t>
  </si>
  <si>
    <t xml:space="preserve">Uchádzač je povinný preukázať, že na plnenie zákazky disponuje minimálne jedným stavbyvedúcim, ktorý má potrebné vzdelanie a odbornú prax na vykonanie prác, ktoré sú predmetom tohto verejného obstarávania. </t>
  </si>
  <si>
    <t>Dĺžka pozemnej komunikácie</t>
  </si>
  <si>
    <t>K3: Skúsenosti stavbyvedúceho (dĺžka vybudovaných pozemných komunikácií)</t>
  </si>
  <si>
    <t>b) Bitúmenové zmesi (asfalt)</t>
  </si>
  <si>
    <t xml:space="preserve">Ponuka uchádzača </t>
  </si>
  <si>
    <t>Minimálna predĺženie záruky v mesiacoch</t>
  </si>
  <si>
    <t>Maximálne predĺženie záruky v mesiacoch</t>
  </si>
  <si>
    <t xml:space="preserve">Uchádzačom uvedené predĺženie záruky bude transponované do zmluvy a bude záväzné. </t>
  </si>
  <si>
    <t>Zákazky budú v priebehu hodnotenia ponúk preverené a o výslednej pričítanej sume rozhodne komisia na vyhodnotenie ponúk.</t>
  </si>
  <si>
    <t>Maximálny finančný malus na účely hodnotenia ponúk</t>
  </si>
  <si>
    <t>áno</t>
  </si>
  <si>
    <t>Kritériá na vyhodnotenie ponúk</t>
  </si>
  <si>
    <t xml:space="preserve">K1: Ponuková cena v eurách s DPH za predmet zákazky </t>
  </si>
  <si>
    <t>Záruka navyše</t>
  </si>
  <si>
    <t>mesiace</t>
  </si>
  <si>
    <t>skúsenosti dĺžka</t>
  </si>
  <si>
    <t>metroch</t>
  </si>
  <si>
    <t>percentá</t>
  </si>
  <si>
    <t>Navýšenie hodnotenej ponuky</t>
  </si>
  <si>
    <t>Hlavné mesto SR Bratislava</t>
  </si>
  <si>
    <t>Údaj sa automaticky zobrazí aj vo Výkaze výmer</t>
  </si>
  <si>
    <t>Minimálna dĺžka komunikácie v metroch</t>
  </si>
  <si>
    <t>Maximálna dĺžka komunikácie v metroch</t>
  </si>
  <si>
    <r>
      <t>Predložením tejto ponuky prehlasujem, že som sa oboznámil so znením čestného vyhlásenia uvedeným v hárku "</t>
    </r>
    <r>
      <rPr>
        <b/>
        <sz val="11"/>
        <rFont val="Calibri"/>
        <family val="2"/>
        <charset val="238"/>
        <scheme val="minor"/>
      </rPr>
      <t>Osobné postavenie</t>
    </r>
    <r>
      <rPr>
        <sz val="11"/>
        <rFont val="Calibri"/>
        <family val="2"/>
        <charset val="238"/>
        <scheme val="minor"/>
      </rPr>
      <t>" tohto dokumentu a potvrdzujem všetky tam uvedené skutočnosti.</t>
    </r>
  </si>
  <si>
    <t>Čestné vyhlásenie podľa § 32 ods. 7 ZVO</t>
  </si>
  <si>
    <t>že v spoločnosti uchádazača pôsobia nasledovné osoby splňajúce podmienky stanovené v § 32 ods. 8 ZVO:</t>
  </si>
  <si>
    <t>1. Meno Priezvisko, funkcia v spoločnosti</t>
  </si>
  <si>
    <t>2. Meno Priezvisko, funkcia v spoločnosti</t>
  </si>
  <si>
    <t>3. Meno Priezvisko, funkcia v spoločnosti</t>
  </si>
  <si>
    <t>4. ... v prípade potreby doplňte ďalšie riadky</t>
  </si>
  <si>
    <t>Zároveň čestne vhylasujem, že všetky vyššie uvedené osoby spĺňajú podmienky účasti osobného postavenia podľa § 32 ods. 1 písm. a) ZVO.</t>
  </si>
  <si>
    <t>V prípade, že vyššie nie sú uvedené žiadne osoby, čestne prehlasujem, že žiadne takéto osoby v našej spoločnosti nepôsobia.</t>
  </si>
  <si>
    <t>Recyklácia betón</t>
  </si>
  <si>
    <t>Recyklácia asfalt</t>
  </si>
  <si>
    <t xml:space="preserve">Názov a stručný popis zákazky z ktorého bude vyplývať reallizácia stavebných prác obdobného charakteru ako je predmet zákazky </t>
  </si>
  <si>
    <r>
      <rPr>
        <sz val="11"/>
        <rFont val="Calibri"/>
        <family val="2"/>
        <charset val="238"/>
      </rPr>
      <t>V prípade, ak uchádzač uvedie "nie". Súčasťou ponuky uchádzača musia byť v tomto prípade: 
- písomná zmluva uzavretá medzi uchádzačom a osobou, ktorej spôsobilosť využíva na preukázanie technickej spôsobilosti alebo odbornej spôsobilosti (scan); 
- doklady v zmysle § 32 ods. 2 ZVO preukazujúce splnenie podmienok účasti týkajúce sa osobného postavenia osoby, ktorej kapacity majú byť použité na preukázanie technickej spôsobilosti alebo odbornej spôsobilosti v prípade, ak iná osoba nie je zapísaná v Zozname hospodárskych subjektov vedenom Úradom pre verejné obstarávanie.</t>
    </r>
    <r>
      <rPr>
        <b/>
        <sz val="11"/>
        <rFont val="Calibri"/>
        <family val="2"/>
        <charset val="238"/>
      </rPr>
      <t xml:space="preserve"> </t>
    </r>
  </si>
  <si>
    <t>Skládkovanie CELKOM</t>
  </si>
  <si>
    <t>9</t>
  </si>
  <si>
    <t>Recyklácia štrkopiesok</t>
  </si>
  <si>
    <t>&gt;&gt;  skryté stĺpce  &lt;&lt;</t>
  </si>
  <si>
    <t>0</t>
  </si>
  <si>
    <t>KRYCÍ LIST ROZPOČTU</t>
  </si>
  <si>
    <t>v ---  nižšie sa nachádzajú doplnkové a pomocné údaje k zostavám  --- v</t>
  </si>
  <si>
    <t>False</t>
  </si>
  <si>
    <t>Stavba:</t>
  </si>
  <si>
    <t>JKSO:</t>
  </si>
  <si>
    <t/>
  </si>
  <si>
    <t>Miesto:</t>
  </si>
  <si>
    <t xml:space="preserve"> </t>
  </si>
  <si>
    <t>Dátum:</t>
  </si>
  <si>
    <t>Zhotoviteľ:</t>
  </si>
  <si>
    <t>Projektant:</t>
  </si>
  <si>
    <t>Spracovateľ:</t>
  </si>
  <si>
    <t>Poznámka:</t>
  </si>
  <si>
    <t>Cena bez DPH</t>
  </si>
  <si>
    <t>Základ dane</t>
  </si>
  <si>
    <t>Sadzba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</si>
  <si>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</si>
  <si>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</si>
  <si>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</si>
  <si>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</si>
  <si>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</si>
  <si>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</si>
  <si>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</si>
  <si>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</si>
  <si>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</si>
  <si>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</si>
  <si>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</si>
  <si>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</si>
  <si>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</si>
  <si>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</si>
  <si>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</si>
  <si>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</si>
  <si>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ROZPOČTU</t>
  </si>
  <si>
    <t>Kód dielu - Popis</t>
  </si>
  <si>
    <t>Cena celkom [EUR]</t>
  </si>
  <si>
    <t>Náklady z rozpočtu</t>
  </si>
  <si>
    <t>-1</t>
  </si>
  <si>
    <t>ROZPOČET</t>
  </si>
  <si>
    <t>PČ</t>
  </si>
  <si>
    <t>Typ</t>
  </si>
  <si>
    <t>Kód</t>
  </si>
  <si>
    <t>Množstvo</t>
  </si>
  <si>
    <t>J.cena [EUR]</t>
  </si>
  <si>
    <t>Cenová sústava</t>
  </si>
  <si>
    <t>J. Nh [h]</t>
  </si>
  <si>
    <t>Nh celkom [h]</t>
  </si>
  <si>
    <t>J. hmotnosť [t]</t>
  </si>
  <si>
    <t>Hmotnosť celkom [t]</t>
  </si>
  <si>
    <t>J. suť [t]</t>
  </si>
  <si>
    <t>Suť Celkom [t]</t>
  </si>
  <si>
    <t>D</t>
  </si>
  <si>
    <t>ROZPOCET</t>
  </si>
  <si>
    <t>K</t>
  </si>
  <si>
    <t>True</t>
  </si>
  <si>
    <t>Zemné práce</t>
  </si>
  <si>
    <t>10</t>
  </si>
  <si>
    <t>11</t>
  </si>
  <si>
    <t>12</t>
  </si>
  <si>
    <t>Uloženie sypaniny na skládky nad 100 do 1000 m3</t>
  </si>
  <si>
    <t>13</t>
  </si>
  <si>
    <t>14</t>
  </si>
  <si>
    <t>15</t>
  </si>
  <si>
    <t>16</t>
  </si>
  <si>
    <t>17</t>
  </si>
  <si>
    <t>Úprava pláne v zárezoch v hornine 1-4 so zhutnením</t>
  </si>
  <si>
    <t>18</t>
  </si>
  <si>
    <t>19</t>
  </si>
  <si>
    <t>Odstránenie podkladu v ploche nad 200 m2 z betónu prostého, hr. vrstvy do 150 mm,  -0,22500t</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</si>
  <si>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</si>
  <si>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</si>
  <si>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</si>
  <si>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</si>
  <si>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</si>
  <si>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</si>
  <si>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</si>
  <si>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</si>
  <si>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</si>
  <si>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</si>
  <si>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</si>
  <si>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</si>
  <si>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</si>
  <si>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</si>
  <si>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</si>
  <si>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</si>
  <si>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</si>
  <si>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</si>
  <si>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</si>
  <si>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</si>
  <si>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</si>
  <si>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</si>
  <si>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</si>
  <si>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</si>
  <si>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</si>
  <si>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M</t>
  </si>
  <si>
    <t>45</t>
  </si>
  <si>
    <t>Kladenie betónovej zámkovej dlažby komunikácií pre peších hr. 60 mm pre peších do 50 m2 so zriadením lôžka z kameniva hr. 30 mm</t>
  </si>
  <si>
    <t>46</t>
  </si>
  <si>
    <t>47</t>
  </si>
  <si>
    <t>48</t>
  </si>
  <si>
    <t>49</t>
  </si>
  <si>
    <t>50</t>
  </si>
  <si>
    <t>Osadenie a montáž cestnej zvislej dopravnej značky na stĺpik, stĺp, konzolu alebo objekt</t>
  </si>
  <si>
    <t>404490008400.S</t>
  </si>
  <si>
    <t>Predznačenie pre značenie striekané farbou z náterových hmôt deliace čiary, vodiace prúžky</t>
  </si>
  <si>
    <t>Lôžko pod obrubníky, krajníky alebo obruby z dlažobných kociek z betónu prostého tr. C 16/20</t>
  </si>
  <si>
    <t>c) zemina a kamenivo</t>
  </si>
  <si>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</si>
  <si>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Príloha č. 1 - Ponuka v zákazke "Vybudovanie Cyklotrasy Devín - Sihoť"</t>
  </si>
  <si>
    <t>Predložením tejto ponuky čestne vyhlasujem, že postupujem v súlade s etickým kódexom uchádzača vydaným Úradom pre verejné obstarávanie: https://www.uvo.gov.sk/zaujemca-uchadzac/eticky-kodex-zaujemcu-uchadzaca</t>
  </si>
  <si>
    <t xml:space="preserve">Uchádzač predloží zoznam uskutočnených stavebných prác za predchádzajúcich päť rokov od vyhlásenia verejného obstarávania, ktorým preukáže, že uskutočnil stavebné práce na predmete obdobnom ako je predmet zákazky, tzn. . realizácia minimálne jednej zákazky, ktorej predmetom boli stavebné práce na konštrukcii pozemných komunikácii, ktorých obrusná vrstva materiálovej skladby bola asfalt a/alebo betón v min. súvislej dĺžke 2500 metrov a v min. šírke 3 m, pričom nemôže ísť o čiastkovú opravu pozemnej komunikácie (napr. vyspravovanie výtlkov). </t>
  </si>
  <si>
    <t>Kľúčový odborník 1 (Hlavný stavbyvedúci): Podmienka účasti podľa § 34 ods. 1 písm. g) ZVO</t>
  </si>
  <si>
    <t>Kľúčový odborník 2 (Geotechnik): Podmienka účasti podľa § 34 ods. 1 písm. g) ZVO</t>
  </si>
  <si>
    <t>Geotechnik</t>
  </si>
  <si>
    <t xml:space="preserve">Uchádzač je povinný preukázať, že na plnenie zákazky disponuje minimálne jedným Geotechnikom, ktorý má potrebné vzdelanie a odbornú prax na vykonanie prác, ktoré sú predmetom tohto verejného obstarávania. </t>
  </si>
  <si>
    <t>Názov a stručný popis zákazky z ktorého bude vyplývať realizácia stavebných prác obdobného charakteru ako je predmet zákazky</t>
  </si>
  <si>
    <t>V rámci kritéria budú hodnotené skúsenosti stavbyvedúceho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Musí byť zároveň splnená podmienka, že stavbyvedúci na zákazke vykonával funkciu hlavného stavbyvedúceho (tzn. nie stavebný dozor). Rozhodujúcim pri K3 bude dĺžka vybudovaných pozemných komunikácií v metroch v rozmedzí 0 - 10 000  metrov.</t>
  </si>
  <si>
    <t>K4: Skúsenosti Geotechnika (dĺžka vybudovaných oporných múrov)</t>
  </si>
  <si>
    <t xml:space="preserve">V rámci kritéria budú hodnotené skúsenosti Geotechnika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Rozhodujúcim pri K4 bude dĺžka vybudovaných oporných múrov v metroch v rozmedzí od 0 do 2000 metrov. </t>
  </si>
  <si>
    <t>Geotechnik:  (musí ísť o rovnakú osobu ako predloženú na preukázanie splnenia podmienky účasti odbornej a technickej spôsobilosti podľa § 34 ods. 1 písm g) ZVO)</t>
  </si>
  <si>
    <t>Dĺžka oporných múrov</t>
  </si>
  <si>
    <t>Minimálna dĺžka oporného múru v metroch</t>
  </si>
  <si>
    <t>Maximálna dĺžka oporného múru v metroch</t>
  </si>
  <si>
    <t>K6: Recyklácia a zhodnotenie odpadu nad požadovaný rozsah</t>
  </si>
  <si>
    <t>K5: Skúsenosti Geotechnika (počet skúseností s vybudovaním oporných múrov)</t>
  </si>
  <si>
    <t xml:space="preserve">V rámci kritéria budú hodnotené skúsenosti Geotechnika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Musí byť zároveň splnená podmienka, že išlo o zákazku, ktorej predmetom boli stavebné práce stabilizujúcich konštrukcií svahov a zárezov typu: zárubné a oporné múry , mikropilótové steny, pilótové steny, prefabrikované steny, kotvené steny v minimálnej dĺžke 50 metrov na jednu zákazku. Rozhodujúcim pri K5 je počet zákaziek v rozmedzí od 0 do 10 zákaziek. </t>
  </si>
  <si>
    <t>Minimálny počet zákaziek</t>
  </si>
  <si>
    <t>Maximálna počet zákaziek</t>
  </si>
  <si>
    <t>Cena za predmet zákazky celkom úsek A-D</t>
  </si>
  <si>
    <t>a) Betón (17 01 01, 17 01 07)</t>
  </si>
  <si>
    <t>b) Bitúmenové zmesi (asfalt) (17 03 02)</t>
  </si>
  <si>
    <t>Cena za predmet zákazky celkom úsek F (OPCIA)</t>
  </si>
  <si>
    <t>metre</t>
  </si>
  <si>
    <t>počet</t>
  </si>
  <si>
    <t>geotechnik dĺžka</t>
  </si>
  <si>
    <t>geotechnik zákazky</t>
  </si>
  <si>
    <t>Export Komplet</t>
  </si>
  <si>
    <t>2.0</t>
  </si>
  <si>
    <t>{ee382a6a-283b-48ab-aec0-02eebfdc63cf}</t>
  </si>
  <si>
    <t>0,01</t>
  </si>
  <si>
    <t>REKAPITULÁCIA STAVBY</t>
  </si>
  <si>
    <t>0,001</t>
  </si>
  <si>
    <t>Kód:</t>
  </si>
  <si>
    <t>003</t>
  </si>
  <si>
    <t>Cyklotrasa - Devín_RP1</t>
  </si>
  <si>
    <t>ČS:</t>
  </si>
  <si>
    <t>REKAPITULÁCIA OBJEKTOV STAVBY</t>
  </si>
  <si>
    <t>Informatívne údaje z listov zákaziek</t>
  </si>
  <si>
    <t>Cena bez DPH [EUR]</t>
  </si>
  <si>
    <t>Cena s DPH [EUR]</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</si>
  <si>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</si>
  <si>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</si>
  <si>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</si>
  <si>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</si>
  <si>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</si>
  <si>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</si>
  <si>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</si>
  <si>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</si>
  <si>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</si>
  <si>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</si>
  <si>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</si>
  <si>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</si>
  <si>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</si>
  <si>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###NOIMPORT###</t>
  </si>
  <si>
    <t>IMPORT</t>
  </si>
  <si>
    <t>{00000000-0000-0000-0000-000000000000}</t>
  </si>
  <si>
    <t>/</t>
  </si>
  <si>
    <t>102.1</t>
  </si>
  <si>
    <t>SO 102.1 OM - úsek A</t>
  </si>
  <si>
    <t>STA</t>
  </si>
  <si>
    <t>{cbc1ec43-9bcf-49c3-a2aa-00f65a501c4d}</t>
  </si>
  <si>
    <t>100.1</t>
  </si>
  <si>
    <t>SO 101.1 Úprava komunikácie - Devínska cesta, úsek A</t>
  </si>
  <si>
    <t>{89ca52e0-07e5-4cd7-9f96-5dd985d89ef5}</t>
  </si>
  <si>
    <t>100.2</t>
  </si>
  <si>
    <t>SO 101.2 Úprava komunikácie - Devínska cesta, úsek B</t>
  </si>
  <si>
    <t>{a636b1e1-0cb7-4ed2-9fe3-c11164652d53}</t>
  </si>
  <si>
    <t>100.3</t>
  </si>
  <si>
    <t>SO 101.3 Úprava komunikácie - Devínska cesta, úsek C</t>
  </si>
  <si>
    <t>{3e763ab6-7363-4702-a7d0-544951734b27}</t>
  </si>
  <si>
    <t>100.4</t>
  </si>
  <si>
    <t>SO 101.4 Úprava komunikácie - Devínska cesta, úsek D</t>
  </si>
  <si>
    <t>{a639350c-52df-46a2-be30-2232ec9100ec}</t>
  </si>
  <si>
    <t>021</t>
  </si>
  <si>
    <t>VRN - úsek A</t>
  </si>
  <si>
    <t>{ae104f83-8922-46c1-84c6-674ac293ed08}</t>
  </si>
  <si>
    <t>022</t>
  </si>
  <si>
    <t>VRN - úsek D</t>
  </si>
  <si>
    <t>{28da2ad3-0c6c-4eca-958d-e0deb72f0f14}</t>
  </si>
  <si>
    <t>024</t>
  </si>
  <si>
    <t>VRN - úsek B</t>
  </si>
  <si>
    <t>{311290ff-3250-4cbe-9002-99571373d0d7}</t>
  </si>
  <si>
    <t>025</t>
  </si>
  <si>
    <t>VRN - úsek C</t>
  </si>
  <si>
    <t>{c3b03783-4721-4805-ae72-4d297db7630f}</t>
  </si>
  <si>
    <t>103.1</t>
  </si>
  <si>
    <t>SO 103.1 Predlzenie jestvujucich priepustov - úsek A</t>
  </si>
  <si>
    <t>{74a55009-a783-4dcf-bead-3beb241fc888}</t>
  </si>
  <si>
    <t>104.1</t>
  </si>
  <si>
    <t>SO 104.1 Oplotenie - úsek A</t>
  </si>
  <si>
    <t>{50929041-5713-4a2d-bd94-46d9ac74d6b0}</t>
  </si>
  <si>
    <t>104.2</t>
  </si>
  <si>
    <t>SO 104.2 Oplotenie - úsek B</t>
  </si>
  <si>
    <t>{0a5958e8-8cf9-4f8d-83cb-5e85aa142f3d}</t>
  </si>
  <si>
    <t>105.2</t>
  </si>
  <si>
    <t>SO 105.2 Posuvna brana v km 0,300 00 - úsek B</t>
  </si>
  <si>
    <t>{36f77ee3-3b18-4174-8143-e46bf393083b}</t>
  </si>
  <si>
    <t>105.3</t>
  </si>
  <si>
    <t>SO 105.3 Posuvna brana v km 0,006 00 - úsek C</t>
  </si>
  <si>
    <t>{0ec4f641-e5d2-4e32-ac4f-ef8423bff369}</t>
  </si>
  <si>
    <t>106.2</t>
  </si>
  <si>
    <t>SO 106.2 Vjazdova brana v km 0,512 53 - úsek B</t>
  </si>
  <si>
    <t>{b6b59c05-dd0f-46c5-8dc4-dc923209b82d}</t>
  </si>
  <si>
    <t>2505</t>
  </si>
  <si>
    <t>SO 401  Preložka telekomunikačných vedení Slovak Telekom a.s., úsek A-D</t>
  </si>
  <si>
    <t>{a0bfaf41-5569-4a80-a921-ffcb66c9dd4b}</t>
  </si>
  <si>
    <t>2506</t>
  </si>
  <si>
    <t>SO 402  Preložka telekomunikačných vedení UPC s.r.o., úsek A-D</t>
  </si>
  <si>
    <t>{54d0f75f-7673-4907-888e-de7547d2895d}</t>
  </si>
  <si>
    <t>300</t>
  </si>
  <si>
    <t>SO 300</t>
  </si>
  <si>
    <t>{9ef645d3-8a63-4dfb-9e1c-97c8a42b050d}</t>
  </si>
  <si>
    <t>301</t>
  </si>
  <si>
    <t>SO 301</t>
  </si>
  <si>
    <t>{ebff37ca-5e8b-402c-bd8f-8077140487c8}</t>
  </si>
  <si>
    <t>302</t>
  </si>
  <si>
    <t>SO 302</t>
  </si>
  <si>
    <t>{90521b32-bd03-42f8-bfc2-6d8a65a692fb}</t>
  </si>
  <si>
    <t>102.4</t>
  </si>
  <si>
    <t>SO 102.4 OM - úsek D</t>
  </si>
  <si>
    <t>{28542a6a-a337-4b1a-a305-caf28d7fb7d5}</t>
  </si>
  <si>
    <t>SO 200.A</t>
  </si>
  <si>
    <t>Verejné osvetlenie, úsek A</t>
  </si>
  <si>
    <t>{3cb850f3-8ebc-4887-a4d1-cad81f2b4f18}</t>
  </si>
  <si>
    <t>SO 200.B</t>
  </si>
  <si>
    <t>Verejné osvetlenie, úsek B</t>
  </si>
  <si>
    <t>{4864a03a-f37e-427e-b305-87e9449e584b}</t>
  </si>
  <si>
    <t>SO 200.C</t>
  </si>
  <si>
    <t>Verejné osvetlenie, úsek C</t>
  </si>
  <si>
    <t>{f081cc15-1797-43e5-ad0b-a86dfe3c6884}</t>
  </si>
  <si>
    <t>SO 200.D</t>
  </si>
  <si>
    <t>Verejné osvetlenie, úsek D</t>
  </si>
  <si>
    <t>{ab1b4c7b-5f4f-4767-94ba-a5171b557953}</t>
  </si>
  <si>
    <t>Objekt:</t>
  </si>
  <si>
    <t>102.1 - SO 102.1 OM - úsek A</t>
  </si>
  <si>
    <t>HSV - Práce a dodávky HSV</t>
  </si>
  <si>
    <t xml:space="preserve">    1 - Zemné práce</t>
  </si>
  <si>
    <t xml:space="preserve">    2 - Zakladanie</t>
  </si>
  <si>
    <t xml:space="preserve">    3 - Zvislé a kompletné konštrukcie</t>
  </si>
  <si>
    <t xml:space="preserve">    9 - Ostatné konštrukcie a práce-búranie</t>
  </si>
  <si>
    <t xml:space="preserve">    99 - Presun hmôt HSV</t>
  </si>
  <si>
    <t>PSV - Práce a dodávky PSV</t>
  </si>
  <si>
    <t xml:space="preserve">    783 - Nátery</t>
  </si>
  <si>
    <t>HSV</t>
  </si>
  <si>
    <t>Práce a dodávky HSV</t>
  </si>
  <si>
    <t>111101102.S</t>
  </si>
  <si>
    <t>Odstránenie travín a tŕstia s príp. premiestnením a uložením na hromady do 50 m, pri celk. ploche nad 1000 do 10000m2</t>
  </si>
  <si>
    <t>-438006974</t>
  </si>
  <si>
    <t>111201101.S</t>
  </si>
  <si>
    <t>Odstránenie krovín a stromov s koreňom s priemerom kmeňa do 100 mm, do 1000 m2 (uvažované 15% z plochy)</t>
  </si>
  <si>
    <t>-677045706</t>
  </si>
  <si>
    <t>121101202.S</t>
  </si>
  <si>
    <t>Odstránenie lesnej hrabanky, akákoľvek hrúbka vrstvy nad 1000 m2</t>
  </si>
  <si>
    <t>327864605</t>
  </si>
  <si>
    <t>122301103.S</t>
  </si>
  <si>
    <t>Odkopávka a prekopávka v hornine 4, nad 1000 do 10000 m3</t>
  </si>
  <si>
    <t>1661608701</t>
  </si>
  <si>
    <t>122301109.S</t>
  </si>
  <si>
    <t>Odkopávky a prekopávky nezapažené. Príplatok za lepivosť horniny 4</t>
  </si>
  <si>
    <t>-1766450652</t>
  </si>
  <si>
    <t>167101102.S</t>
  </si>
  <si>
    <t>Nakladanie neuľahnutého výkopku z hornín tr.1-4 (30%)</t>
  </si>
  <si>
    <t>-860257096</t>
  </si>
  <si>
    <t>162501142.S</t>
  </si>
  <si>
    <t>Vodorovné premiestnenie výkopku po spevnenej ceste z horniny tr.1-4, nad 1000 do 10000 m3 na vzdialenosť do 3000 m  (3581 - 280)x0,3</t>
  </si>
  <si>
    <t>-928073769</t>
  </si>
  <si>
    <t>162501143.S</t>
  </si>
  <si>
    <t>Vodorovné premiestnenie výkopku po spevnenej ceste z horniny tr.1-4, nad 1000 do 10000 m3, príplatok k cene za každých ďalšich a začatých 1000 m (22km-Lieskovec) 990 x 22</t>
  </si>
  <si>
    <t>-1302169326</t>
  </si>
  <si>
    <t>171209002.S</t>
  </si>
  <si>
    <t>-935088202</t>
  </si>
  <si>
    <t>174101002.S</t>
  </si>
  <si>
    <t>Zásyp sypaninou so zhutnením jám, šachiet, rýh, zárezov alebo okolo objektov nad 100 do 1000 m3 (miestny materiál)</t>
  </si>
  <si>
    <t>-1780907453</t>
  </si>
  <si>
    <t>174101003.S</t>
  </si>
  <si>
    <t>Zásyp sypaninou so zhutnením jám, šachiet, rýh, zárezov alebo okolo objektov nad 1000 do 10000 m3 (nakupovaný materál)</t>
  </si>
  <si>
    <t>-2043188291</t>
  </si>
  <si>
    <t>583410004400.S</t>
  </si>
  <si>
    <t>Štrkodrva frakcia 0-63 mm</t>
  </si>
  <si>
    <t>1307754814</t>
  </si>
  <si>
    <t>181101102.S</t>
  </si>
  <si>
    <t>1845223669</t>
  </si>
  <si>
    <t>182301133.S</t>
  </si>
  <si>
    <t>Rozprestretie ornice na svahu so sklonom nad 1:5, plocha nad 500 m2, hr.nad 150 do 200 mm</t>
  </si>
  <si>
    <t>-920185625</t>
  </si>
  <si>
    <t>693810000520.S</t>
  </si>
  <si>
    <t>Georohož polypropylénová protierózna, na opláštenie svahov (geobunková štruktúra)</t>
  </si>
  <si>
    <t>130655914</t>
  </si>
  <si>
    <t>182911111.S</t>
  </si>
  <si>
    <t>Vyplnenie otvorov spevňov. prefabrikátov, s hr. vrstvy cez 100 do 150 mm, na svahu nad 1:2 do 1:1</t>
  </si>
  <si>
    <t>-1661176302</t>
  </si>
  <si>
    <t>211511111.S</t>
  </si>
  <si>
    <t>Výplň pred lícom múru - do ryhy lomovým kameňom 100-500mm</t>
  </si>
  <si>
    <t>-856110835</t>
  </si>
  <si>
    <t>Zakladanie</t>
  </si>
  <si>
    <t>215901101.S</t>
  </si>
  <si>
    <t>Zhutnenie podložia z rastlej horniny 1 až 4 pod násypy, z hornina súdržných do 92 % PS a nesúdržných</t>
  </si>
  <si>
    <t>621903039</t>
  </si>
  <si>
    <t>211971122.S</t>
  </si>
  <si>
    <t>Zhotovenie opláštenia výplne z geotextílie, v ryhe alebo v záreze pri rozvinutej šírke opláštenia nad 2, 5 m</t>
  </si>
  <si>
    <t>-2056295504</t>
  </si>
  <si>
    <t>693110002500.S</t>
  </si>
  <si>
    <t>Geotextília polypropylénová tkaná 280 g/m2</t>
  </si>
  <si>
    <t>-1649482437</t>
  </si>
  <si>
    <t>212755116.S</t>
  </si>
  <si>
    <t>Trativod z drenážnych rúrok bez lôžka, vnútorného priem. rúrok 160 mm</t>
  </si>
  <si>
    <t>-56753385</t>
  </si>
  <si>
    <t>212756215.S</t>
  </si>
  <si>
    <t>Montáž trativodu z drenážnych rúr PVC tunelového tvaru, bez lôžka, SN 8, DN 150</t>
  </si>
  <si>
    <t>993521147</t>
  </si>
  <si>
    <t>286120012200.S</t>
  </si>
  <si>
    <t>Plnostenná drenážna PVC rúra DN 160, SN 8, perforovaná</t>
  </si>
  <si>
    <t>154666007</t>
  </si>
  <si>
    <t>212971113.S</t>
  </si>
  <si>
    <t>Opláštenie drenážnych rúr filtračnou textíliou DN 160</t>
  </si>
  <si>
    <t>1347083375</t>
  </si>
  <si>
    <t>289971442.S</t>
  </si>
  <si>
    <t>Geomreža pre stabilizáciu podkladu, tuhá z polypropylénu pevnosť v ťahu 30 kN/m sklon do 1 : 5</t>
  </si>
  <si>
    <t>-32580501</t>
  </si>
  <si>
    <t>285947111.R</t>
  </si>
  <si>
    <t>Tŕň z betonár. ocele pri priem. ocele 16 mm, dľžky do 2m, z ocele B500B, pozink - prikotvenie geomreže</t>
  </si>
  <si>
    <t>-1334760206</t>
  </si>
  <si>
    <t>326214111.S</t>
  </si>
  <si>
    <t>Murivo z lom. kameňa na sucho do drôtených košov s urovnaním</t>
  </si>
  <si>
    <t>1789541303</t>
  </si>
  <si>
    <t>273362514.S</t>
  </si>
  <si>
    <t>Dodatočné vystužovanie betónových konštrukcií oceľovou chemickou injektážnou kotvou (kotvenie zábradlí)</t>
  </si>
  <si>
    <t>cm</t>
  </si>
  <si>
    <t>569906774</t>
  </si>
  <si>
    <t>273313521.S</t>
  </si>
  <si>
    <t>Betón základových dosiek - podkl. betón, prostý tr. C 12/15</t>
  </si>
  <si>
    <t>-2026113320</t>
  </si>
  <si>
    <t>274321511.S</t>
  </si>
  <si>
    <t>Betón základových pásov + driek om + prech. doska, železový (bez výstuže), tr. C 30/37</t>
  </si>
  <si>
    <t>1138333647</t>
  </si>
  <si>
    <t>274351215.S</t>
  </si>
  <si>
    <t>Debnenie stien základových pásov, zhotovenie-dielce</t>
  </si>
  <si>
    <t>1139494011</t>
  </si>
  <si>
    <t>274351216.S</t>
  </si>
  <si>
    <t>Debnenie stien základových pásov, odstránenie-dielce</t>
  </si>
  <si>
    <t>772893936</t>
  </si>
  <si>
    <t>275361821.S</t>
  </si>
  <si>
    <t>Výstuž základových pätiek z ocele B500 (10505)</t>
  </si>
  <si>
    <t>838695200</t>
  </si>
  <si>
    <t>619442431.S</t>
  </si>
  <si>
    <t>Zhotovenie profilov pri opravách fabiónov, hrán a kútov akejkoľvek dľžky</t>
  </si>
  <si>
    <t>-693389382</t>
  </si>
  <si>
    <t>711142559.S</t>
  </si>
  <si>
    <t>Zhotovenie izolácie proti zemnej vlhkosti a tlakovej vode zvislá NAIP pritavením</t>
  </si>
  <si>
    <t>1526657564</t>
  </si>
  <si>
    <t>628310000300.S</t>
  </si>
  <si>
    <t>Pás asfaltový</t>
  </si>
  <si>
    <t>1505099622</t>
  </si>
  <si>
    <t>711113001.S</t>
  </si>
  <si>
    <t>Zhotovenie  izolácie proti zemnej vlhkosti penetračným náterom za studena</t>
  </si>
  <si>
    <t>-356141285</t>
  </si>
  <si>
    <t>711112011.S</t>
  </si>
  <si>
    <t>Zhotovenie  izolácie proti zemnej vlhkosti zvislá za studena</t>
  </si>
  <si>
    <t>-829268655</t>
  </si>
  <si>
    <t>246170000950.S</t>
  </si>
  <si>
    <t>Lak asfaltový penetračný</t>
  </si>
  <si>
    <t>kg</t>
  </si>
  <si>
    <t>-1467205936</t>
  </si>
  <si>
    <t>245510001400.S</t>
  </si>
  <si>
    <t>Hydroizolácia stavebná vysoko flexibilná, 20 kg</t>
  </si>
  <si>
    <t>1106434499</t>
  </si>
  <si>
    <t>Zvislé a kompletné konštrukcie</t>
  </si>
  <si>
    <t>317321512.S</t>
  </si>
  <si>
    <t>Betón monolitických ríms železový (bez výstuže) tr. C 35/45, metličková povrchová úprava</t>
  </si>
  <si>
    <t>-492953410</t>
  </si>
  <si>
    <t>283810003900</t>
  </si>
  <si>
    <t>Vlákno PP 12 mm, hmotnosť 0,75 kg/bal.</t>
  </si>
  <si>
    <t>bal</t>
  </si>
  <si>
    <t>1025397892</t>
  </si>
  <si>
    <t>317351105.S</t>
  </si>
  <si>
    <t>Debnenie ríms alebo žľabových ríms vrátane podpernej konštrukcie zhotovenie</t>
  </si>
  <si>
    <t>443718943</t>
  </si>
  <si>
    <t>317351106.S</t>
  </si>
  <si>
    <t>Debnenie ríms alebo žľabových ríms vrátane podpernej konštrukcie odstránenie</t>
  </si>
  <si>
    <t>748235616</t>
  </si>
  <si>
    <t>317362821.S</t>
  </si>
  <si>
    <t>Výstuž rím z ocele B500 (10505)</t>
  </si>
  <si>
    <t>-62314046</t>
  </si>
  <si>
    <t>777610235.S</t>
  </si>
  <si>
    <t>Epoxidový uzatvárací náter, 1x náter</t>
  </si>
  <si>
    <t>1211378337</t>
  </si>
  <si>
    <t>348171121.S</t>
  </si>
  <si>
    <t>Osadenie oceľového zábradlia trvalého do betónu ríms priamo</t>
  </si>
  <si>
    <t>985762235</t>
  </si>
  <si>
    <t>452471101.S</t>
  </si>
  <si>
    <t>Podliatie - podkladová vrstva z modifikovanej malty cementovej - prvá vrstva hr. do 10 mm</t>
  </si>
  <si>
    <t>1316584322</t>
  </si>
  <si>
    <t>767995205.S</t>
  </si>
  <si>
    <t>Výroba atypického zábradlia rovného z profilovanej ocele a dreva</t>
  </si>
  <si>
    <t>-973333509</t>
  </si>
  <si>
    <t>133840001100.S</t>
  </si>
  <si>
    <t>Profilová oceľ, podľa EN ISO S235JR</t>
  </si>
  <si>
    <t>1872126431</t>
  </si>
  <si>
    <t>51</t>
  </si>
  <si>
    <t>052170000100.S</t>
  </si>
  <si>
    <t>Gulatina - madlá a stĺpiky</t>
  </si>
  <si>
    <t>281463763</t>
  </si>
  <si>
    <t>52</t>
  </si>
  <si>
    <t>936171121.S</t>
  </si>
  <si>
    <t>Osadenie zábradlia pomocou skrutiek s maticou do otvorov</t>
  </si>
  <si>
    <t>1075602845</t>
  </si>
  <si>
    <t>53</t>
  </si>
  <si>
    <t>311990000700.S</t>
  </si>
  <si>
    <t>Svorník d M12mm, dĺ. 220 mm pre chemickú kotvu, pozinkovaný</t>
  </si>
  <si>
    <t>-554818922</t>
  </si>
  <si>
    <t>54</t>
  </si>
  <si>
    <t>977141120.S</t>
  </si>
  <si>
    <t>Vrty pre kotvy do betónu priemeru 14mm hĺbky 180 mm s vyplnením chem. kotvou</t>
  </si>
  <si>
    <t>1792094821</t>
  </si>
  <si>
    <t>55</t>
  </si>
  <si>
    <t>871364008.S</t>
  </si>
  <si>
    <t>Montáž kanalizačného PP potrubia hladkého plnostenného SN 10 DN 250</t>
  </si>
  <si>
    <t>1424168426</t>
  </si>
  <si>
    <t>56</t>
  </si>
  <si>
    <t>286110007600</t>
  </si>
  <si>
    <t>Rúra PVC, hladká SN4, DN 250, WAVIN</t>
  </si>
  <si>
    <t>1967435107</t>
  </si>
  <si>
    <t>57</t>
  </si>
  <si>
    <t>931992121.S</t>
  </si>
  <si>
    <t>Výplň dilatačných škár z extrudovaného polystyrénu hr. 20 mm</t>
  </si>
  <si>
    <t>-1024161323</t>
  </si>
  <si>
    <t>58</t>
  </si>
  <si>
    <t>931994106.S</t>
  </si>
  <si>
    <t>Tesnenie dilatačnej škáry betónovej konštrukcia vnútorným pásom - predtesnenie</t>
  </si>
  <si>
    <t>555497312</t>
  </si>
  <si>
    <t>59</t>
  </si>
  <si>
    <t>931994132.S</t>
  </si>
  <si>
    <t>Tesnenie dilatačnej škáry betónovej konštrukcia silikónovým tmelom do pl. 4,0 cm2</t>
  </si>
  <si>
    <t>92313359</t>
  </si>
  <si>
    <t>60</t>
  </si>
  <si>
    <t>275313711.S</t>
  </si>
  <si>
    <t>Betón základových pätiek, prostý tr. C 25/30 (VO)</t>
  </si>
  <si>
    <t>1701423372</t>
  </si>
  <si>
    <t>61</t>
  </si>
  <si>
    <t>275362021.S</t>
  </si>
  <si>
    <t>Výstuž základových pätiek zo zvár. sietí KARI</t>
  </si>
  <si>
    <t>1219649699</t>
  </si>
  <si>
    <t>62</t>
  </si>
  <si>
    <t>275351215.S</t>
  </si>
  <si>
    <t>Debnenie stien základových pätiek, zhotovenie-dielce</t>
  </si>
  <si>
    <t>1937439875</t>
  </si>
  <si>
    <t>63</t>
  </si>
  <si>
    <t>275351216.S</t>
  </si>
  <si>
    <t>Debnenie stien základovýcb pätiek, odstránenie-dielce</t>
  </si>
  <si>
    <t>1178668872</t>
  </si>
  <si>
    <t>64</t>
  </si>
  <si>
    <t>286120017090.S</t>
  </si>
  <si>
    <t>Chránička delená z PVC D 110 mm, červená</t>
  </si>
  <si>
    <t>-279710691</t>
  </si>
  <si>
    <t>65</t>
  </si>
  <si>
    <t>348370004816.S</t>
  </si>
  <si>
    <t>Základový rošt pre stožiare ZR 1-5</t>
  </si>
  <si>
    <t>793813806</t>
  </si>
  <si>
    <t>Ostatné konštrukcie a práce-búranie</t>
  </si>
  <si>
    <t>66</t>
  </si>
  <si>
    <t>979089721.R</t>
  </si>
  <si>
    <t>1187647856</t>
  </si>
  <si>
    <t>67</t>
  </si>
  <si>
    <t>979089777.R</t>
  </si>
  <si>
    <t>-1420062912</t>
  </si>
  <si>
    <t>68</t>
  </si>
  <si>
    <t>979093111.S</t>
  </si>
  <si>
    <t>Uloženie sutiny na skládku s hrubým urovnaním bez zhutnenia</t>
  </si>
  <si>
    <t>141415979</t>
  </si>
  <si>
    <t>69</t>
  </si>
  <si>
    <t>70</t>
  </si>
  <si>
    <t>981512114.S</t>
  </si>
  <si>
    <t>Demolácia konštrukcií objektov vykonávaná iným spôsobom zo železobetónu,  -2,41000t (čelá vyústení)</t>
  </si>
  <si>
    <t>-1574590108</t>
  </si>
  <si>
    <t>99</t>
  </si>
  <si>
    <t>Presun hmôt HSV</t>
  </si>
  <si>
    <t>71</t>
  </si>
  <si>
    <t>979081111.S</t>
  </si>
  <si>
    <t>Odvoz sutiny a vybúraných hmôt na skládku do 1 km  36x0,3</t>
  </si>
  <si>
    <t>-432233393</t>
  </si>
  <si>
    <t>72</t>
  </si>
  <si>
    <t>979081121.S.1</t>
  </si>
  <si>
    <t>Odvoz sutiny a vybúraných hmôt na skládku za každý ďalší 1 km (22km)  10,8  x 22</t>
  </si>
  <si>
    <t>1382721087</t>
  </si>
  <si>
    <t>73</t>
  </si>
  <si>
    <t>979089012.S.1</t>
  </si>
  <si>
    <t>544593803</t>
  </si>
  <si>
    <t>PSV</t>
  </si>
  <si>
    <t>Práce a dodávky PSV</t>
  </si>
  <si>
    <t>74</t>
  </si>
  <si>
    <t>998225111.S</t>
  </si>
  <si>
    <t>Presun hmôt pre pozemnú komunikáciu a letisko s krytom asfaltovým akejkoľvek dĺžky objektu</t>
  </si>
  <si>
    <t>-1232791800</t>
  </si>
  <si>
    <t>783</t>
  </si>
  <si>
    <t>Nátery</t>
  </si>
  <si>
    <t>75</t>
  </si>
  <si>
    <t>783152311.S</t>
  </si>
  <si>
    <t>Nátery oceľ.konštr. -žiarové zinkovanie ponorom</t>
  </si>
  <si>
    <t>2109049915</t>
  </si>
  <si>
    <t>76</t>
  </si>
  <si>
    <t>783152313.S1</t>
  </si>
  <si>
    <t>Nátery oceľ.konštr. epoxid. trojnás. so základným náterom</t>
  </si>
  <si>
    <t>-987898985</t>
  </si>
  <si>
    <t>77</t>
  </si>
  <si>
    <t>783626000.S</t>
  </si>
  <si>
    <t>Náter stolárskych výrobkov (očistenie, impregnácia, medzivrstvový a vrchný náter)</t>
  </si>
  <si>
    <t>820619049</t>
  </si>
  <si>
    <t>100.1 - SO 101.1 Úprava komunikácie - Devínska cesta, úsek A</t>
  </si>
  <si>
    <t xml:space="preserve">    5 - Komunikácie</t>
  </si>
  <si>
    <t>69568435</t>
  </si>
  <si>
    <t>Odstránenie krovín a stromov s koreňom s priemerom kmeňa do 100 mm, do 1000 m2</t>
  </si>
  <si>
    <t>1322941055</t>
  </si>
  <si>
    <t>113152350.S</t>
  </si>
  <si>
    <t>Frézovanie asf. podkladu alebo krytu bez prek., pruh š. cez 0,5 m do 1 m, hr. 120 mm  0,500 t</t>
  </si>
  <si>
    <t>-1081680245</t>
  </si>
  <si>
    <t>113152530.S</t>
  </si>
  <si>
    <t>Frézovanie asf. podkladu alebo krytu bez prek., plochy cez 1000 do 10000 m2, pruh š. do 1 m, hr. 50 mm  0,125 t</t>
  </si>
  <si>
    <t>-1736108072</t>
  </si>
  <si>
    <t>113307146.S</t>
  </si>
  <si>
    <t>Odstránenie podkladu asfaltového v ploche do 200 m2, hr.nad 250 do 300 mm,  -0,75000t</t>
  </si>
  <si>
    <t>-1043759125</t>
  </si>
  <si>
    <t>113307223.S</t>
  </si>
  <si>
    <t>Odstránenie podkladu v ploche nad 200 m2 z kameniva hrubého drveného, hr.200 do 300 m,  -0,40000t</t>
  </si>
  <si>
    <t>1039186212</t>
  </si>
  <si>
    <t>113307232.S</t>
  </si>
  <si>
    <t>Odstránenie podkladu v ploche nad 200 m2 z betónu prostého, hr. vrstvy nad 150 do 300 mm,  -0,50000t</t>
  </si>
  <si>
    <t>-1335186101</t>
  </si>
  <si>
    <t>113307243.S</t>
  </si>
  <si>
    <t>Odstránenie podkladu asfaltového v ploche nad 200 m2, hr.nad 100 do 150 mm,  -0,37500t</t>
  </si>
  <si>
    <t>274451375</t>
  </si>
  <si>
    <t>121101001.S</t>
  </si>
  <si>
    <t>Odstránenie ornice ručne s vodorov. premiest., na hromady do 50 m hr. do 150 mm</t>
  </si>
  <si>
    <t>-1918152181</t>
  </si>
  <si>
    <t>532058377</t>
  </si>
  <si>
    <t>122202102.S</t>
  </si>
  <si>
    <t>Výkop v zemníku na suchu, pre stavbu diaľnic, v hornine 3 do 10 000 m3</t>
  </si>
  <si>
    <t>1896735519</t>
  </si>
  <si>
    <t>162503102.S</t>
  </si>
  <si>
    <t>-561156282</t>
  </si>
  <si>
    <t>162503103.S</t>
  </si>
  <si>
    <t>Vodorovné premiestnenie výkopku pre cesty po spevnenej ceste z horniny tr.1-4 do 1000 m3, príplatok k cene za každých ďalšich a začatých 1000 m 366x20</t>
  </si>
  <si>
    <t>1122819091</t>
  </si>
  <si>
    <t>171201202.S</t>
  </si>
  <si>
    <t>2130050442</t>
  </si>
  <si>
    <t>Poplatok za skládku - zemina a kamenivo (17 05 04), ostatné (1591zemina+303,6kamen)x0,3</t>
  </si>
  <si>
    <t>-1430396335</t>
  </si>
  <si>
    <t>122301102.S</t>
  </si>
  <si>
    <t>Odkopávka a prekopávka nezapažená v hornine 4, nad 100 do 1000 m3</t>
  </si>
  <si>
    <t>-192975782</t>
  </si>
  <si>
    <t>171101101.S</t>
  </si>
  <si>
    <t>Uloženie sypaniny do násypu súdržnej horniny s mierou zhutnenia podľa Proctor-Standard na 95 %</t>
  </si>
  <si>
    <t>-1133588112</t>
  </si>
  <si>
    <t>180402111.S</t>
  </si>
  <si>
    <t>Založenie trávnika parkového výsevom v rovine do 1:5</t>
  </si>
  <si>
    <t>1851989126</t>
  </si>
  <si>
    <t>005720001400.S</t>
  </si>
  <si>
    <t>Osivá tráv - semená parkovej zmesi</t>
  </si>
  <si>
    <t>1761781657</t>
  </si>
  <si>
    <t>181301112.S</t>
  </si>
  <si>
    <t xml:space="preserve">Rozprestretie ornice v rovine, plocha nad 500 m2, hr.do 150 mm </t>
  </si>
  <si>
    <t>-259783738</t>
  </si>
  <si>
    <t>103640000100.S</t>
  </si>
  <si>
    <t>Zemina pre terénne úpravy - ornica</t>
  </si>
  <si>
    <t>1839527631</t>
  </si>
  <si>
    <t>Komunikácie</t>
  </si>
  <si>
    <t>561091121.S</t>
  </si>
  <si>
    <t>Zhotovenie podkladu zo zeminy stabilizovanej hydraulickými spojivami systémom (Road Mix) hr. do 300 mm plochy do 5000 m2</t>
  </si>
  <si>
    <t>907417166</t>
  </si>
  <si>
    <t>585220000300.S</t>
  </si>
  <si>
    <t>Cement troskoportlandský CEM II/B-M 32,5 voľne ložený</t>
  </si>
  <si>
    <t>-1657214178</t>
  </si>
  <si>
    <t>585310000900.S</t>
  </si>
  <si>
    <t>Vápno (nehasené, bielé, jemne mleté, voľne ložené) - spojivo vhodné na stabilizáciu zemín</t>
  </si>
  <si>
    <t>-1806101627</t>
  </si>
  <si>
    <t>585910001000.S</t>
  </si>
  <si>
    <t>Hydraulické zmesné spojivo voľne ložené vhodné na stabilizáciu zemín</t>
  </si>
  <si>
    <t>890045032</t>
  </si>
  <si>
    <t>585910001500.S</t>
  </si>
  <si>
    <t>Pomaly tuhnúce hydraulické spojivo voľne ložené</t>
  </si>
  <si>
    <t>-805236268</t>
  </si>
  <si>
    <t>573131102.S</t>
  </si>
  <si>
    <t>Postrek asfaltový infiltračný s posypom kamenivom z cestnej emulzie v množstve 0,80 kg/m2 (197+3479+422+211)</t>
  </si>
  <si>
    <t>1396499206</t>
  </si>
  <si>
    <t>577144251.S</t>
  </si>
  <si>
    <t>Asfaltový betón vrstva obrusná v pruhu š. do 3 m z modifik. asfaltu tr. I, po zhutnení hr. 50 mm (197+3574+422+211)</t>
  </si>
  <si>
    <t>-916028886</t>
  </si>
  <si>
    <t>565151111.S</t>
  </si>
  <si>
    <t>Podklad z asfaltového betónu AC 16 P s rozprestretím a zhutnením v pruhu š. do 3 m, po zhutnení hr. 70 mm (197+422+211)</t>
  </si>
  <si>
    <t>1687943386</t>
  </si>
  <si>
    <t>567132113.S</t>
  </si>
  <si>
    <t>Podklad z kameniva stmeleného cementom s rozprestretím a zhutnením, CBGM C 8/10 (C 6/8), po zhutnení hr. 180 mm (227+211)</t>
  </si>
  <si>
    <t>-61384237</t>
  </si>
  <si>
    <t>564861111.S</t>
  </si>
  <si>
    <t>Podklad zo štrkodrviny fr. 0-32 s rozprestretím a zhutnením, po zhutnení hr. 200 mm</t>
  </si>
  <si>
    <t>-540756901</t>
  </si>
  <si>
    <t>573231107.S</t>
  </si>
  <si>
    <t>Postrek asfaltový spojovací bez posypu kamenivom z cestnej emulzie v množstve 0,50 kg/m2 (197+3479+3574+422+211)</t>
  </si>
  <si>
    <t>-275303427</t>
  </si>
  <si>
    <t>577134131.S</t>
  </si>
  <si>
    <t>Asfaltový betón (červený) vrstva obrusná v pruhu š. do 3 m z modifik. asfaltu tr. I, po zhutnení hr. 40 mm</t>
  </si>
  <si>
    <t>-418792073</t>
  </si>
  <si>
    <t>565171111.S</t>
  </si>
  <si>
    <t>Podklad z asfaltového betónu s rozprestretím a zhutnením v pruhu š. do 3 m, po zhutnení hr. 100 mm</t>
  </si>
  <si>
    <t>1913719830</t>
  </si>
  <si>
    <t>564861112.S</t>
  </si>
  <si>
    <t>Podklad zo štrkodrviny fr. 0-32 s rozprestretím a zhutnením, po zhutnení hr. 210 mm (4001+258)</t>
  </si>
  <si>
    <t>1920376079</t>
  </si>
  <si>
    <t>289971212.S</t>
  </si>
  <si>
    <t>Zhotovenie vrstvy z geotextílie na upravenom povrchu sklon do 1 : 5 , šírky nad 3 do 6 m (4001+296)</t>
  </si>
  <si>
    <t>-296308291</t>
  </si>
  <si>
    <t>693310000400.S</t>
  </si>
  <si>
    <t>Geokompozit HDPE geosieť s PP obojstrannou geotextíliou, 50x2 m (4001+296)</t>
  </si>
  <si>
    <t>983357223</t>
  </si>
  <si>
    <t>591111111.S</t>
  </si>
  <si>
    <t>Kladenie dlažby z kociek veľkých do lôžka z kameniva ťaženého (224+25)</t>
  </si>
  <si>
    <t>-209166618</t>
  </si>
  <si>
    <t>592460008300.S</t>
  </si>
  <si>
    <t>Dlažba betónová, hr. 80mm</t>
  </si>
  <si>
    <t>1359807670</t>
  </si>
  <si>
    <t>592460007300.S</t>
  </si>
  <si>
    <t>Dlažba betónová pre nevidiacich, farebná</t>
  </si>
  <si>
    <t>1072223222</t>
  </si>
  <si>
    <t>567122111.S</t>
  </si>
  <si>
    <t>Podklad z kameniva stmeleného cementom s rozprestretím a zhutnením, CBGM C 8/10 (C 6/8), po zhutnení hr. 100 mm</t>
  </si>
  <si>
    <t>-2028262609</t>
  </si>
  <si>
    <t>916561112.S</t>
  </si>
  <si>
    <t>Osadenie parkového obrubníka betón., š.80mm, do lôžka z bet. pros. tr. C 16/20 s bočnou oporou</t>
  </si>
  <si>
    <t>-1965962310</t>
  </si>
  <si>
    <t>592170003500.S</t>
  </si>
  <si>
    <t>Obrubník parkový, š. 80 mm, dl. 1000mm</t>
  </si>
  <si>
    <t>-570917683</t>
  </si>
  <si>
    <t>592170001000.S</t>
  </si>
  <si>
    <t>Obrubník cestný, lxšxv 1000x150x260 mm</t>
  </si>
  <si>
    <t>1516611638</t>
  </si>
  <si>
    <t>569751111.S</t>
  </si>
  <si>
    <t>Spevnenie krajníc alebo komun. pre peších s rozpr. a zhutnením, kamenivom drveným hr. 150 mm x2</t>
  </si>
  <si>
    <t>-10019261</t>
  </si>
  <si>
    <t>919726732.S</t>
  </si>
  <si>
    <t>Tesnenie škár zálievkou za tepla pre komôrku s tesniacim profilom š. 20 mm hl. 40 mm</t>
  </si>
  <si>
    <t>-1157180507</t>
  </si>
  <si>
    <t>113107131.S</t>
  </si>
  <si>
    <t>Odstránenie panelov hr. 150mm z betónu prostého,  -0,22500t</t>
  </si>
  <si>
    <t>-1371666239</t>
  </si>
  <si>
    <t>-573811599</t>
  </si>
  <si>
    <t>767431801.S</t>
  </si>
  <si>
    <t>Demontáž oceľovej konštrukcie prístrešku (plocha stien a strechy)</t>
  </si>
  <si>
    <t>807707388</t>
  </si>
  <si>
    <t>911332311.S</t>
  </si>
  <si>
    <t>Osadenie a montáž cestného zvodidla oceľového jednostranného úrovne zachytenia N2 so zabaranením stĺpikov pri vz. 3,0 m</t>
  </si>
  <si>
    <t>1930071867</t>
  </si>
  <si>
    <t>553550000100.S</t>
  </si>
  <si>
    <t>Zvodidlo cestné jednostranné oceľové, vzdialenosť stĺpikov 3,0 m, úroveň zachytenia N2, komplet + dreven7 obklad</t>
  </si>
  <si>
    <t>-2091650278</t>
  </si>
  <si>
    <t>912351111.S</t>
  </si>
  <si>
    <t>Montáž  odrážača na zvodidlá oceľové</t>
  </si>
  <si>
    <t>1961561299</t>
  </si>
  <si>
    <t>404490001400.S</t>
  </si>
  <si>
    <t>Odrážač zvodidlový retroreflexný univerzálny kovový s plastovými odrazkami, farebný</t>
  </si>
  <si>
    <t>-2044171358</t>
  </si>
  <si>
    <t>914501121.S</t>
  </si>
  <si>
    <t xml:space="preserve">Montáž stĺpika zvislej dopravnej značky dĺžky do 3,5 m do betónového základu </t>
  </si>
  <si>
    <t>-1052383965</t>
  </si>
  <si>
    <t>914001111.S</t>
  </si>
  <si>
    <t xml:space="preserve">Osadenie a montáž cestnej zvislej dopravnej značky na stĺpik, stĺp, konzolu alebo objekt </t>
  </si>
  <si>
    <t>-185731856</t>
  </si>
  <si>
    <t>Stĺpik Zn, d 60 mm/1 bm, pre dopravné značky</t>
  </si>
  <si>
    <t>-466408010</t>
  </si>
  <si>
    <t>404410000100.S</t>
  </si>
  <si>
    <t>Značka, rozmer 630 mm, retroreflexia RA1, pozinkovaná</t>
  </si>
  <si>
    <t>-1258720571</t>
  </si>
  <si>
    <t>914791115.R</t>
  </si>
  <si>
    <t>Preloženie zvislej dopravnej značky</t>
  </si>
  <si>
    <t>1803454461</t>
  </si>
  <si>
    <t>914812111.S</t>
  </si>
  <si>
    <t>Montáž dočasnej dopravnej značky samostatnej základnej</t>
  </si>
  <si>
    <t>43342485</t>
  </si>
  <si>
    <t>404410211400.S.1</t>
  </si>
  <si>
    <t>Kompletná dopravná značka základného rozmeru 900 mm vrátane podstavca a stĺpa (175ksx60dní)</t>
  </si>
  <si>
    <t>65014984</t>
  </si>
  <si>
    <t>915716232.S</t>
  </si>
  <si>
    <t>Vodorovné dopravné značenie dvojzložkovým studeným plastom čiar tenkých prerušovaných, farba biela základná šírky 120 mm (1210+145)</t>
  </si>
  <si>
    <t>-1323322478</t>
  </si>
  <si>
    <t>915716234.R</t>
  </si>
  <si>
    <t>Vodorovné dopravné značenie cyklotrasy dvojzložkovým studeným plastom čiar tenkých prerušovaných, farba biela základná šírky 120 mm</t>
  </si>
  <si>
    <t>-118002357</t>
  </si>
  <si>
    <t>915716242.S</t>
  </si>
  <si>
    <t>Vodorovné dopravné značenie dvojzložkovým studeným plastom čiar tenkých prerušovaných, farba biela retroreflexná šírky 120 mm</t>
  </si>
  <si>
    <t>210743921</t>
  </si>
  <si>
    <t>915716244.S</t>
  </si>
  <si>
    <t>Vodorovné dopravné značenie dvojzložkovým studeným plastom čiar hrubých prerušovaných, farba biela retroreflexná šírky 250 mm</t>
  </si>
  <si>
    <t>-732034523</t>
  </si>
  <si>
    <t>915721212.S</t>
  </si>
  <si>
    <t>Vodorovné dopravné značenie striekané farbou prechodov pre chodcov, šípky, symboly a pod., biela retroreflexná (20+15+60)</t>
  </si>
  <si>
    <t>-812753972</t>
  </si>
  <si>
    <t>915791111.S</t>
  </si>
  <si>
    <t>306732625</t>
  </si>
  <si>
    <t>915791112.S</t>
  </si>
  <si>
    <t>Predznačenie pre vodorovné značenie striekané farbou alebo vykonávané z náterových hmôt</t>
  </si>
  <si>
    <t>-469467120</t>
  </si>
  <si>
    <t>916361112.S</t>
  </si>
  <si>
    <t>Osadenie cestného obrubníka betónového ležatého do lôžka z betónu prostého tr. C 16/20 s bočnou oporou</t>
  </si>
  <si>
    <t>1153233688</t>
  </si>
  <si>
    <t>916362114.R</t>
  </si>
  <si>
    <t>Osadenie kaselského obrubníka betónového stojatého do lôžka z betónu prostého tr. C 16/20 s bočnou oporou</t>
  </si>
  <si>
    <t>1053001032</t>
  </si>
  <si>
    <t>592170001001.R</t>
  </si>
  <si>
    <t>Obrubník kaselský</t>
  </si>
  <si>
    <t>-1623643121</t>
  </si>
  <si>
    <t>918101112.S</t>
  </si>
  <si>
    <t>1789010105</t>
  </si>
  <si>
    <t>919716325.S</t>
  </si>
  <si>
    <t>Spojovací trn priem. 24 mm dĺ. 1000 mm</t>
  </si>
  <si>
    <t>-1481922121</t>
  </si>
  <si>
    <t>611980005100.R</t>
  </si>
  <si>
    <t>Drevená polgulatina  DN 120 mm s  povrchovou úpravou 618x2</t>
  </si>
  <si>
    <t>1122281617</t>
  </si>
  <si>
    <t>919735125.S</t>
  </si>
  <si>
    <t>Rezanie existujúceho betónového krytu alebo podkladu hĺbky nad 200 do 250 mm</t>
  </si>
  <si>
    <t>1494708224</t>
  </si>
  <si>
    <t>936941121.S</t>
  </si>
  <si>
    <t>Osadenie zastávkového označovníka so zabetónovaním dodávka + montáž</t>
  </si>
  <si>
    <t>-1944473586</t>
  </si>
  <si>
    <t>966005311.S</t>
  </si>
  <si>
    <t>Rozobranie zvodidiel s jednou pásnicou,  -0,04200t</t>
  </si>
  <si>
    <t>-2105844012</t>
  </si>
  <si>
    <t>966006211.S</t>
  </si>
  <si>
    <t>Odstránenie (demontáž) zvislej dopravnej značky zo stĺpov, stĺpikov alebo konzol,  -0,00400t (5+20)</t>
  </si>
  <si>
    <t>2008748367</t>
  </si>
  <si>
    <t>78</t>
  </si>
  <si>
    <t>966067112.S</t>
  </si>
  <si>
    <t>Rozobratie plotov výšky do 250 cm, z drôteného pletiva alebo z plechu,  -0,01000t</t>
  </si>
  <si>
    <t>2080771968</t>
  </si>
  <si>
    <t>79</t>
  </si>
  <si>
    <t>936941411.S</t>
  </si>
  <si>
    <t>Montáž prístrešku pre bicykle so strechou z kaleného skla so stojanmi pre 10 bicyklov</t>
  </si>
  <si>
    <t>-1642211746</t>
  </si>
  <si>
    <t>80</t>
  </si>
  <si>
    <t>553560015800.S</t>
  </si>
  <si>
    <t>Prístrešok pre bicykle 5,08x4,24 m, obojstranný, strecha z polykarbonátu,   4 lavičky na sedenie a stolom, informačná tbuľa s mapou, smetný koš</t>
  </si>
  <si>
    <t>2135485990</t>
  </si>
  <si>
    <t>81</t>
  </si>
  <si>
    <t>553560009300.S</t>
  </si>
  <si>
    <t>Stojan na bicykel, 5 státí, oceľový z rúr d 18 mm a štvorcového profilu 30x30 mm, na ukotvenie</t>
  </si>
  <si>
    <t>-850956509</t>
  </si>
  <si>
    <t>82</t>
  </si>
  <si>
    <t>971046002.S</t>
  </si>
  <si>
    <t>Jadrové vrty diamantovými korunkami do D 30 mm do stien - betónových, obkladov -0,00002t</t>
  </si>
  <si>
    <t>-643009291</t>
  </si>
  <si>
    <t>83</t>
  </si>
  <si>
    <t>-1556819335</t>
  </si>
  <si>
    <t>84</t>
  </si>
  <si>
    <t>979089761.R</t>
  </si>
  <si>
    <t>-1595659335</t>
  </si>
  <si>
    <t>85</t>
  </si>
  <si>
    <t>979089776.R</t>
  </si>
  <si>
    <t>-985136276</t>
  </si>
  <si>
    <t>86</t>
  </si>
  <si>
    <t>2084965723</t>
  </si>
  <si>
    <t>87</t>
  </si>
  <si>
    <t>-302713672</t>
  </si>
  <si>
    <t>88</t>
  </si>
  <si>
    <t>Presun hmôt pre pozemnú komunikáciu s krytom asfaltovým akejkoľvek dĺžky objektu</t>
  </si>
  <si>
    <t>1767640226</t>
  </si>
  <si>
    <t>89</t>
  </si>
  <si>
    <t>Odvoz sutiny a vybúraných hmôt na skládku do 1 km (161,36+464,21+91,08 kameň)</t>
  </si>
  <si>
    <t>703658276</t>
  </si>
  <si>
    <t>90</t>
  </si>
  <si>
    <t>979081121.S</t>
  </si>
  <si>
    <t>Odvoz sutiny a vybúraných hmôt na skládku za každý ďalší 1 km (22km)</t>
  </si>
  <si>
    <t>1759420931</t>
  </si>
  <si>
    <t>91</t>
  </si>
  <si>
    <t>979089012.S</t>
  </si>
  <si>
    <t>-1331615203</t>
  </si>
  <si>
    <t>92</t>
  </si>
  <si>
    <t>979089212.S</t>
  </si>
  <si>
    <t>995174303</t>
  </si>
  <si>
    <t>100.2 - SO 101.2 Úprava komunikácie - Devínska cesta, úsek B</t>
  </si>
  <si>
    <t xml:space="preserve">    4 - Vodorovné konštrukcie</t>
  </si>
  <si>
    <t xml:space="preserve">    8 - Rúrové vedenie</t>
  </si>
  <si>
    <t>-322747724</t>
  </si>
  <si>
    <t>-1030927067</t>
  </si>
  <si>
    <t>113107222.S</t>
  </si>
  <si>
    <t>Odstránenie krytu v ploche nad 200 m2 z kameniva hrubého drveného, hr. 100 do 200 mm,  -0,23500t</t>
  </si>
  <si>
    <t>-1282170848</t>
  </si>
  <si>
    <t>113107232.S</t>
  </si>
  <si>
    <t>Odstránenie krytu v ploche nad 200 m2 z betónu prostého, hr. vrstvy 150 do 300 mm,  -0,50000t (19+80)</t>
  </si>
  <si>
    <t>1647197947</t>
  </si>
  <si>
    <t>113107243.S</t>
  </si>
  <si>
    <t>Odstránenie krytu asfaltového v ploche nad 200 m2, hr. nad 100 do 150 mm,  -0,37500t (19+80)</t>
  </si>
  <si>
    <t>746277716</t>
  </si>
  <si>
    <t>113152130.S</t>
  </si>
  <si>
    <t>Frézovanie asf. podkladu alebo krytu bez prek., plochy do 500 m2, pruh š. do 0,5 m, hr. 50 mm  0,125 t</t>
  </si>
  <si>
    <t>1557862190</t>
  </si>
  <si>
    <t>113152141.R</t>
  </si>
  <si>
    <t>Frézovanie asf. podkladu alebo krytu bez prek., plochy do 500 m2, pruh š. do 0,5 m, hr. 120 mm  0,250 t</t>
  </si>
  <si>
    <t>-390069582</t>
  </si>
  <si>
    <t>200917768</t>
  </si>
  <si>
    <t>Odstránenie ornice  s vodorov. premiest., na hromady do 50 m hr. do 150 mm</t>
  </si>
  <si>
    <t>-1554346202</t>
  </si>
  <si>
    <t>1390584201</t>
  </si>
  <si>
    <t>-63166329</t>
  </si>
  <si>
    <t>Vodorovné premiestnenie výkopku pre cesty po spevnenej ceste z horniny tr.1-4  do 1000 m3 na vzdialenosť do 3000 m (77+904x0,3+414x0,3)</t>
  </si>
  <si>
    <t>601674352</t>
  </si>
  <si>
    <t>Vodorovné premiestnenie výkopku pre cesty po spevnenej ceste z horniny tr.1-4 do 1000 m3, príplatok k cene za každých ďalšich a začatých 1000 m 472,4x20</t>
  </si>
  <si>
    <t>397095998</t>
  </si>
  <si>
    <t>-1316747812</t>
  </si>
  <si>
    <t>-74854001</t>
  </si>
  <si>
    <t>174101001.S</t>
  </si>
  <si>
    <t>Zásyp sypaninou so zhutnením jám, šachiet, rýh, zárezov alebo okolo objektov do 100 m3 -drenáž</t>
  </si>
  <si>
    <t>227859024</t>
  </si>
  <si>
    <t>583410002100.S</t>
  </si>
  <si>
    <t>Kamenivo drvené hrubé frakcia 8-32 mm obsyp drenáže</t>
  </si>
  <si>
    <t>1635944194</t>
  </si>
  <si>
    <t>181301102.S</t>
  </si>
  <si>
    <t>Rozprestretie ornice v rovine, plocha do 500 m2, hr.do 150 mm</t>
  </si>
  <si>
    <t>79219643</t>
  </si>
  <si>
    <t>Vodorovné konštrukcie</t>
  </si>
  <si>
    <t>451572111</t>
  </si>
  <si>
    <t>Lôžko pod trativod, v otvorenom výkope z kameniva drobného ťaženého 0-4 mm</t>
  </si>
  <si>
    <t>-622495390</t>
  </si>
  <si>
    <t>Geokompozit HDPE geosieť s PP obojstrannou geotextíliou</t>
  </si>
  <si>
    <t>949213336</t>
  </si>
  <si>
    <t>566288520</t>
  </si>
  <si>
    <t>702065426</t>
  </si>
  <si>
    <t>-329702338</t>
  </si>
  <si>
    <t>-1836401444</t>
  </si>
  <si>
    <t>564972121.S</t>
  </si>
  <si>
    <t>Podklad z mechanicky spevneného kameniva MSK s rozprestretím a zhutnením, po zhutnení hr. 300 mm úprava pri napojení na existujúci vjazd</t>
  </si>
  <si>
    <t>-1501356144</t>
  </si>
  <si>
    <t>-233109942</t>
  </si>
  <si>
    <t>Postrek asfaltový infiltračný s posypom kamenivom z cestnej emulzie v množstve 0,80 kg/m2 (124+1555+21+19)</t>
  </si>
  <si>
    <t>304072900</t>
  </si>
  <si>
    <t>Asfaltový betón vrstva obrusná v pruhu š. do 3 m z modifik. asfaltu tr. I, po zhutnení hr. 50 mm (124+114+21+19)</t>
  </si>
  <si>
    <t>Podklad z asfaltového betónu AC 16 P s rozprestretím a zhutnením v pruhu š. do 3 m, po zhutnení hr. 70 mm (124+21+19)</t>
  </si>
  <si>
    <t>Podklad z kameniva stmeleného cementom s rozprestretím a zhutnením, CBGM C 8/10 (C 6/8), po zhutnení hr. 180 mm (143+19)</t>
  </si>
  <si>
    <t>Podklad zo štrkodrviny fr. 0-32 s rozprestretím a zhutnením, po zhutnení hr. 200 mm (164+1788)</t>
  </si>
  <si>
    <t>Postrek asfaltový spojovací bez posypu kamenivom z cestnej emulzie v množstve 0,50 kg/m2 (124+1555+114+21+19)</t>
  </si>
  <si>
    <t xml:space="preserve">Podklad z asfaltového betónu s rozprestretím a zhutnením v pruhu š. do 3 m, po zhutnení hr. 100 mm </t>
  </si>
  <si>
    <t>Zhotovenie vrstvy z geotextílie na upravenom povrchu sklon do 1 : 5 , šírky nad 3 do 6 m (2056+65)</t>
  </si>
  <si>
    <t>Kladenie dlažby z kociek veľkých do lôžka z kameniva ťaženého</t>
  </si>
  <si>
    <t>1363268099</t>
  </si>
  <si>
    <t>658933121</t>
  </si>
  <si>
    <t>916331112.S</t>
  </si>
  <si>
    <t>Osadenie cestného obrubníka betónového ležatého do lôžka z betónu prostého tr. C 16/20 bez bočnej opory</t>
  </si>
  <si>
    <t>-62403970</t>
  </si>
  <si>
    <t>919735117.S</t>
  </si>
  <si>
    <t>Rezanie existujúceho asfaltového krytu alebo podkladu hĺbky nad 250 do 300 mm</t>
  </si>
  <si>
    <t>1695524656</t>
  </si>
  <si>
    <t>Rúrové vedenie</t>
  </si>
  <si>
    <t>871238111</t>
  </si>
  <si>
    <t>Ukladanie drenážneho potrubia do pripravenej ryhy z tvrdého PVC priemeru nad 150 do 200 mm</t>
  </si>
  <si>
    <t>-1197345102</t>
  </si>
  <si>
    <t>286110016480.S</t>
  </si>
  <si>
    <t>Flexibilná drenážna PVC-U rúra DN 160, SN4, s geotextíliou</t>
  </si>
  <si>
    <t>1402400708</t>
  </si>
  <si>
    <t>Frézovanie asf. podkladu alebo krytu bez prek., plochy cez 100 do 1000 m2, pruh š. do 1 m, hr. 50 mm  0,125 t</t>
  </si>
  <si>
    <t>113107143.S</t>
  </si>
  <si>
    <t>Odstránenie krytu asfaltového, hr. nad 100 do 150 mm,  -0,37500t</t>
  </si>
  <si>
    <t>-1190605205</t>
  </si>
  <si>
    <t>113107124.S</t>
  </si>
  <si>
    <t>Odstránenie podkladu z kameniva hrubého drveného, hr.300 do 400 mm,  -0,5600t</t>
  </si>
  <si>
    <t>-2126748424</t>
  </si>
  <si>
    <t>914001111.S.1</t>
  </si>
  <si>
    <t>-1619383601</t>
  </si>
  <si>
    <t>849650537</t>
  </si>
  <si>
    <t>395220701</t>
  </si>
  <si>
    <t>-2093350614</t>
  </si>
  <si>
    <t>-55020188</t>
  </si>
  <si>
    <t>Kompletná dopravná značka základného rozmeru  vrátane podstavca a stĺpa (100ksx60dní)</t>
  </si>
  <si>
    <t>-265045621</t>
  </si>
  <si>
    <t>915716224.S</t>
  </si>
  <si>
    <t>Vodorovné dopravné značenie dvojzložkovým studeným plastom čiar hrubých súvislých, farba biela retroreflexná šírky 250 mm</t>
  </si>
  <si>
    <t>-1294665894</t>
  </si>
  <si>
    <t>Vodorovné dopravné značenie dvojzložkovým studeným plastom čiar tenkých prerušovaných, farba biela základná šírky 120 mm  (610+950+45)</t>
  </si>
  <si>
    <t>-1709650931</t>
  </si>
  <si>
    <t>-269187542</t>
  </si>
  <si>
    <t>Vodorovné dopravné značenie dvojzložkovým studeným plastom čiar hrubých prerušovaných, farba biela retroreflexná šírky 250 mm(52+80)</t>
  </si>
  <si>
    <t>-1193723316</t>
  </si>
  <si>
    <t>915721212.S.1</t>
  </si>
  <si>
    <t xml:space="preserve">Vodorovné dopravné značenie striekané farbou prechodov pre chodcov, šípky, symboly a pod., biela retroreflexná </t>
  </si>
  <si>
    <t>-303488709</t>
  </si>
  <si>
    <t>153976729</t>
  </si>
  <si>
    <t>-278076859</t>
  </si>
  <si>
    <t>915930003.S</t>
  </si>
  <si>
    <t>Osadenie  stĺpika pevného s kotviacou doskou</t>
  </si>
  <si>
    <t>-491871959</t>
  </si>
  <si>
    <t>404490003500.S</t>
  </si>
  <si>
    <t>Pevný  stĺpik s kotviacou doskou + retroreflexná úprava</t>
  </si>
  <si>
    <t>-2144934891</t>
  </si>
  <si>
    <t>-804323110</t>
  </si>
  <si>
    <t>91361783</t>
  </si>
  <si>
    <t>Odstránenie (demontáž) zvislej dopravnej značky zo stĺpov, stĺpikov alebo konzol,  -0,00400t (5)</t>
  </si>
  <si>
    <t>186810076</t>
  </si>
  <si>
    <t>1970592974</t>
  </si>
  <si>
    <t>-670731355</t>
  </si>
  <si>
    <t>-1259296003</t>
  </si>
  <si>
    <t>1467116228</t>
  </si>
  <si>
    <t>810499296</t>
  </si>
  <si>
    <t>Odvoz sutiny a vybúraných hmôt na skládku do 1 km (14,88 beton+24,42 asfalt+19,08 kameň)</t>
  </si>
  <si>
    <t>Odvoz sutiny a vybúraných hmôt na skládku za každý ďalší 1 km (22km)  58,38 x 22</t>
  </si>
  <si>
    <t>100.3 - SO 101.3 Úprava komunikácie - Devínska cesta, úsek C</t>
  </si>
  <si>
    <t>1726021112</t>
  </si>
  <si>
    <t>1826261004</t>
  </si>
  <si>
    <t>113106021.S</t>
  </si>
  <si>
    <t>Rozoberanie dlažby, z betónových alebo kameninových dlaždíc, dosiek alebo tvaroviek ručne,  -0,13800t</t>
  </si>
  <si>
    <t>-688524455</t>
  </si>
  <si>
    <t>113107112.S</t>
  </si>
  <si>
    <t>Odstránenie krytu v ploche do 200 m2 z kameniva ťaženého, hr.100 do 200 mm,  -0,24000t</t>
  </si>
  <si>
    <t>608274461</t>
  </si>
  <si>
    <t>-12320297</t>
  </si>
  <si>
    <t>113152530.S.1</t>
  </si>
  <si>
    <t>-1018902034</t>
  </si>
  <si>
    <t>-1481397151</t>
  </si>
  <si>
    <t>1548776703</t>
  </si>
  <si>
    <t>113307231.S</t>
  </si>
  <si>
    <t>1161196424</t>
  </si>
  <si>
    <t>1334949625</t>
  </si>
  <si>
    <t>-1861144279</t>
  </si>
  <si>
    <t>1568179903</t>
  </si>
  <si>
    <t>-689705174</t>
  </si>
  <si>
    <t>Vodorovné premiestnenie výkopku pre cesty po spevnenej ceste z horniny tr.1-4  do 1000 m3 na vzdialenosť do 3000 m (492x0,3+115+24,44 ornicax0,3) = 122,33</t>
  </si>
  <si>
    <t>1560659267</t>
  </si>
  <si>
    <t>Vodorovné premiestnenie výkopku pre cesty po spevnenej ceste z horniny tr.1-4 do 1000 m3, príplatok k cene za každých ďalšich a začatých 1000 m 122,33x20</t>
  </si>
  <si>
    <t>-1163070913</t>
  </si>
  <si>
    <t>Uloženie sypaniny na skládky nad 100 do 1000 m3 (492x0,3+212x0,3+206,5x0,3)</t>
  </si>
  <si>
    <t>-1082297146</t>
  </si>
  <si>
    <t>171209002.S.1</t>
  </si>
  <si>
    <t>-1840893842</t>
  </si>
  <si>
    <t>-1282783115</t>
  </si>
  <si>
    <t>-1771707284</t>
  </si>
  <si>
    <t>1465827831</t>
  </si>
  <si>
    <t>889645513</t>
  </si>
  <si>
    <t>1252988676</t>
  </si>
  <si>
    <t>347526853</t>
  </si>
  <si>
    <t>1789296678</t>
  </si>
  <si>
    <t>-1363661257</t>
  </si>
  <si>
    <t>-2046213237</t>
  </si>
  <si>
    <t>1144118928</t>
  </si>
  <si>
    <t>Podklad z asfaltového betónu AC 16 P po zhutnrení hr. 70 mm (4+171+48+35)</t>
  </si>
  <si>
    <t>233475957</t>
  </si>
  <si>
    <t>Postrek asfaltový infiltračný s posypom kamenivom z cestnej emulzie v množstve 0,80 kg/m2 (4+1440+171+48+35)</t>
  </si>
  <si>
    <t>2072327254</t>
  </si>
  <si>
    <t>Asfaltový betón vrstva obrusná v pruhu š. do 3 m z modifik. asfaltu tr. I, po zhutnení hr. 50 mm (4+171+2085+48+35)</t>
  </si>
  <si>
    <t>Podklad z kameniva stmeleného cementom s rozprestretím a zhutnením, CBGM C 8/10 (C 6/8), po zhutnení hr. 180 mm (5+197+35)</t>
  </si>
  <si>
    <t>Podklad zo štrkodrviny fr. 0-32 s rozprestretím a zhutnením, po zhutnení hr. 200 mm (2+1656+228+13)</t>
  </si>
  <si>
    <t>Postrek asfaltový spojovací bez posypu kamenivom z cestnej emulzie v množstve 0,50 kg/m2 (4+1440+171+2085+48+35)</t>
  </si>
  <si>
    <t>Zhotovenie vrstvy z geotextílie na upravenom povrchu sklon do 1 : 5 , šírky nad 3 do 6 m (1904+262)</t>
  </si>
  <si>
    <t>Kladenie dlažby z kociek veľkých do lôžka z kameniva ťaženého (198+30+11)</t>
  </si>
  <si>
    <t>-936647872</t>
  </si>
  <si>
    <t>591111111.S.1</t>
  </si>
  <si>
    <t>505973095</t>
  </si>
  <si>
    <t>1838122019</t>
  </si>
  <si>
    <t>914501121.S1</t>
  </si>
  <si>
    <t>Montáž dopravného stĺpika</t>
  </si>
  <si>
    <t>-484613714</t>
  </si>
  <si>
    <t>404490030910.S</t>
  </si>
  <si>
    <t>Flexibilný dopravný sĺpik d 60 mm</t>
  </si>
  <si>
    <t>-1558096200</t>
  </si>
  <si>
    <t>592170003501.R</t>
  </si>
  <si>
    <t>Obrubník rovný, lxšxv 1000x100x300 mm, prírodný</t>
  </si>
  <si>
    <t>400755537</t>
  </si>
  <si>
    <t>592170002400.S</t>
  </si>
  <si>
    <t>Obrubník cestný nábehový, lxšxv 1000x200x150(100) mm</t>
  </si>
  <si>
    <t>2097145972</t>
  </si>
  <si>
    <t>1329007199</t>
  </si>
  <si>
    <t>-250543432</t>
  </si>
  <si>
    <t>1455356482</t>
  </si>
  <si>
    <t>Zvodidlo cestné jednostranné oceľové (vrátane nábehov), vzdialenosť stĺpikov 3,0 m, úroveň zachytenia N2, komplet + drevený obklad</t>
  </si>
  <si>
    <t>-861715215</t>
  </si>
  <si>
    <t>Montáž odrážača na zvodidlá oceľové</t>
  </si>
  <si>
    <t>-1495500592</t>
  </si>
  <si>
    <t>Odrážač zvodidlový univerzálny kovový s plastovými odrazkami, farebný</t>
  </si>
  <si>
    <t>1361422100</t>
  </si>
  <si>
    <t>912951311.S</t>
  </si>
  <si>
    <t>Montáž cestnej závory manuálnej zloženej z výroby s plynovou pružinou a pevnou úložnou podperou, dĺžka brvna do 4 m</t>
  </si>
  <si>
    <t>-575715203</t>
  </si>
  <si>
    <t>404490017800.S</t>
  </si>
  <si>
    <t>Cestná závora otočná pre cestu</t>
  </si>
  <si>
    <t>-1032005998</t>
  </si>
  <si>
    <t>912951522.S</t>
  </si>
  <si>
    <t>Osadenie cestnej závory pevnej otočnej do betónového základu šírky nad 2 m</t>
  </si>
  <si>
    <t>1332493961</t>
  </si>
  <si>
    <t>404490026200.S</t>
  </si>
  <si>
    <t>Závora pre cestu otočná  žiarovo pozinkovaná</t>
  </si>
  <si>
    <t>2082254981</t>
  </si>
  <si>
    <t>Montáž stĺpika zvislej dopravnej značky dĺžky do 3,5 m do betónového základu (10)</t>
  </si>
  <si>
    <t>183333439</t>
  </si>
  <si>
    <t>1866406935</t>
  </si>
  <si>
    <t>Kompletná dopravná značka základného rozmeru 900 mm vrátane podstavca a stĺpa (1255ksx60dní)</t>
  </si>
  <si>
    <t>-328065637</t>
  </si>
  <si>
    <t>915716212.S</t>
  </si>
  <si>
    <t xml:space="preserve">Vodorovné dopravné značenie dvojzložkovým studeným plastom čiar tenkých súvislých, farba biela základná šírky 120 mm </t>
  </si>
  <si>
    <t>-124406762</t>
  </si>
  <si>
    <t>848342397</t>
  </si>
  <si>
    <t>Vodorovné dopravné značenie dvojzložkovým studeným plastom čiar tenkých prerušovaných, farba biela základná šírky 120 mm  (530+513+110))</t>
  </si>
  <si>
    <t>1690304809</t>
  </si>
  <si>
    <t>Vodorovné dopravné značenie dvojzložkovým studeným plastom čiar hrubých prerušovaných, farba biela retroreflexná šírky 250 mm(63+65)</t>
  </si>
  <si>
    <t>856694026</t>
  </si>
  <si>
    <t>915721311.S</t>
  </si>
  <si>
    <t>Vodorovné dopravné značenie dvojzložkovým studeným plastom prechodov pre chodcov, šípky, symboly a pod., biela základná (25+40)</t>
  </si>
  <si>
    <t>-2045804066</t>
  </si>
  <si>
    <t>Predznačenie pre značenie striekané farbou z náterových hmôt deliace čiary, vodiace prúžky (410+32+1153+128)</t>
  </si>
  <si>
    <t>16118095</t>
  </si>
  <si>
    <t>-18456135</t>
  </si>
  <si>
    <t>405858782</t>
  </si>
  <si>
    <t>-790709252</t>
  </si>
  <si>
    <t>916362112.S</t>
  </si>
  <si>
    <t>Osadenie cestného obrubníka betónového stojatého do lôžka z betónu prostého tr. C 16/20 s bočnou oporou (12+295+210)</t>
  </si>
  <si>
    <t>-1486974258</t>
  </si>
  <si>
    <t>796993318</t>
  </si>
  <si>
    <t>-821749545</t>
  </si>
  <si>
    <t>-737950516</t>
  </si>
  <si>
    <t>812601542</t>
  </si>
  <si>
    <t>Drevená polgulatina  DN 100 mm s  povrchovou úpravou 23x2</t>
  </si>
  <si>
    <t>-1560115160</t>
  </si>
  <si>
    <t>-1260148842</t>
  </si>
  <si>
    <t>966001121.S</t>
  </si>
  <si>
    <t>Demontáž parkovej lavičky s betónovou pätkou,  -0,03400 t</t>
  </si>
  <si>
    <t>-236069223</t>
  </si>
  <si>
    <t>966006133.R</t>
  </si>
  <si>
    <t>Odstránenie závory (rampy)</t>
  </si>
  <si>
    <t>-438496797</t>
  </si>
  <si>
    <t>966006211.S.1</t>
  </si>
  <si>
    <t>-1747990938</t>
  </si>
  <si>
    <t>93</t>
  </si>
  <si>
    <t>94</t>
  </si>
  <si>
    <t>Prístrešok pre bicykle 5,08x4,24 m, obojstranný, strecha z polykarbonátu, 4x lavička na sedenie a stôl, informačná tabuľa s mapou, smetný kôš</t>
  </si>
  <si>
    <t>95</t>
  </si>
  <si>
    <t>96</t>
  </si>
  <si>
    <t>Rozobratie plotov výšky do 250 cm, z drôteného pletiva alebo z plechu,  -0,01000t -  brána</t>
  </si>
  <si>
    <t>655272380</t>
  </si>
  <si>
    <t>97</t>
  </si>
  <si>
    <t>-1602718128</t>
  </si>
  <si>
    <t>98</t>
  </si>
  <si>
    <t>2053807103</t>
  </si>
  <si>
    <t>952787572</t>
  </si>
  <si>
    <t>100</t>
  </si>
  <si>
    <t>1939182230</t>
  </si>
  <si>
    <t>101</t>
  </si>
  <si>
    <t>-1216287700</t>
  </si>
  <si>
    <t>102</t>
  </si>
  <si>
    <t>644433054</t>
  </si>
  <si>
    <t>103</t>
  </si>
  <si>
    <t>979081111.S.1</t>
  </si>
  <si>
    <t>-2118659156</t>
  </si>
  <si>
    <t>104</t>
  </si>
  <si>
    <t>Odvoz sutiny a vybúraných hmôt na skládku za každý ďalší 1 km (22km) 286,72 x 22</t>
  </si>
  <si>
    <t>-1367207533</t>
  </si>
  <si>
    <t>105</t>
  </si>
  <si>
    <t>106</t>
  </si>
  <si>
    <t>107</t>
  </si>
  <si>
    <t>100.4 - SO 101.4 Úprava komunikácie - Devínska cesta, úsek D</t>
  </si>
  <si>
    <t xml:space="preserve">    767 - Konštrukcie doplnkové kovové</t>
  </si>
  <si>
    <t>111101101.S</t>
  </si>
  <si>
    <t>Odstránenie travín a tŕstia s príp. premiestnením a uložením na hromady do 50 m, pri celkovej ploche do 1000m2</t>
  </si>
  <si>
    <t>-217101017</t>
  </si>
  <si>
    <t>419360383</t>
  </si>
  <si>
    <t>1118574200</t>
  </si>
  <si>
    <t xml:space="preserve">Frézovanie asf. podkladu alebo krytu bez prek., plochy cez 1000 do 10000 m2, pruh š. do 1 m, hr. 50 mm  0,125 t </t>
  </si>
  <si>
    <t>219293304</t>
  </si>
  <si>
    <t>113206111.S</t>
  </si>
  <si>
    <t>Vytrhanie obrúb betónových, z krajníkov alebo obrubníkov stojatých,  -0,06500t</t>
  </si>
  <si>
    <t>-1570246731</t>
  </si>
  <si>
    <t>113209021.S</t>
  </si>
  <si>
    <t>Vybúranie lôžka obrúb, obrubníkov a žľabov, hr. do 100 mm, šírky do 150 mm z betónu prostého,  -0,03450t</t>
  </si>
  <si>
    <t>1221169531</t>
  </si>
  <si>
    <t>1085417043</t>
  </si>
  <si>
    <t>-399006515</t>
  </si>
  <si>
    <t>-1287014644</t>
  </si>
  <si>
    <t>1534395587</t>
  </si>
  <si>
    <t>1072141419</t>
  </si>
  <si>
    <t>121101201.S</t>
  </si>
  <si>
    <t>Odstránenie lesnej hrabanky, akákoľvek hrúbka vrstvy do 1000 m2</t>
  </si>
  <si>
    <t>800346594</t>
  </si>
  <si>
    <t>122301101.S</t>
  </si>
  <si>
    <t>Odkopávka a prekopávka nezapažená v hornine 4, do 100 m3</t>
  </si>
  <si>
    <t>-995308095</t>
  </si>
  <si>
    <t>Vodorovné premiestnenie výkopku pre cesty po spevnenej ceste z horniny tr.1-4  do 1000 m3 na vzdialenosť do 3000 m (99x0,3=29,7+27)</t>
  </si>
  <si>
    <t>-391113285</t>
  </si>
  <si>
    <t>Vodorovné premiestnenie výkopku pre cesty po spevnenej ceste z horniny tr.1-4 do 1000 m3, príplatok k cene za každých ďalšich a začatých 1000 m 56,7x20</t>
  </si>
  <si>
    <t>-1336225895</t>
  </si>
  <si>
    <t>171201201.S</t>
  </si>
  <si>
    <t>Uloženie sypaniny na skládky do 100 m3 99,0 x 0,3</t>
  </si>
  <si>
    <t>657379442</t>
  </si>
  <si>
    <t>-1443029072</t>
  </si>
  <si>
    <t>Založenie trávnika parkového výsevom v rovine do 1:5 (85+420)</t>
  </si>
  <si>
    <t>181301105.S</t>
  </si>
  <si>
    <t>Rozprestretie ornice v rovine, plocha do 500 m2, hr. do 300 mm</t>
  </si>
  <si>
    <t>-432389146</t>
  </si>
  <si>
    <t>Rozprestretie ornice v rovine, plocha nad 500 m2, hr.do 150 mm</t>
  </si>
  <si>
    <t>Zemina pre terénne úpravy - ornica (24+233)</t>
  </si>
  <si>
    <t>-846426338</t>
  </si>
  <si>
    <t>Postrek asfaltový infiltračný s posypom kamenivom z cestnej emulzie v množstve 0,80 kg/m2 (122+1116+20+224+112)</t>
  </si>
  <si>
    <t>-619149672</t>
  </si>
  <si>
    <t>Asfaltový betón vrstva obrusná v pruhu š. do 3 m z modifik. asfaltu tr. I, po zhutnení hr. 50 mm (122+20+2397+224+112)</t>
  </si>
  <si>
    <t>Podklad z asfaltového betónu AC 16 P s rozprestretím a zhutnením v pruhu š. do 3 m, po zhutnení hr. 70 mm (122+20+224+112)</t>
  </si>
  <si>
    <t>Podklad z kameniva stmeleného cementom s rozprestretím a zhutnením, CBGM C 8/10 (C 6/8), po zhutnení hr. 180 mm (140+23+112)</t>
  </si>
  <si>
    <t>Podklad zo štrkodrviny fr. 0-32 s rozprestretím a zhutnením, po zhutnení hr. 200 mm (161+1283+26)</t>
  </si>
  <si>
    <t>Postrek asfaltový spojovací bez posypu kamenivom z cestnej emulzie v množstve 0,50 kg/m2 (122+1116+20+2394+224+112)</t>
  </si>
  <si>
    <t>Podklad z asfaltového betónu s rozprestretím a zhutnením v pruhu š. do 3 m, po zhutnení hr. 100 mm (1078+41)</t>
  </si>
  <si>
    <t>Zhotovenie vrstvy z geotextílie na upravenom povrchu sklon do 1 : 5 , šírky nad 3 do 6 m</t>
  </si>
  <si>
    <t>1570564293</t>
  </si>
  <si>
    <t>693210000100.S</t>
  </si>
  <si>
    <t>Geomreža polypropylenová, šxl 4x75 m, hr. uzla 3,0 mm, monolitická trojosá (1912)</t>
  </si>
  <si>
    <t>528479907</t>
  </si>
  <si>
    <t>693110004500.S</t>
  </si>
  <si>
    <t>Geotextília polypropylénová netkaná 300 g/m2</t>
  </si>
  <si>
    <t>1445730193</t>
  </si>
  <si>
    <t>Kladenie dlažby z kociek veľkých do lôžka z kameniva ťaženého-predláždenie vjazdu</t>
  </si>
  <si>
    <t>940830453</t>
  </si>
  <si>
    <t xml:space="preserve">Osadenie cestného obrubníka betónového ležatého do lôžka z betónu prostého tr. C 16/20 </t>
  </si>
  <si>
    <t>Obrubník cestný nábehový</t>
  </si>
  <si>
    <t>-696657550</t>
  </si>
  <si>
    <t>Zvodidlo cestné jednostranné oceľové, vzdialenosť stĺpikov 3,0 m, úroveň zachytenia N2, komplet + drevený obklad</t>
  </si>
  <si>
    <t>-1275943935</t>
  </si>
  <si>
    <t>Drevená polgulatina  DN 100 mm s  povrchovou úpravou 420x2</t>
  </si>
  <si>
    <t>675920670</t>
  </si>
  <si>
    <t>229686011</t>
  </si>
  <si>
    <t>Odrážač zvodidlový univerzálny kovový s plastovými odrazkami, retroreflexný</t>
  </si>
  <si>
    <t>1905532220</t>
  </si>
  <si>
    <t>1824658302</t>
  </si>
  <si>
    <t>-460471172</t>
  </si>
  <si>
    <t>1945875126</t>
  </si>
  <si>
    <t>-1902665182</t>
  </si>
  <si>
    <t>Kompletná dopravná značka základného rozmeru 900 mm vrátane podstavca a stĺpa (125ksx60dní)</t>
  </si>
  <si>
    <t>-1552115787</t>
  </si>
  <si>
    <t xml:space="preserve">Vodorovné dopravné značenie dvojzložkovým studeným plastom čiar tenkých súvislých, farba biela základná šírky 120 mm  </t>
  </si>
  <si>
    <t>-1365834400</t>
  </si>
  <si>
    <t>Vodorovné dopravné značenie dvojzložkovým studeným plastom čiar tenkých prerušovaných, farba biela základná šírky 120 mm  (440+435))</t>
  </si>
  <si>
    <t>-328137145</t>
  </si>
  <si>
    <t>Vodorovné dopravné značenie dvojzložkovým studeným plastom prechodov pre chodcov, šípky, symboly a pod., biela základná (7+30)</t>
  </si>
  <si>
    <t>-2008762987</t>
  </si>
  <si>
    <t>-1733787409</t>
  </si>
  <si>
    <t>-1381087735</t>
  </si>
  <si>
    <t>2012738680</t>
  </si>
  <si>
    <t>2039835867</t>
  </si>
  <si>
    <t>-201321027</t>
  </si>
  <si>
    <t>-742156768</t>
  </si>
  <si>
    <t>-1508718586</t>
  </si>
  <si>
    <t>-975904429</t>
  </si>
  <si>
    <t>-999135263</t>
  </si>
  <si>
    <t>1947127813</t>
  </si>
  <si>
    <t>1764470929</t>
  </si>
  <si>
    <t>Odvoz sutiny a vybúraných hmôt na skládku za každý ďalší 1 km (22km) 362,8 x 22</t>
  </si>
  <si>
    <t>767</t>
  </si>
  <si>
    <t>Konštrukcie doplnkové kovové</t>
  </si>
  <si>
    <t>767914830.S</t>
  </si>
  <si>
    <t>Demontáž oplotenia rámového na oceľové stĺpiky, výšky nad 1 do 2 m,  -0,00900t</t>
  </si>
  <si>
    <t>-1686964247</t>
  </si>
  <si>
    <t>021 - VRN - úsek A</t>
  </si>
  <si>
    <t>VRN - Investičné náklady neobsiahnuté v cenách</t>
  </si>
  <si>
    <t xml:space="preserve">    VRN02 - Prieskumné práce</t>
  </si>
  <si>
    <t xml:space="preserve">    VRN03 - Geodetické práce</t>
  </si>
  <si>
    <t xml:space="preserve">    VRN04 - Projektové práce</t>
  </si>
  <si>
    <t xml:space="preserve">    VRN06 - Zariadenie staveniska</t>
  </si>
  <si>
    <t xml:space="preserve">    VRN08 - Vplyv pracovného prostredia</t>
  </si>
  <si>
    <t xml:space="preserve">    VRN10 - Inžinierska činnosť</t>
  </si>
  <si>
    <t xml:space="preserve">    VRN14 - Ostatné náklady stavby</t>
  </si>
  <si>
    <t>VRN</t>
  </si>
  <si>
    <t>Investičné náklady neobsiahnuté v cenách</t>
  </si>
  <si>
    <t>VRN02</t>
  </si>
  <si>
    <t>Prieskumné práce</t>
  </si>
  <si>
    <t>000200011.S</t>
  </si>
  <si>
    <t>Prieskumné práce - geologický prieskum inžiniersko-geologický a geotechnický</t>
  </si>
  <si>
    <t>1024</t>
  </si>
  <si>
    <t>-2080406812</t>
  </si>
  <si>
    <t>VRN03</t>
  </si>
  <si>
    <t>Geodetické práce</t>
  </si>
  <si>
    <t>000300021.S</t>
  </si>
  <si>
    <t>Geodetické práce - vykonávané v priebehu výstavby výškové merania</t>
  </si>
  <si>
    <t>2027249227</t>
  </si>
  <si>
    <t>VRN04</t>
  </si>
  <si>
    <t>Projektové práce</t>
  </si>
  <si>
    <t>000400022.S</t>
  </si>
  <si>
    <t>Projektové práce - stavebná časť (stavebné objekty vrátane ich technického vybavenia). DRS + náklady na dokumentáciu skutočného zhotovenia stavby</t>
  </si>
  <si>
    <t>731741618</t>
  </si>
  <si>
    <t>VRN06</t>
  </si>
  <si>
    <t>Zariadenie staveniska</t>
  </si>
  <si>
    <t>000600042.S</t>
  </si>
  <si>
    <t>Zariadenie staveniska - sociálne sociálne zariadenia</t>
  </si>
  <si>
    <t>2036844085</t>
  </si>
  <si>
    <t>000600011.S</t>
  </si>
  <si>
    <t>Zariadenie staveniska - bunkovisko, oplotenie, dočasná depónia materiálu, zriadenie + odstránenie</t>
  </si>
  <si>
    <t>-221905841</t>
  </si>
  <si>
    <t>VRN08</t>
  </si>
  <si>
    <t>Vplyv pracovného prostredia</t>
  </si>
  <si>
    <t>000800011.S</t>
  </si>
  <si>
    <t xml:space="preserve">Vplyv pracovného prostredia - prevádzka investora a vplyv prostredia rušenie dopravy </t>
  </si>
  <si>
    <t>-1668518396</t>
  </si>
  <si>
    <t>000800021.S</t>
  </si>
  <si>
    <t>Vplyv pracovného prostredia - cestná prevádzka bez rozlíšenia DDZ, CDS</t>
  </si>
  <si>
    <t>1627874858</t>
  </si>
  <si>
    <t>VRN10</t>
  </si>
  <si>
    <t>Inžinierska činnosť</t>
  </si>
  <si>
    <t>001000011.S</t>
  </si>
  <si>
    <t>Inžinierska činnosť - dozory autorský dozor projektanta</t>
  </si>
  <si>
    <t>1178261489</t>
  </si>
  <si>
    <t>001000034.S</t>
  </si>
  <si>
    <t>Inžinierska činnosť - siete (El, tel., voda, plyn, VO, DDZ)</t>
  </si>
  <si>
    <t>444147584</t>
  </si>
  <si>
    <t>VRN14</t>
  </si>
  <si>
    <t>Ostatné náklady stavby</t>
  </si>
  <si>
    <t>022 - VRN - úsek D</t>
  </si>
  <si>
    <t>Projektové práce - stavebná časť (stavebné objekty vrátane ich technického vybavenia). DRS +  náklady na dokumentáciu skutočného zhotovenia stavby</t>
  </si>
  <si>
    <t>-43196494</t>
  </si>
  <si>
    <t>20102710</t>
  </si>
  <si>
    <t>024 - VRN - úsek B</t>
  </si>
  <si>
    <t>326129573</t>
  </si>
  <si>
    <t>1859850867</t>
  </si>
  <si>
    <t>025 - VRN - úsek C</t>
  </si>
  <si>
    <t>1538491567</t>
  </si>
  <si>
    <t>-750141245</t>
  </si>
  <si>
    <t>103.1 - SO 103.1 Predlzenie jestvujucich priepustov - úsek A</t>
  </si>
  <si>
    <t>Odstránenie travín a tŕstia s príp. premiestnením a uložením na hromady do 50 m, pri celk. ploche do 100m2</t>
  </si>
  <si>
    <t>Odstránenie krovín a stromov s koreňom s priemerom kmeňa do 100 mm, do 1000 m2 (uvažované 25% z plochy)</t>
  </si>
  <si>
    <t>Odstránenie lesnej hrabanky, akákoľvek hrúbka vrstvy do 100m2</t>
  </si>
  <si>
    <t>Odkopávka a prekopávka v hornine 4, nad 10 do 100 m3</t>
  </si>
  <si>
    <t>Zásyp sypaninou so zhutnením jám, šachiet, rýh, zárezov alebo okolo objektov nad 10 do 100 m3 (miestny materiál)</t>
  </si>
  <si>
    <t>Nakladanie neuľahnutého výkopku z hornín tr.1-4</t>
  </si>
  <si>
    <t>1571175984</t>
  </si>
  <si>
    <t>162501122.S</t>
  </si>
  <si>
    <t>Vodorovné premiestnenie výkopku po spevnenej ceste z horniny tr.1-4, nad 100 do 1000 m3 na vzdialenosť do 3000 m 30%  6,0 x 0,3</t>
  </si>
  <si>
    <t>1494278558</t>
  </si>
  <si>
    <t>162501123.S</t>
  </si>
  <si>
    <t>Vodorovné premiestnenie výkopku po spevnenej ceste z horniny tr.1-4, nad 100 do 1000 m3, príplatok k cene za každých ďalšich a začatých 1000 m (22km - Lieskovec) 1,8x22</t>
  </si>
  <si>
    <t>-1426681829</t>
  </si>
  <si>
    <t>182201101.S</t>
  </si>
  <si>
    <t>Svahovanie trvalých svahov v násype</t>
  </si>
  <si>
    <t>1552267565</t>
  </si>
  <si>
    <t>Betón základových dosiek, prostý tr. C 12/15</t>
  </si>
  <si>
    <t>42157511</t>
  </si>
  <si>
    <t>Betón múrov - výustné objekty a rev schody, železový (bez výstuže), tr. C 30/37</t>
  </si>
  <si>
    <t>-940831778</t>
  </si>
  <si>
    <t>Debnenie stien základov, zhotovenie-dielce</t>
  </si>
  <si>
    <t>880637767</t>
  </si>
  <si>
    <t>Debnenie stien základov, odstránenie-dielce</t>
  </si>
  <si>
    <t>1784491060</t>
  </si>
  <si>
    <t>274361821.S</t>
  </si>
  <si>
    <t>Výstuž základových pásov z ocele B500 (10505)</t>
  </si>
  <si>
    <t>-1759111776</t>
  </si>
  <si>
    <t>463211300.S</t>
  </si>
  <si>
    <t>Rovnanina z lomového kameňa do 3 m3, hm. kameňov do 200 kg s urovnaním povrchu a vyklinovaním škár, do podkladného betónu hr. 0,15m</t>
  </si>
  <si>
    <t>741852531</t>
  </si>
  <si>
    <t>564231111.S</t>
  </si>
  <si>
    <t>Podklad alebo podsyp zo štrkopiesku s rozprestretím, vlhčením a zhutnením, po zhutnení hr. 100 mm</t>
  </si>
  <si>
    <t>-1170043406</t>
  </si>
  <si>
    <t>583310002700.S</t>
  </si>
  <si>
    <t>Štrkopiesok frakcia 0-8 mm</t>
  </si>
  <si>
    <t>1458602888</t>
  </si>
  <si>
    <t>891395211.S</t>
  </si>
  <si>
    <t>Montáž vodovodnej armatúry na potrubí, koncová klapka prírubová DN 400</t>
  </si>
  <si>
    <t>2058400788</t>
  </si>
  <si>
    <t>422820014800.S</t>
  </si>
  <si>
    <t>Klapka DN 400, prírubová</t>
  </si>
  <si>
    <t>1477785571</t>
  </si>
  <si>
    <t>592220000520.S</t>
  </si>
  <si>
    <t>Rúra železobetónová hrdlová pre splaškové odpadové vody DN 400, dĺžky 2500 mm</t>
  </si>
  <si>
    <t>-184922028</t>
  </si>
  <si>
    <t>286140001900.S</t>
  </si>
  <si>
    <t>Rúra hladká PP pre gravitačnú kanalizáciu DN 250, SN 10, dĺ. 6 m</t>
  </si>
  <si>
    <t>2117827615</t>
  </si>
  <si>
    <t>979083114.S</t>
  </si>
  <si>
    <t>Vodorovné premiestnenie sutiny na skládku s naložením a zložením 3000 m</t>
  </si>
  <si>
    <t>-1846364270</t>
  </si>
  <si>
    <t>-1386202038</t>
  </si>
  <si>
    <t>-1109979465</t>
  </si>
  <si>
    <t>-1397302792</t>
  </si>
  <si>
    <t>981512113.S</t>
  </si>
  <si>
    <t>Demolácia konštrukcií objektov z betónu prostého - sokel, -2,38000t</t>
  </si>
  <si>
    <t>926850005</t>
  </si>
  <si>
    <t>Odvoz sutiny a vybúraných hmôt na skládku do 1 km  32,5x0,3</t>
  </si>
  <si>
    <t>-90578795</t>
  </si>
  <si>
    <t>Odvoz sutiny a vybúraných hmôt na skládku za každý ďalší 1 km (22km)  9,75  x 22</t>
  </si>
  <si>
    <t>-2012754812</t>
  </si>
  <si>
    <t>2012839145</t>
  </si>
  <si>
    <t>104.1 - SO 104.1 Oplotenie - úsek A</t>
  </si>
  <si>
    <t>131212101.S</t>
  </si>
  <si>
    <t>Hĺbenie jám do 10 m3 ručne v súdržných horninách tr. 3 pri prekopoch inžinierskych sietí</t>
  </si>
  <si>
    <t>-1139754342</t>
  </si>
  <si>
    <t>131212109.S</t>
  </si>
  <si>
    <t>Príplatok za lepivosť, hĺbenie jám do 10 m3 ručne v horninách tr. 3 pri prekopoch inžinierskych sietí</t>
  </si>
  <si>
    <t>-179701950</t>
  </si>
  <si>
    <t>Vodorovné premiestnenie výkopku pre cesty po spevnenej ceste z horniny tr.1-4  do 1000 m3 na vzdialenosť do 3000 m 1,2x0,3</t>
  </si>
  <si>
    <t>-1000673333</t>
  </si>
  <si>
    <t>Vodorovné premiestnenie výkopku pre cesty po spevnenej ceste z horniny tr.1-4 do 1000 m3, príplatok k cene za každých ďalšich a začatých 1000 m 0,36x20</t>
  </si>
  <si>
    <t>942108996</t>
  </si>
  <si>
    <t>Uloženie sypaniny na skládky do 100 m3 1,2x0,3</t>
  </si>
  <si>
    <t>-1541945621</t>
  </si>
  <si>
    <t>180401211.S</t>
  </si>
  <si>
    <t>Založenie trávnika lúčneho výsevom v rovine alebo na svahu do 1:5</t>
  </si>
  <si>
    <t>-792334241</t>
  </si>
  <si>
    <t>-1632074578</t>
  </si>
  <si>
    <t>767914150.S</t>
  </si>
  <si>
    <t>Montáž oplotenia výška 1,8 mz pletiva na stĺpiky výšky do 2,5 m</t>
  </si>
  <si>
    <t>2034970031</t>
  </si>
  <si>
    <t>313290003800.S</t>
  </si>
  <si>
    <t>Pletivo extrudované na pozinkovanej oceli pletené štvorhranné, oko 50 mm, drôt d 2,4 mm, vxl 2,0x25 m, bez napínacieho drôtu</t>
  </si>
  <si>
    <t>-463782549</t>
  </si>
  <si>
    <t>767916560.S</t>
  </si>
  <si>
    <t>Osadenie stĺpika oceľového plotového výšky nad 2 m na oceľovú platňu</t>
  </si>
  <si>
    <t>-1275151840</t>
  </si>
  <si>
    <t>553510022200.S</t>
  </si>
  <si>
    <t>Stĺpik, d 48 mm, výška 2,5 m, výška pletiva 2 m, pozinkovaný s PVC čiapkou, pre pletivo v rolkách</t>
  </si>
  <si>
    <t>-516537881</t>
  </si>
  <si>
    <t>767916590.S</t>
  </si>
  <si>
    <t>Osadenie vzpery oceľovej plotovej</t>
  </si>
  <si>
    <t>1752417628</t>
  </si>
  <si>
    <t>553510022300.S</t>
  </si>
  <si>
    <t>Vzpera, d 38 mm, pozinkovaná, pre pletivo v rolkách</t>
  </si>
  <si>
    <t>-1698004843</t>
  </si>
  <si>
    <t>156150000500.S</t>
  </si>
  <si>
    <t>Drôt napínací poplastovaný D 2,9/50 m</t>
  </si>
  <si>
    <t>-796870948</t>
  </si>
  <si>
    <t>961043111.S</t>
  </si>
  <si>
    <t>Búranie základov alebo vybúranie otvorov plochy nad 4 m2 z betónu prostého alebo preloženého kameňom,  -2,20000t</t>
  </si>
  <si>
    <t>1597384111</t>
  </si>
  <si>
    <t>1689423978</t>
  </si>
  <si>
    <t>268178401</t>
  </si>
  <si>
    <t>-772978253</t>
  </si>
  <si>
    <t>Odvoz sutiny a vybúraných hmôt na skládku do 1 km 2,8x0,3</t>
  </si>
  <si>
    <t>1136568809</t>
  </si>
  <si>
    <t>Odvoz sutiny a vybúraných hmôt na skládku za každý ďalší 1 km (22km)  0,84  x 22</t>
  </si>
  <si>
    <t>-255260273</t>
  </si>
  <si>
    <t>-1781098269</t>
  </si>
  <si>
    <t>Presun hmôt akejkoľvek dĺžky objektu</t>
  </si>
  <si>
    <t>767912130.S</t>
  </si>
  <si>
    <t>Montáž napínacieho drôtu</t>
  </si>
  <si>
    <t>-893826969</t>
  </si>
  <si>
    <t>Demontáž oplotenia na oceľové stĺpiky, výšky nad 1 do 2 m,  -0,00900t</t>
  </si>
  <si>
    <t>-1027708168</t>
  </si>
  <si>
    <t>104.2 - SO 104.2 Oplotenie - úsek B</t>
  </si>
  <si>
    <t>Poplatok za skládku - zemina a kamenivo (17 05 04), (30%)  252.18 x 0,3</t>
  </si>
  <si>
    <t>Vodorovné premiestnenie výkopku po spevnenej ceste z horniny tr.1-4, nad 100 do 1000 m3 na vzdialenosť do 3000 m   140,1x0,3</t>
  </si>
  <si>
    <t>Vodorovné premiestnenie výkopku po spevnenej ceste z horniny tr.1-4, nad 100 do 1000 m3, príplatok k cene za každých ďalšich a začatých 1000 m (22km - Lieskovec) 14 x 22</t>
  </si>
  <si>
    <t>Dodatočné vystužovanie betónových konštrukcií betonárskou oceľovou chemickou injektážnou kotvou</t>
  </si>
  <si>
    <t>Betón múrov - sokel, železový (bez výstuže), tr. C 30/37</t>
  </si>
  <si>
    <t>271583011.S</t>
  </si>
  <si>
    <t>Násyp pod základové konštrukcie so zhutnením z recyklátu betónového fr.8-32 mm</t>
  </si>
  <si>
    <t>589532701</t>
  </si>
  <si>
    <t>971056012.S</t>
  </si>
  <si>
    <t>Jadrové vrty diamantovými korunkami do D 130 mm do stien - železobetónových -0,00032t</t>
  </si>
  <si>
    <t>1067847720</t>
  </si>
  <si>
    <t>338171221.S</t>
  </si>
  <si>
    <t>Osadzovanie stĺpika pre pletivové panelové ploty s výškou nad 2 m zaliatim cementovou maltou do vynechaných otvorov</t>
  </si>
  <si>
    <t>-1614240106</t>
  </si>
  <si>
    <t>553510030100</t>
  </si>
  <si>
    <t>Stĺpik, výška 2,5 m, poplastovaný na pozinkovanej oceli, pre panelový plotový systém</t>
  </si>
  <si>
    <t>2065631156</t>
  </si>
  <si>
    <t>338172111.S</t>
  </si>
  <si>
    <t>Osadzovanie vzpery oceľovej plotovej so zaliatím cementovou maltou do vynechaných otvorov</t>
  </si>
  <si>
    <t>1985633178</t>
  </si>
  <si>
    <t>553510032900.S</t>
  </si>
  <si>
    <t>Vzperná rúrka pre panelový plotový systém</t>
  </si>
  <si>
    <t>2063216817</t>
  </si>
  <si>
    <t>553510023400.S</t>
  </si>
  <si>
    <t>Bavolet jednostranný PVC, d 48 mm, dĺžka 420 mm, pre 3 rady drôtov, pre stĺpiky</t>
  </si>
  <si>
    <t>1353270003</t>
  </si>
  <si>
    <t>553510027600</t>
  </si>
  <si>
    <t>Panel oplotenia, veľkosť oka 200x50 mm, vxl 2x2,48 m, poplastovaný na pozinkovanej oceli, pre panelový plotový systém</t>
  </si>
  <si>
    <t>1412991982</t>
  </si>
  <si>
    <t>156150001700</t>
  </si>
  <si>
    <t>Drôt napínací PVC (zelený) 2,9/100 m</t>
  </si>
  <si>
    <t>901424852</t>
  </si>
  <si>
    <t>156140003300.S</t>
  </si>
  <si>
    <t>Drôt ostnatý d 1,7 mm, dĺžka 250 m, pozinkovaný</t>
  </si>
  <si>
    <t>-1440773700</t>
  </si>
  <si>
    <t>976071111.S</t>
  </si>
  <si>
    <t>Vybúranie kovových oplotení, stĺpikov, brán  -0,03700t</t>
  </si>
  <si>
    <t>554680589</t>
  </si>
  <si>
    <t>104841914</t>
  </si>
  <si>
    <t>943156711</t>
  </si>
  <si>
    <t>-2073639813</t>
  </si>
  <si>
    <t>1494537835</t>
  </si>
  <si>
    <t>-170262224</t>
  </si>
  <si>
    <t>1995932556</t>
  </si>
  <si>
    <t>979081111.S-K</t>
  </si>
  <si>
    <t>-300931742</t>
  </si>
  <si>
    <t>979081121.S-K</t>
  </si>
  <si>
    <t>-1875953473</t>
  </si>
  <si>
    <t>105.2 - SO 105.2 Posuvna brana v km 0,300 00 - úsek B</t>
  </si>
  <si>
    <t>Nakladanie neuľahnutého výkopku z hornín tr.1-4 95,0 x 0,3</t>
  </si>
  <si>
    <t>Poplatok za skládku - zemina a kamenivo (17 05 04), (30%)  171,0 x 0,3</t>
  </si>
  <si>
    <t>Vodorovné premiestnenie výkopku po spevnenej ceste z horniny tr.1-4, nad 100 do 1000 m3 na vzdialenosť do 3000 m 95,0 x0,3</t>
  </si>
  <si>
    <t>Vodorovné premiestnenie výkopku po spevnenej ceste z horniny tr.1-4, nad 100 do 1000 m3, príplatok k cene za každých ďalšich a začatých 1000 m (22km - Lieskovec) 28,5 x 22</t>
  </si>
  <si>
    <t>984052344</t>
  </si>
  <si>
    <t>767653240.S</t>
  </si>
  <si>
    <t>Montáž vrát posuvných, osadzovaných na bet. konštrukciu ,s plochou nad 13 do 20 m2</t>
  </si>
  <si>
    <t>1499235693</t>
  </si>
  <si>
    <t>359210002200.S</t>
  </si>
  <si>
    <t>Elektrický pohon na posuvnú bránu hmotnosti do 1200 kg</t>
  </si>
  <si>
    <t>súb.</t>
  </si>
  <si>
    <t>1652729715</t>
  </si>
  <si>
    <t>767995215.S</t>
  </si>
  <si>
    <t>Výroba atypického výrobku - 2x krídlo zásuvnej brány z profilov RHS + PKO, výplň z ťahokovu, kladkový posuvný systém</t>
  </si>
  <si>
    <t>1272010529</t>
  </si>
  <si>
    <t>Tyč oceľová prierezu RHS / SHS valcovaná za tepla, ozn. 11 375, podľa EN ISO S235JR</t>
  </si>
  <si>
    <t>583016015</t>
  </si>
  <si>
    <t>159410000200.S</t>
  </si>
  <si>
    <t>Ťahokov - výplň brány - oceľ, tabuľa šxv 1000x2000 mm</t>
  </si>
  <si>
    <t>-774101166</t>
  </si>
  <si>
    <t>210011444.S</t>
  </si>
  <si>
    <t>Chránička delená elektroinštalačná, uložená voľne</t>
  </si>
  <si>
    <t>664820081</t>
  </si>
  <si>
    <t>400037210</t>
  </si>
  <si>
    <t>919009448</t>
  </si>
  <si>
    <t>-2068458770</t>
  </si>
  <si>
    <t>Odvoz sutiny a vybúraných hmôt na skládku do 1 km  15,0 x 0,3</t>
  </si>
  <si>
    <t>-1347530948</t>
  </si>
  <si>
    <t>979081121.S.2</t>
  </si>
  <si>
    <t>Odvoz sutiny a vybúraných hmôt na skládku za každý ďalší 1 km (22km)  4,5  x 22</t>
  </si>
  <si>
    <t>715482612</t>
  </si>
  <si>
    <t>979089012.S.2</t>
  </si>
  <si>
    <t xml:space="preserve">Poplatok za skládku - betón, tehly, dlaždice, obkladačky a keramika  (17 01 01, 17 01 07), </t>
  </si>
  <si>
    <t>852371907</t>
  </si>
  <si>
    <t>105.3 - SO 105.3 Posuvna brana v km 0,006 00 - úsek C</t>
  </si>
  <si>
    <t>Vodorovné premiestnenie výkopku po spevnenej ceste z horniny tr.1-4, nad 100 do 1000 m3 na vzdialenosť do 3000 m 5x0,3</t>
  </si>
  <si>
    <t>Vodorovné premiestnenie výkopku po spevnenej ceste z horniny tr.1-4, nad 100 do 1000 m3, príplatok k cene za každých ďalšich a začatých 1000 m (22km - Lieskovec)  1,5 x 22</t>
  </si>
  <si>
    <t>1650470574</t>
  </si>
  <si>
    <t>-729814721</t>
  </si>
  <si>
    <t>936340569</t>
  </si>
  <si>
    <t>-599430478</t>
  </si>
  <si>
    <t>-594234495</t>
  </si>
  <si>
    <t>106.2 - SO 106.2 Vjazdova brana v km 0,512 53 - úsek B</t>
  </si>
  <si>
    <t>Nakladanie neuľahnutého výkopku z hornín tr.1-4 2x0,3</t>
  </si>
  <si>
    <t>Poplatok za skládku - zemina a kamenivo (17 05 04), (30%) 3,6 x 0,3</t>
  </si>
  <si>
    <t>Vodorovné premiestnenie výkopku po spevnenej ceste z horniny tr.1-4, nad 100 do 1000 m3 na vzdialenosť do 3000 m 2 x 0,3</t>
  </si>
  <si>
    <t>Vodorovné premiestnenie výkopku po spevnenej ceste z horniny tr.1-4, nad 100 do 1000 m3, príplatok k cene za každých ďalšich a začatých 1000 m (22km - Lieskovec) 0,6 x 22</t>
  </si>
  <si>
    <t>767652230.S</t>
  </si>
  <si>
    <t>Montáž vrát otočných, osadených do oceľovej konštrukcie, s plochou nad 9 do 13 m2</t>
  </si>
  <si>
    <t>1812320039</t>
  </si>
  <si>
    <t>Výroba atypického výrobku - 2x krídlo otočnej brány z profilov RHS, výplň z ťahokovu, stĺpiky s pántami z rúr + PKO</t>
  </si>
  <si>
    <t>Ťahokov - výplň brány - oceľ, tabuľa 1x2m</t>
  </si>
  <si>
    <t>1313561548</t>
  </si>
  <si>
    <t>142557427</t>
  </si>
  <si>
    <t>-843602895</t>
  </si>
  <si>
    <t>Odvoz sutiny a vybúraných hmôt na skládku do 1 km  10 x 0,3</t>
  </si>
  <si>
    <t>556731940</t>
  </si>
  <si>
    <t>Odvoz sutiny a vybúraných hmôt na skládku za každý ďalší 1 km (22km) 3   x 22</t>
  </si>
  <si>
    <t>1793101519</t>
  </si>
  <si>
    <t>1615747831</t>
  </si>
  <si>
    <t>2505 - SO 401  Preložka telekomunikačných vedení Slovak Telekom a.s., úsek A-D</t>
  </si>
  <si>
    <t>M - Práce a dodávky M</t>
  </si>
  <si>
    <t xml:space="preserve">    22-M - Montáže oznamovacích a zabezpečovacích zariadení</t>
  </si>
  <si>
    <t xml:space="preserve">    46-M - Zemné práce vykonávané pri externých montážnych prácach</t>
  </si>
  <si>
    <t xml:space="preserve">    60-M - Geodetické a kartografické práce a služby</t>
  </si>
  <si>
    <t>Vodorovné premiestnenie výkopku pre cesty po spevnenej ceste z horniny tr.1-4  do 1000 m3 na vzdialenosť do 3000 m 33,58x 0,3</t>
  </si>
  <si>
    <t>718815845</t>
  </si>
  <si>
    <t>Vodorovné premiestnenie výkopku pre cesty po spevnenej ceste z horniny tr.1-4 do 1000 m3, príplatok k cene za každých ďalšich a začatých 1000 m 10,07x20</t>
  </si>
  <si>
    <t>-1611544679</t>
  </si>
  <si>
    <t>475489867</t>
  </si>
  <si>
    <t>1071231412</t>
  </si>
  <si>
    <t>388793206.S</t>
  </si>
  <si>
    <t>Ukladanie rúrky kábelovodu 2x HDPE priemeru nad 12 mm, miestna sieť</t>
  </si>
  <si>
    <t>1330477855</t>
  </si>
  <si>
    <t>286130068100.S</t>
  </si>
  <si>
    <t>Chránička optického kábla DN 40, HDPE</t>
  </si>
  <si>
    <t>128</t>
  </si>
  <si>
    <t>-1867119952</t>
  </si>
  <si>
    <t>3412611727.S</t>
  </si>
  <si>
    <t>Marker telekomunikačných vedení</t>
  </si>
  <si>
    <t>2102445851</t>
  </si>
  <si>
    <t>388795008.S</t>
  </si>
  <si>
    <t>Zaťahovanie kábelovodu 3x HDPE nad 12 mm, vonk. siete</t>
  </si>
  <si>
    <t>1770555512</t>
  </si>
  <si>
    <t>286130078600.S</t>
  </si>
  <si>
    <t>Mikrotrubička 10/8 mm, HDPE</t>
  </si>
  <si>
    <t>-725646281</t>
  </si>
  <si>
    <t>388795562.S</t>
  </si>
  <si>
    <t>Montáž spojky rúrky HDPE nad 12 mm</t>
  </si>
  <si>
    <t>499339064</t>
  </si>
  <si>
    <t>286130068196.S</t>
  </si>
  <si>
    <t>Spojka HDPE40</t>
  </si>
  <si>
    <t>-874202098</t>
  </si>
  <si>
    <t>388795561.S</t>
  </si>
  <si>
    <t>Montáž spojky rúrky HDPE do 12 mm</t>
  </si>
  <si>
    <t>586429677</t>
  </si>
  <si>
    <t>341261021800.S</t>
  </si>
  <si>
    <t>Spojka mikrotrubičky 10mm</t>
  </si>
  <si>
    <t>-9355550</t>
  </si>
  <si>
    <t>388795581.S</t>
  </si>
  <si>
    <t>Montáž multirúrovej spojky</t>
  </si>
  <si>
    <t>-1870819192</t>
  </si>
  <si>
    <t>341261032525.S</t>
  </si>
  <si>
    <t>Multirúrová spojka 7514</t>
  </si>
  <si>
    <t>609378530</t>
  </si>
  <si>
    <t>898170013.S</t>
  </si>
  <si>
    <t>Navárenie hrdla káblových komôr</t>
  </si>
  <si>
    <t>-1808482277</t>
  </si>
  <si>
    <t>3412611718.S</t>
  </si>
  <si>
    <t>Betónový poklop pre komoru ROMOLD</t>
  </si>
  <si>
    <t>262291836</t>
  </si>
  <si>
    <t>-219772705</t>
  </si>
  <si>
    <t>Práce a dodávky M</t>
  </si>
  <si>
    <t>22-M</t>
  </si>
  <si>
    <t>Montáže oznamovacích a zabezpečovacích zariadení</t>
  </si>
  <si>
    <t>220061161.S</t>
  </si>
  <si>
    <t>Montáž(voľné uloženie) do lôžka alebo žľabu vrátane uzavretia koncov-TCEKE do 50 XN 0,8 mm</t>
  </si>
  <si>
    <t>544630901</t>
  </si>
  <si>
    <t>341240011000.S</t>
  </si>
  <si>
    <t>Kábel medený telefónny TCEPKPFLE 5xNx0,8 mm</t>
  </si>
  <si>
    <t>145561379</t>
  </si>
  <si>
    <t>220061162.S</t>
  </si>
  <si>
    <t>Montáž(voľné uloženie) do lôžka alebo žľabu vrátane uzavretia koncov-TCEKE do 200 XN 0,8 mm</t>
  </si>
  <si>
    <t>-567526743</t>
  </si>
  <si>
    <t>341240011700.S</t>
  </si>
  <si>
    <t>Kábel medený telefónny TCEPKPFLE 75xNx0,8 mm</t>
  </si>
  <si>
    <t>-1108018210</t>
  </si>
  <si>
    <t>220100002.S</t>
  </si>
  <si>
    <t>Úplná montáž spojky rovnej S 1 pre káble celoplastové (bez panciera), bez číslovania,do 20 žíl</t>
  </si>
  <si>
    <t>-1819501670</t>
  </si>
  <si>
    <t>341035302240.S</t>
  </si>
  <si>
    <t>Spojka káblová JCSA 200</t>
  </si>
  <si>
    <t>361327914</t>
  </si>
  <si>
    <t>220100010.S</t>
  </si>
  <si>
    <t>Úplná montáž spojky rovnej S 2 pre káble celoplastové (bez panciera), bez číslovania,do 300 žíl</t>
  </si>
  <si>
    <t>-952357459</t>
  </si>
  <si>
    <t>341035302200.S</t>
  </si>
  <si>
    <t>Spojka káblová JCSA 440</t>
  </si>
  <si>
    <t>-1152097890</t>
  </si>
  <si>
    <t>220111502.S</t>
  </si>
  <si>
    <t>Číslovanie obojstrannné (100 žíl), úprava koncov,rozvrstvenie,vyviazanie štvoríc a vyzn.poradia</t>
  </si>
  <si>
    <t>1866285385</t>
  </si>
  <si>
    <t>220111431.S</t>
  </si>
  <si>
    <t>Jednosmerné meranie na miestnom oznamovacom kábli vrátane vypracovania meracieho protokolu</t>
  </si>
  <si>
    <t>pár</t>
  </si>
  <si>
    <t>432623422</t>
  </si>
  <si>
    <t>220110634.S</t>
  </si>
  <si>
    <t>Úplná montáž káblovej istiacej stožiarovej skrine bez záveru a uzem., pre prívod.kábel nad 40 žíl</t>
  </si>
  <si>
    <t>-362176452</t>
  </si>
  <si>
    <t>369260008412.S</t>
  </si>
  <si>
    <t>Kovová stožiarová skriňa GR2402515.1J/50p</t>
  </si>
  <si>
    <t>1163217305</t>
  </si>
  <si>
    <t>369260008410.S</t>
  </si>
  <si>
    <t>Ochranný kryt kábla na stožiari 2m</t>
  </si>
  <si>
    <t>-295351731</t>
  </si>
  <si>
    <t>220111721.S</t>
  </si>
  <si>
    <t>Tyč uzemňovacia, zasadenie do zeme prepojenie,bez zemných prác</t>
  </si>
  <si>
    <t>1621805254</t>
  </si>
  <si>
    <t>354410055600.S</t>
  </si>
  <si>
    <t>Tyč uzemňovacia FeZn označenie ZT 1,5 m</t>
  </si>
  <si>
    <t>483335588</t>
  </si>
  <si>
    <t>220111772.S</t>
  </si>
  <si>
    <t>Vedenie uzeňovacie z CU drôtu do 50 mm2 na povrchu</t>
  </si>
  <si>
    <t>970822702</t>
  </si>
  <si>
    <t>341110011500.S</t>
  </si>
  <si>
    <t>Vodič medený CY 10 mm2 žltozelený</t>
  </si>
  <si>
    <t>2030340564</t>
  </si>
  <si>
    <t>220111765.S</t>
  </si>
  <si>
    <t>Zmeranie a zhodnotenie zemného odporu vrátane záznamu do protokolu</t>
  </si>
  <si>
    <t>-1557047392</t>
  </si>
  <si>
    <t>220060502.S-D</t>
  </si>
  <si>
    <t>Demontáž - Montáž(ťahanie) samonosného kábla cez drevené stožiare -TCEKES 2, 5 XN a 5 XN 0,4-0,8</t>
  </si>
  <si>
    <t>190601183</t>
  </si>
  <si>
    <t>220010101.S-D</t>
  </si>
  <si>
    <t>Demontáž - Stožiar J jednoduchý dĺžky 6.5-8 m, pätka EZP 11-290,impregnovaný bez výstroje a zemných prác na rovine</t>
  </si>
  <si>
    <t>55518938</t>
  </si>
  <si>
    <t>220110405.S-D</t>
  </si>
  <si>
    <t>Demontáž - Inštalácia optického rozvádzača, miestna sieť, počet optických vlákien do 048</t>
  </si>
  <si>
    <t>1685152567</t>
  </si>
  <si>
    <t>220071803.S-D</t>
  </si>
  <si>
    <t>Demontáž spojky optickej, miestna sieť, počet optických vlákien do 048</t>
  </si>
  <si>
    <t>1210691158</t>
  </si>
  <si>
    <t>220071804.S-D</t>
  </si>
  <si>
    <t>Demontáž spojky optickej, miestna sieť, počet optických vlákien do 072</t>
  </si>
  <si>
    <t>976944907</t>
  </si>
  <si>
    <t>220065031.S</t>
  </si>
  <si>
    <t>Vyfukovanie optického kábla a mini optického kábla, miestna sieť</t>
  </si>
  <si>
    <t>-801194877</t>
  </si>
  <si>
    <t>220065001.S</t>
  </si>
  <si>
    <t>Zafúkanie 1x optického kábla alebo minikábla, miestna sieť</t>
  </si>
  <si>
    <t>215062793</t>
  </si>
  <si>
    <t>341250019870.S</t>
  </si>
  <si>
    <t>Optický kábel 48-vláknový (9/125μm)</t>
  </si>
  <si>
    <t>-667106648</t>
  </si>
  <si>
    <t>341250019880.S</t>
  </si>
  <si>
    <t>Optický mikrokábel 72-vláknový (9/125μm)</t>
  </si>
  <si>
    <t>169953301</t>
  </si>
  <si>
    <t>220110405.S</t>
  </si>
  <si>
    <t>Inštalácia optického rozvádzača, miestna sieť, počet optických vlákien do 048</t>
  </si>
  <si>
    <t>464132162</t>
  </si>
  <si>
    <t>220071803.S</t>
  </si>
  <si>
    <t>Montáž spojky optickej, miestna sieť, počet optických vlákien do 048</t>
  </si>
  <si>
    <t>1190760903</t>
  </si>
  <si>
    <t>220071804.S</t>
  </si>
  <si>
    <t>Montáž spojky optickej, miestna sieť, počet optických vlákien do 072</t>
  </si>
  <si>
    <t>156781246</t>
  </si>
  <si>
    <t>220065055.S</t>
  </si>
  <si>
    <t>Spájanie optických vlákien, zvarovaním, miestna sieť</t>
  </si>
  <si>
    <t>-1283858871</t>
  </si>
  <si>
    <t>220222011</t>
  </si>
  <si>
    <t>Kompletné meranie siete P2P (obojstranné OTDR + priama metóda)</t>
  </si>
  <si>
    <t>2018237619</t>
  </si>
  <si>
    <t>220222012</t>
  </si>
  <si>
    <t>Spracovanie meracích protokolov siete P2P</t>
  </si>
  <si>
    <t>-1477374265</t>
  </si>
  <si>
    <t>46-M</t>
  </si>
  <si>
    <t>Zemné práce vykonávané pri externých montážnych prácach</t>
  </si>
  <si>
    <t>460200153.S</t>
  </si>
  <si>
    <t>Hĺbenie káblovej ryhy ručne 35 cm širokej a 70 cm hlbokej, v zemine triedy 3</t>
  </si>
  <si>
    <t>614122768</t>
  </si>
  <si>
    <t>460200263.S</t>
  </si>
  <si>
    <t>Hĺbenie káblovej ryhy ručne 50 cm širokej a 80 cm hlbokej, v zemine triedy 3</t>
  </si>
  <si>
    <t>-445856521</t>
  </si>
  <si>
    <t>460200283.S</t>
  </si>
  <si>
    <t>Hĺbenie káblovej ryhy ručne 50 cm širokej a 100 cm hlbokej, v zemine triedy 3</t>
  </si>
  <si>
    <t>-989122916</t>
  </si>
  <si>
    <t>460200643.S</t>
  </si>
  <si>
    <t>Hĺbenie káblovej ryhy ručne 65 cm širokej a 80 cm hlbokej, v zemine triedy 3</t>
  </si>
  <si>
    <t>150192651</t>
  </si>
  <si>
    <t>460050304.S</t>
  </si>
  <si>
    <t>Jama pre jednoduchý stožiar pätkovaný EZP 11290 alebo 12290 v rovine, zásyp a zhutnenie,zemina tr.4</t>
  </si>
  <si>
    <t>164154649</t>
  </si>
  <si>
    <t>460050602.S</t>
  </si>
  <si>
    <t>Výkop jamy pre stožiar, bet.základ, kotvu, príp. iné zar.,(vč.čerp.vody), ručný ,v zemine tr. 3 - 4</t>
  </si>
  <si>
    <t>-2144030121</t>
  </si>
  <si>
    <t>460510022.S</t>
  </si>
  <si>
    <t>Úplné zriadenie a osadenie káblového priestupu z PVC rúr svetlosti do 15,0 cm bez zemných prác</t>
  </si>
  <si>
    <t>377976381</t>
  </si>
  <si>
    <t>345710000090.S</t>
  </si>
  <si>
    <t>Chránička tuhá dvojplášťová korugovaná DN 125, HDPE</t>
  </si>
  <si>
    <t>256</t>
  </si>
  <si>
    <t>-999710723</t>
  </si>
  <si>
    <t>286130072300</t>
  </si>
  <si>
    <t>Chránička delená KOPOHALF CA 06160/2 CA, modrá, DN 160, KOPOS</t>
  </si>
  <si>
    <t>1568822974</t>
  </si>
  <si>
    <t>460510201.S</t>
  </si>
  <si>
    <t>Káblový kanál z prefabrikovaných betónových žľabov neasfaltovaný TK1(17x14cm/10, 5x10 cm)</t>
  </si>
  <si>
    <t>996700867</t>
  </si>
  <si>
    <t>592650000600.S</t>
  </si>
  <si>
    <t>Káblový žľab pre položený kryt, lxšxv vnútorný 1000x112x105 mm, vonkajší 1000x170x140 mm, betónový</t>
  </si>
  <si>
    <t>49531133</t>
  </si>
  <si>
    <t>592650001800.S</t>
  </si>
  <si>
    <t>Betónový kryt lxšxv 500x170x30 mm, pre káblové žľaby</t>
  </si>
  <si>
    <t>-1662239289</t>
  </si>
  <si>
    <t>460420381.S</t>
  </si>
  <si>
    <t>Zriad. káblového lôžka z piesku vrstvy 10 cm, bet. doskami 50 x 15 x 4 cm kladenými v smere kábla</t>
  </si>
  <si>
    <t>-311142167</t>
  </si>
  <si>
    <t>581530000400.S.1</t>
  </si>
  <si>
    <t>Piesok technický netriedený</t>
  </si>
  <si>
    <t>-2125039533</t>
  </si>
  <si>
    <t>283130000200.S</t>
  </si>
  <si>
    <t>Krycia doska z PVC pre káble šxhrxv 1000x150x7 mm, farba oranžová</t>
  </si>
  <si>
    <t>449181175</t>
  </si>
  <si>
    <t>460490011.S</t>
  </si>
  <si>
    <t>Rozvinutie a uloženie výstražnej fólie z PE do ryhy, šírka do 22 cm</t>
  </si>
  <si>
    <t>1569392660</t>
  </si>
  <si>
    <t>283230008000.S</t>
  </si>
  <si>
    <t>Výstražná fóla PE, š. 300, farba oranžová</t>
  </si>
  <si>
    <t>-688496996</t>
  </si>
  <si>
    <t>460120002.S</t>
  </si>
  <si>
    <t>Zásyp jamy so zhutnením a s úpravou povrchu, zemina triedy 3 - 4</t>
  </si>
  <si>
    <t>46053901</t>
  </si>
  <si>
    <t>460560153.S</t>
  </si>
  <si>
    <t>Ručný zásyp nezap. káblovej ryhy bez zhutn. zeminy, 35 cm širokej, 70 cm hlbokej v zemine tr. 3</t>
  </si>
  <si>
    <t>-894820759</t>
  </si>
  <si>
    <t>460560263.S</t>
  </si>
  <si>
    <t>Ručný zásyp nezap. káblovej ryhy bez zhutn. zeminy, 50 cm širokej, 80 cm hlbokej v zemine tr. 3</t>
  </si>
  <si>
    <t>-633358987</t>
  </si>
  <si>
    <t>460560283.S</t>
  </si>
  <si>
    <t>Ručný zásyp nezap. káblovej ryhy bez zhutn. zeminy, 50 cm širokej, 100 cm hlbokej v zemine tr. 3</t>
  </si>
  <si>
    <t>-1285131923</t>
  </si>
  <si>
    <t>460560643.S</t>
  </si>
  <si>
    <t>Ručný zásyp nezap. káblovej ryhy bez zhutn. zeminy, 65 cm širokej, 80 cm hlbokej v zemine tr. 3</t>
  </si>
  <si>
    <t>245181279</t>
  </si>
  <si>
    <t>460620013.S</t>
  </si>
  <si>
    <t>Proviz. úprava terénu v zemine tr. 3, aby nerovnosti terénu neboli väčšie ako 2 cm od vodor.hladiny</t>
  </si>
  <si>
    <t>569586898</t>
  </si>
  <si>
    <t>60-M</t>
  </si>
  <si>
    <t>Geodetické a kartografické práce a služby</t>
  </si>
  <si>
    <t>960131031.S</t>
  </si>
  <si>
    <t>Súčasné polohové a výškové zameranie a kartografické spracovanie pracovného pásu a porealizačné zameranie a spracovanie trasy kábla – intravilán a extravilán</t>
  </si>
  <si>
    <t>100 m</t>
  </si>
  <si>
    <t>1742759600</t>
  </si>
  <si>
    <t>960131051.S</t>
  </si>
  <si>
    <t>Spracovanie knihy plánov OK, MK, digitálne kótovanie kábla a jeho zariadení, doplnenie priečnych a pozdĺžnych rezov, krytia kábla, detailov, rezov ryhy, formátovanie, spracovanie technologických schém, tlač, kompletovanie, väzba a pod.</t>
  </si>
  <si>
    <t>-56546908</t>
  </si>
  <si>
    <t>2506 - SO 402  Preložka telekomunikačných vedení UPC s.r.o., úsek A-D</t>
  </si>
  <si>
    <t>Vodorovné premiestnenie výkopku pre cesty po spevnenej ceste z horniny tr.1-4  do 1000 m3 na vzdialenosť do 3000 m 68,44x 0,3</t>
  </si>
  <si>
    <t>-1336747900</t>
  </si>
  <si>
    <t>Vodorovné premiestnenie výkopku pre cesty po spevnenej ceste z horniny tr.1-4 do 1000 m3, príplatok k cene za každých ďalšich a začatých 1000 m 20.54x20</t>
  </si>
  <si>
    <t>1750090405</t>
  </si>
  <si>
    <t>-1353977661</t>
  </si>
  <si>
    <t>447386143</t>
  </si>
  <si>
    <t>388793205.S</t>
  </si>
  <si>
    <t>Ukladanie rúrky kábelovodu 1x HDPE priemeru nad 12 mm, miestna sieť</t>
  </si>
  <si>
    <t>-838239219</t>
  </si>
  <si>
    <t>286130070300.S</t>
  </si>
  <si>
    <t>Chránička optického kábla DN 50, HDPE</t>
  </si>
  <si>
    <t>-2013421824</t>
  </si>
  <si>
    <t>341261032500.S</t>
  </si>
  <si>
    <t>Multirúrová spojka MATRIX "I" 50/50</t>
  </si>
  <si>
    <t>-2051891075</t>
  </si>
  <si>
    <t>341261032550.S</t>
  </si>
  <si>
    <t>Multirúrová spojka MATRIX "T" 50/50/50</t>
  </si>
  <si>
    <t>-971169106</t>
  </si>
  <si>
    <t>898170005.S-dem</t>
  </si>
  <si>
    <t xml:space="preserve">Demontáž káblovej komory podzemné pre silové a optické káble z PE, DN 1000 </t>
  </si>
  <si>
    <t>-1084171352</t>
  </si>
  <si>
    <t>898170005.S</t>
  </si>
  <si>
    <t>Osadenie káblovej komory podzemnej pre optické káble z PE s liatinovým poklopom</t>
  </si>
  <si>
    <t>1228415439</t>
  </si>
  <si>
    <t>3412611708.S</t>
  </si>
  <si>
    <t>Káblová komora plastová POLYVAULT 2436-660</t>
  </si>
  <si>
    <t>1942034555</t>
  </si>
  <si>
    <t>3412611712.S</t>
  </si>
  <si>
    <t>Betónový poklop pre komoru POLYVAULT 2436</t>
  </si>
  <si>
    <t>2029477695</t>
  </si>
  <si>
    <t>220071801.S-D</t>
  </si>
  <si>
    <t>Demontáž spojky optickej, miestna sieť, počet optických vlákien do 012</t>
  </si>
  <si>
    <t>2141709486</t>
  </si>
  <si>
    <t>220071805.S-D</t>
  </si>
  <si>
    <t>Demontáž spojky optickej, miestna sieť, počet optických vlákien do 096</t>
  </si>
  <si>
    <t>-1891483489</t>
  </si>
  <si>
    <t>341250019890.S</t>
  </si>
  <si>
    <t>Optický mikrokábel 96-vláknový (9/125μm)</t>
  </si>
  <si>
    <t>220071801.S</t>
  </si>
  <si>
    <t>Montáž spojky optickej, miestna sieť, počet optických vlákien do 012</t>
  </si>
  <si>
    <t>-217959226</t>
  </si>
  <si>
    <t>3412612004.S</t>
  </si>
  <si>
    <t>Optická spojka FIST GCO2-BD16-NN</t>
  </si>
  <si>
    <t>-797446459</t>
  </si>
  <si>
    <t>220071805.S</t>
  </si>
  <si>
    <t>Montáž spojky optickej, miestna sieť, počet optických vlákien do 096</t>
  </si>
  <si>
    <t>-14545924</t>
  </si>
  <si>
    <t>220222003.S</t>
  </si>
  <si>
    <t>Kontrolné meranie tlmenia reflektometrom pri vln.dĺžkach 1310 a 1550 nm z oboch strán</t>
  </si>
  <si>
    <t>457101154</t>
  </si>
  <si>
    <t>460200683.S</t>
  </si>
  <si>
    <t>Hĺbenie káblovej ryhy ručne 65 cm širokej a 120 cm hlbokej, v zemine triedy 3</t>
  </si>
  <si>
    <t>-1552201142</t>
  </si>
  <si>
    <t>-1312913778</t>
  </si>
  <si>
    <t>-800064399</t>
  </si>
  <si>
    <t>-141225155</t>
  </si>
  <si>
    <t>460560683.S</t>
  </si>
  <si>
    <t>Ručný zásyp nezap. káblovej ryhy bez zhutn. zeminy, 65 cm širokej, 120 cm hlbokej v zemine tr. 3</t>
  </si>
  <si>
    <t>1578344640</t>
  </si>
  <si>
    <t>300 - SO 300</t>
  </si>
  <si>
    <t>D1 - montáž  C-210 M</t>
  </si>
  <si>
    <t xml:space="preserve">D2 - nosný materiál </t>
  </si>
  <si>
    <t>D3 - Zemné práce C-460 M</t>
  </si>
  <si>
    <t>D4 - odborná prehliadka a skúšky</t>
  </si>
  <si>
    <t>D5 - hzs</t>
  </si>
  <si>
    <t xml:space="preserve">HSV - Práce a dodávky HSV   </t>
  </si>
  <si>
    <t>D1</t>
  </si>
  <si>
    <t>montáž  C-210 M</t>
  </si>
  <si>
    <t>210 90-2468</t>
  </si>
  <si>
    <t>káble uložené volne NAYY-J  4  x 240</t>
  </si>
  <si>
    <t>210 19-2721</t>
  </si>
  <si>
    <t>označovací štítok na kábel</t>
  </si>
  <si>
    <t>210-10-0607</t>
  </si>
  <si>
    <t>koncovka do 4 x  240</t>
  </si>
  <si>
    <t>210-10-1605</t>
  </si>
  <si>
    <t>spojka   1 x  240</t>
  </si>
  <si>
    <t>210 12-0102</t>
  </si>
  <si>
    <t>Montáž  nožovej poistky do 160A</t>
  </si>
  <si>
    <t>210 12-0103</t>
  </si>
  <si>
    <t>Montáž  nožovej poistky do 250A</t>
  </si>
  <si>
    <t>210 19-3025</t>
  </si>
  <si>
    <t>Montáž poist.skrine SR5  3/3</t>
  </si>
  <si>
    <t>210 22-0020</t>
  </si>
  <si>
    <t>Pásik FeZn 30x4</t>
  </si>
  <si>
    <t>210 22-0245</t>
  </si>
  <si>
    <t>Svorka SP1</t>
  </si>
  <si>
    <t>210 22-0240</t>
  </si>
  <si>
    <t>Svorka SJ 02</t>
  </si>
  <si>
    <t>210 22-0281</t>
  </si>
  <si>
    <t>Zemniaca tyč ZT</t>
  </si>
  <si>
    <t>210 96-2910P</t>
  </si>
  <si>
    <t>demontáž jestvujúcej skrine SR</t>
  </si>
  <si>
    <t>210 10-0010D</t>
  </si>
  <si>
    <t>Prepojenie jestv.káblov do novej skrine SR 5</t>
  </si>
  <si>
    <t>Pol1</t>
  </si>
  <si>
    <t>PPV 1%</t>
  </si>
  <si>
    <t>D2</t>
  </si>
  <si>
    <t xml:space="preserve">nosný materiál </t>
  </si>
  <si>
    <t>materiál</t>
  </si>
  <si>
    <t>káble NAYY-J  4  x 240</t>
  </si>
  <si>
    <t>materiál.1</t>
  </si>
  <si>
    <t>materiál.2</t>
  </si>
  <si>
    <t>koncovka   EPKT 0063   do  4x240</t>
  </si>
  <si>
    <t>materiál.3</t>
  </si>
  <si>
    <t>spojka SVCZ do 4x240</t>
  </si>
  <si>
    <t>sada</t>
  </si>
  <si>
    <t>materiál.4</t>
  </si>
  <si>
    <t>kab.oko Al   240</t>
  </si>
  <si>
    <t>materiál.5</t>
  </si>
  <si>
    <t>poistka PHN1   160A</t>
  </si>
  <si>
    <t>materiál.6</t>
  </si>
  <si>
    <t>poistka PHN1   250A</t>
  </si>
  <si>
    <t>materiál.7</t>
  </si>
  <si>
    <t>Poist.skriňa SR5  DINO W 3/3, P2</t>
  </si>
  <si>
    <t>materiál.8</t>
  </si>
  <si>
    <t>Pásik FeZn  30x4mm</t>
  </si>
  <si>
    <t>materiál.9</t>
  </si>
  <si>
    <t>materiál.10</t>
  </si>
  <si>
    <t>materiál.11</t>
  </si>
  <si>
    <t>Zemniaca tyč ZT  2m</t>
  </si>
  <si>
    <t>Po</t>
  </si>
  <si>
    <t>podružný materiál</t>
  </si>
  <si>
    <t>D3</t>
  </si>
  <si>
    <t>Zemné práce C-460 M</t>
  </si>
  <si>
    <t>460 01-0024P</t>
  </si>
  <si>
    <t>vytýčenie trasy v zastavanom priestore</t>
  </si>
  <si>
    <t>460 08-0101</t>
  </si>
  <si>
    <t>Demontáž betonových plôch</t>
  </si>
  <si>
    <t>460 20-0264</t>
  </si>
  <si>
    <t>hllbenie kabelovej ryhy 50/ 80 cm, zemina tr.4</t>
  </si>
  <si>
    <t>460 23-0004</t>
  </si>
  <si>
    <t>hlbenie ryhy pre spojku v zemine tr.4</t>
  </si>
  <si>
    <t>460 26-0011P</t>
  </si>
  <si>
    <t>Zavrtanie zemniacich tyčí do zeme</t>
  </si>
  <si>
    <t>460 27-0064</t>
  </si>
  <si>
    <t>Zamurovanie a začistenie skrín SR 5</t>
  </si>
  <si>
    <t>460 42-0371</t>
  </si>
  <si>
    <t>Zriadenie kab lôžka z piesku 10cm so zakryt tehlami v smere kab.na š.35 cm</t>
  </si>
  <si>
    <t>460 49-0012</t>
  </si>
  <si>
    <t>Folia výstražná PVC šírka 33 cm</t>
  </si>
  <si>
    <t>materiál.12</t>
  </si>
  <si>
    <t>fólia červená</t>
  </si>
  <si>
    <t>460 49-0051</t>
  </si>
  <si>
    <t>Vypodloženie kabelovej spojky pre kábel pre 22kV</t>
  </si>
  <si>
    <t>460 56-0264</t>
  </si>
  <si>
    <t>Zásyp kabelovej ryhy 50/ 80 cm, zemina tr.4</t>
  </si>
  <si>
    <t>460 62-0014</t>
  </si>
  <si>
    <t>provizórna úprava terénu zeminou tr.4</t>
  </si>
  <si>
    <t>materiál.13</t>
  </si>
  <si>
    <t>ochranná platňa KPL 250x1000</t>
  </si>
  <si>
    <t>materiál.14</t>
  </si>
  <si>
    <t>piesok</t>
  </si>
  <si>
    <t>materiál.15</t>
  </si>
  <si>
    <t>beton</t>
  </si>
  <si>
    <t>D4</t>
  </si>
  <si>
    <t>odborná prehliadka a skúšky</t>
  </si>
  <si>
    <t>Pol2</t>
  </si>
  <si>
    <t>vypracovanie správy</t>
  </si>
  <si>
    <t>hod</t>
  </si>
  <si>
    <t>D5</t>
  </si>
  <si>
    <t>hzs</t>
  </si>
  <si>
    <t>Pol3</t>
  </si>
  <si>
    <t>manipulácia v rozvodnej sieti NN</t>
  </si>
  <si>
    <t>Pol4</t>
  </si>
  <si>
    <t>zaistenie vypnutého stavu el.rozvodov</t>
  </si>
  <si>
    <t>Pol5</t>
  </si>
  <si>
    <t>komunikacia s ZEZ - prípojka NN</t>
  </si>
  <si>
    <t>Pol6</t>
  </si>
  <si>
    <t>Rozrezanie káblov</t>
  </si>
  <si>
    <t xml:space="preserve">Práce a dodávky HSV   </t>
  </si>
  <si>
    <t>-1594671666</t>
  </si>
  <si>
    <t>Vodorovné premiestnenie výkopku pre cesty po spevnenej ceste z horniny tr.1-4 do 1000 m3, príplatok k cene za každých ďalšich a začatých 1000 m 3,3x20</t>
  </si>
  <si>
    <t>259424674</t>
  </si>
  <si>
    <t>606296615</t>
  </si>
  <si>
    <t>1494080962</t>
  </si>
  <si>
    <t>-1960175104</t>
  </si>
  <si>
    <t>Poplatok za likvidáciu  stavebného odpadu a materiálu / zhromažďovanie, separácia, príprava triedenie, odvoz na recyklačné stredisko -zemina(17 05 04) (min. 70% objemu daného množstva odpadu) 6,10 x 0,7</t>
  </si>
  <si>
    <t>1811833137</t>
  </si>
  <si>
    <t>-1768042855</t>
  </si>
  <si>
    <t>Odvoz sutiny a vybúraných hmôt na skládku do 1 km  =           1,3 x 0,3</t>
  </si>
  <si>
    <t>1205856011</t>
  </si>
  <si>
    <t>Odvoz sutiny a vybúraných hmôt na skládku za každý ďalší 1 km (22km) 0,39 x 22</t>
  </si>
  <si>
    <t>-1489128285</t>
  </si>
  <si>
    <t>97961980</t>
  </si>
  <si>
    <t>301 - SO 301</t>
  </si>
  <si>
    <t>210 90-2462</t>
  </si>
  <si>
    <t>kable uložené volne NAYY-J  4  x 25</t>
  </si>
  <si>
    <t>210 90-2463</t>
  </si>
  <si>
    <t>kable uložene volne NAYY-J  4  x 35</t>
  </si>
  <si>
    <t>210-10-0602</t>
  </si>
  <si>
    <t>koncovka do 4 x  25</t>
  </si>
  <si>
    <t>210-10-0603</t>
  </si>
  <si>
    <t>koncovka do 4 x  35</t>
  </si>
  <si>
    <t>210-10-1602</t>
  </si>
  <si>
    <t>spojka   1 x  25 až  1 x 35</t>
  </si>
  <si>
    <t>210 19-3053</t>
  </si>
  <si>
    <t>Montáž elektromerovej skrine  RE.P   32A/3,50A/3</t>
  </si>
  <si>
    <t>káble NAYY-J  4  x 25</t>
  </si>
  <si>
    <t>NAYY-J  4  x 35</t>
  </si>
  <si>
    <t>koncovka   EPKT 0015   do  4x35</t>
  </si>
  <si>
    <t>spojka SVCZ do 4x25</t>
  </si>
  <si>
    <t>spojka SVCZ do 4x35</t>
  </si>
  <si>
    <t>kab.oko Al   25</t>
  </si>
  <si>
    <t>kab.oko Al   35</t>
  </si>
  <si>
    <t>poistka PHN1   63A</t>
  </si>
  <si>
    <t>Elektromerová  skriňa  RE.P   32A/3</t>
  </si>
  <si>
    <t>Elektromerová skriňa  RE.P   50A/3</t>
  </si>
  <si>
    <t>nosný materiál</t>
  </si>
  <si>
    <t>Po.1</t>
  </si>
  <si>
    <t>podružný materiál 3%</t>
  </si>
  <si>
    <t>-1730061866</t>
  </si>
  <si>
    <t>vytýčenie trasy káb. vedenia v zastavanom priestore</t>
  </si>
  <si>
    <t>460 20-0164</t>
  </si>
  <si>
    <t>hĺbenie káb. ryhy 35/ 80 cm, zemina tr.4</t>
  </si>
  <si>
    <t>hĺbenie ryhy pre spojku v zemine tr.4</t>
  </si>
  <si>
    <t>460 27-0064P</t>
  </si>
  <si>
    <t>zamurovanie krín RE.P</t>
  </si>
  <si>
    <t>zriadenie kab. lôžka z piesku 10 cm so zákrztom tehlami v smere kab.na š.35 cm</t>
  </si>
  <si>
    <t>fólia výstražná šírka 33 cm</t>
  </si>
  <si>
    <t xml:space="preserve"> vypodloženie kábelovej spojky pre kábel pre 22kV</t>
  </si>
  <si>
    <t>460 56-0164</t>
  </si>
  <si>
    <t>zásyp kábelovej ryhy 35/ 80 cm, zemina tr.4</t>
  </si>
  <si>
    <t>materiál.16</t>
  </si>
  <si>
    <t>tehly</t>
  </si>
  <si>
    <t>materiál.17</t>
  </si>
  <si>
    <t>materiál.18</t>
  </si>
  <si>
    <t>Vodorovné premiestnenie výkopku pre cesty po spevnenej ceste z horniny tr.1-4  do 1000 m3 na vzdialenosť do 3000 m     7,2x0,3 = 2,16</t>
  </si>
  <si>
    <t>-1542685630</t>
  </si>
  <si>
    <t>Vodorovné premiestnenie výkopku pre cesty po spevnenej ceste z horniny tr.1-4 do 1000 m3, príplatok k cene za každých ďalšich a začatých 1000 m 2,16x20</t>
  </si>
  <si>
    <t>-1796609028</t>
  </si>
  <si>
    <t>510918810</t>
  </si>
  <si>
    <t>-1291289956</t>
  </si>
  <si>
    <t>1970892177</t>
  </si>
  <si>
    <t>302 - SO 302</t>
  </si>
  <si>
    <t>Cenník.pol.</t>
  </si>
  <si>
    <t>Skrátený popis</t>
  </si>
  <si>
    <t>mj</t>
  </si>
  <si>
    <t>210 01-0080</t>
  </si>
  <si>
    <t>rúrka HDPe 40mm</t>
  </si>
  <si>
    <t>220 11-0046P</t>
  </si>
  <si>
    <t>Odbočná šachta</t>
  </si>
  <si>
    <t>210 93-0226</t>
  </si>
  <si>
    <t>Montáž VN kábla NA2XS(F)2Y 1x240mm2</t>
  </si>
  <si>
    <t>210 95-0111</t>
  </si>
  <si>
    <t>Zväzkovanie VN káblov</t>
  </si>
  <si>
    <t>210 95-0207</t>
  </si>
  <si>
    <t>Zaťahovanie kábla do chráničky do 12kg</t>
  </si>
  <si>
    <t>210 10-1225</t>
  </si>
  <si>
    <t>spojka teplom zmraštitelna 22kV do 1x240</t>
  </si>
  <si>
    <t>Kábel NA2XS(F)2Y  1x240mm2</t>
  </si>
  <si>
    <t>Sťahovacia páska 7,8x450</t>
  </si>
  <si>
    <t>Spojka Raychem POLJ  24/3x120-240</t>
  </si>
  <si>
    <t>kab.oko Al 240</t>
  </si>
  <si>
    <t>Poll</t>
  </si>
  <si>
    <t>Poo</t>
  </si>
  <si>
    <t>460 01-0024</t>
  </si>
  <si>
    <t>vytýčenie trasy káb. vedenia v zastavanom  priestore</t>
  </si>
  <si>
    <t>km</t>
  </si>
  <si>
    <t>460 20-0683</t>
  </si>
  <si>
    <t>hĺbenie kab. ryhy 65/120 cm, zemina tr.3</t>
  </si>
  <si>
    <t>460 23-0013</t>
  </si>
  <si>
    <t>hĺbenie ryhy pre spojku nad 10kV v zemine tr.4</t>
  </si>
  <si>
    <t>460 42-0374</t>
  </si>
  <si>
    <t>zriadenie kab. lôžka z piesku 10cm so zákryt. tehlami na šírku 60 cm</t>
  </si>
  <si>
    <t>460 49-0053</t>
  </si>
  <si>
    <t>vypodloženie káb. spojky pre kábel pre 22kV</t>
  </si>
  <si>
    <t>460 51-0113</t>
  </si>
  <si>
    <t>kábelový prestup z PVC rúry svetlosti do 200  mm</t>
  </si>
  <si>
    <t>460 56-0683</t>
  </si>
  <si>
    <t>zásyp kábelovej ryhy  65/120 cm, zemina tr.3</t>
  </si>
  <si>
    <t>460 62-0013</t>
  </si>
  <si>
    <t>provizórna úprava terénu zeminou tr.3</t>
  </si>
  <si>
    <t>ochranná platňa KPL 250  250x1000</t>
  </si>
  <si>
    <t>chránička  HDPE 40</t>
  </si>
  <si>
    <t>ponuka</t>
  </si>
  <si>
    <t>Odbočná šachta + ID marker</t>
  </si>
  <si>
    <t>chránička  FXKVS  200</t>
  </si>
  <si>
    <t>chránička  FXKVS  110</t>
  </si>
  <si>
    <t>Pol7</t>
  </si>
  <si>
    <t>manipulácia v rozvodnej sieti VN</t>
  </si>
  <si>
    <t>Pol8</t>
  </si>
  <si>
    <t>komunikacia s ZEZ - prípojka VN</t>
  </si>
  <si>
    <t>Pol9</t>
  </si>
  <si>
    <t>Napäťová skúška kábla</t>
  </si>
  <si>
    <t>Pol10</t>
  </si>
  <si>
    <t>Prvá úradná skúška</t>
  </si>
  <si>
    <t>Pol11</t>
  </si>
  <si>
    <t>Skúšobná prevádzka</t>
  </si>
  <si>
    <t>Pol12</t>
  </si>
  <si>
    <t>Nepredvídané  práce spojené s prekládkou  VN káblov</t>
  </si>
  <si>
    <t>Vodorovné premiestnenie výkopku pre cesty po spevnenej ceste z horniny tr.1-4  do 1000 m3 na vzdialenosť do 3000 m   28,6x0,3 = 20,48</t>
  </si>
  <si>
    <t>-2074202810</t>
  </si>
  <si>
    <t>Vodorovné premiestnenie výkopku pre cesty po spevnenej ceste z horniny tr.1-4 do 1000 m3, príplatok k cene za každých ďalšich a začatých 1000 m 8,58x20</t>
  </si>
  <si>
    <t>-1006238409</t>
  </si>
  <si>
    <t>1568884055</t>
  </si>
  <si>
    <t>Poplatok za skládku - zemina a kamenivo (17 05 04), ostatné  52,91 x 0,3</t>
  </si>
  <si>
    <t>817865387</t>
  </si>
  <si>
    <t>-478037030</t>
  </si>
  <si>
    <t>102.4 - SO 102.4 OM - úsek D</t>
  </si>
  <si>
    <t>Vodorovné premiestnenie výkopku po spevnenej ceste z horniny tr.1-4, nad 1000 do 10000 m3 na vzdialenosť do 3000 m  (1657 - 130)x0,3</t>
  </si>
  <si>
    <t>Vodorovné premiestnenie výkopku po spevnenej ceste z horniny tr.1-4, nad 1000 do 10000 m3, príplatok k cene za každých ďalšich a začatých 1000 m (22km-Lieskovec) 485 x 22</t>
  </si>
  <si>
    <t>SO 200.A - Verejné osvetlenie, úsek A</t>
  </si>
  <si>
    <t>Bratislava Devín</t>
  </si>
  <si>
    <t>JTRE a. s.,Dvořákovo nábrežie 10,811 02 Bratislava</t>
  </si>
  <si>
    <t xml:space="preserve">    21-M - Elektromontáže</t>
  </si>
  <si>
    <t>HZS - Hodinové zúčtovacie sadzby</t>
  </si>
  <si>
    <t>113107132.S</t>
  </si>
  <si>
    <t>Odstránenie krytu v ploche do 200 m2 z betónu prostého, hr. vrstvy 150 do 300 mm,  -0,50000t</t>
  </si>
  <si>
    <t>-956508945</t>
  </si>
  <si>
    <t>113107142.S</t>
  </si>
  <si>
    <t>Odstránenie krytu asfaltového v ploche do 200 m2, hr. nad 50 do 100 mm,  -0,25000t</t>
  </si>
  <si>
    <t>-1801715323</t>
  </si>
  <si>
    <t>113107144.S</t>
  </si>
  <si>
    <t>Odstránenie krytu asfaltového v ploche do 200 m2, hr. nad 150 do 200 mm,  -0,50000t</t>
  </si>
  <si>
    <t>-588740602</t>
  </si>
  <si>
    <t>Vodorovné premiestnenie výkopku pre cesty po spevnenej ceste z horniny tr.1-4  do 1000 m3 na vzdialenosť do 3000 m 70,55 x 0,3</t>
  </si>
  <si>
    <t>355486120</t>
  </si>
  <si>
    <t>Vodorovné premiestnenie výkopku pre cesty po spevnenej ceste z horniny tr.1-4 do 1000 m3, príplatok k cene za každých ďalšich a začatých 1000 m 21,16x20</t>
  </si>
  <si>
    <t>1537976964</t>
  </si>
  <si>
    <t>-1982339429</t>
  </si>
  <si>
    <t>34253130</t>
  </si>
  <si>
    <t>274313721.S</t>
  </si>
  <si>
    <t>Betónovanie základových pásov, betón prostý</t>
  </si>
  <si>
    <t>-1253093530</t>
  </si>
  <si>
    <t>589310003600.S</t>
  </si>
  <si>
    <t>Betón STN EN 206-1-C 16/20-XC1 (SK)-Cl 0,4-Dmax 22 - S2 z cementu portlandského</t>
  </si>
  <si>
    <t>-634179990</t>
  </si>
  <si>
    <t>275313611.S</t>
  </si>
  <si>
    <t>Betón základových pätiek, prostý tr. C 16/20</t>
  </si>
  <si>
    <t>1679514546</t>
  </si>
  <si>
    <t>589310003700.S</t>
  </si>
  <si>
    <t>Betón STN EN 206-1-C 16/20-XC1 (SK)-Dmax 22 - S3 z cementu portlandského</t>
  </si>
  <si>
    <t>-767318511</t>
  </si>
  <si>
    <t>275351217.S</t>
  </si>
  <si>
    <t>Debnenie stien základových pätiek, zhotovenie-tradičné</t>
  </si>
  <si>
    <t>-1393134391</t>
  </si>
  <si>
    <t>275351218.S</t>
  </si>
  <si>
    <t>Debnenie stien základových pätiek, odstránenie-tradičné</t>
  </si>
  <si>
    <t>-1298927313</t>
  </si>
  <si>
    <t>388795221.S_P</t>
  </si>
  <si>
    <t>Ukladanie optickej chráničky 1x HDPE 40/34 mm + 7x10/8 mm</t>
  </si>
  <si>
    <t>627674614</t>
  </si>
  <si>
    <t>286130068100.S_P</t>
  </si>
  <si>
    <t>Multichránička optického kábla, oranžová na bubne, HDPE 40/34+7x10/8 mm</t>
  </si>
  <si>
    <t>-1420717597</t>
  </si>
  <si>
    <t>388793009p1</t>
  </si>
  <si>
    <t xml:space="preserve">Kontrola tlaku tesnosti pred pokladkou  </t>
  </si>
  <si>
    <t>úsek</t>
  </si>
  <si>
    <t>-2085278285</t>
  </si>
  <si>
    <t>388793009P2</t>
  </si>
  <si>
    <t xml:space="preserve">Kontrola tlaku tesnosti po pokladke  </t>
  </si>
  <si>
    <t>-1207564386</t>
  </si>
  <si>
    <t>-6729556</t>
  </si>
  <si>
    <t>Ponuka_9</t>
  </si>
  <si>
    <t>Priama spojka pre mikrotrubičku 10/8mm</t>
  </si>
  <si>
    <t>512</t>
  </si>
  <si>
    <t>-466985126</t>
  </si>
  <si>
    <t>Montáž rovnej spojky MATRIX</t>
  </si>
  <si>
    <t>-1995981814</t>
  </si>
  <si>
    <t>Ponuka_8</t>
  </si>
  <si>
    <t>Mechanická spojka priebežná MATRIX I  pre HDPE 40 mm s mikrotrubičkami</t>
  </si>
  <si>
    <t>36680179</t>
  </si>
  <si>
    <t>388796012.S</t>
  </si>
  <si>
    <t>Montáž koncovky Jackmoon na rúrku HDPE do 40 mm</t>
  </si>
  <si>
    <t>-1516436698</t>
  </si>
  <si>
    <t>Ponuka_7</t>
  </si>
  <si>
    <t>Koncovka (záslepka) pre HDPE 40 mm</t>
  </si>
  <si>
    <t>-1715230975</t>
  </si>
  <si>
    <t>898170002.S</t>
  </si>
  <si>
    <t>Osadenie káblovej komory podzemné pre silové a optické káble z PE, DN 80 s PE poklopom</t>
  </si>
  <si>
    <t>-1398451646</t>
  </si>
  <si>
    <t>Ponuka_4</t>
  </si>
  <si>
    <t>Káblová šachta plastová KS 63/80 bez poklopu</t>
  </si>
  <si>
    <t>-521444977</t>
  </si>
  <si>
    <t>Ponuka_6</t>
  </si>
  <si>
    <t>Vodotesný poklop s tesnením, pochôdzí -LGH 63 DD - PE</t>
  </si>
  <si>
    <t>-187689158</t>
  </si>
  <si>
    <t>919735115.S</t>
  </si>
  <si>
    <t>Rezanie existujúceho asfaltového krytu alebo podkladu hĺbky nad 200 do 250 mm</t>
  </si>
  <si>
    <t>-2066007457</t>
  </si>
  <si>
    <t>919735126.S</t>
  </si>
  <si>
    <t>Rezanie existujúceho betónového krytu alebo podkladu hĺbky nad 250 do 300 mm</t>
  </si>
  <si>
    <t>-496324096</t>
  </si>
  <si>
    <t>57599363</t>
  </si>
  <si>
    <t>Odvoz sutiny a vybúraných hmôt na skládku do 1 km 15,59+7,65</t>
  </si>
  <si>
    <t>-972173276</t>
  </si>
  <si>
    <t>-831695924</t>
  </si>
  <si>
    <t>2074737113</t>
  </si>
  <si>
    <t>-368219078</t>
  </si>
  <si>
    <t>2110474302</t>
  </si>
  <si>
    <t>Odvoz sutiny a vybúraných hmôt na skládku za každý ďalší 1 km (22km) 23,24x 22</t>
  </si>
  <si>
    <t>-359065345</t>
  </si>
  <si>
    <t>1497942070</t>
  </si>
  <si>
    <t>Poplatok za skládku-bitumenové zmesi (17 03 02) ostatne 25,5 x 0,3</t>
  </si>
  <si>
    <t>1247808892</t>
  </si>
  <si>
    <t>998225311.S</t>
  </si>
  <si>
    <t>Presun hmôt pre opravy a údržbu komunikácií a letísk s krytom asfaltovým alebo betónovým</t>
  </si>
  <si>
    <t>-424137541</t>
  </si>
  <si>
    <t>998225394.S</t>
  </si>
  <si>
    <t>Príplatok za zväčšený presun pre opravy a údržbu komunikácií a letísk s krytom asfaltovým alebo betónovým nad vymedzenú najväčšiu dopravnú vzdialenosť do 5000 m</t>
  </si>
  <si>
    <t>1682691561</t>
  </si>
  <si>
    <t>998225395.S</t>
  </si>
  <si>
    <t>Príplatok pre opravy a údržbu komunikácií a letísk s krytom asfaltovým alebo betónovým za každých ďalších 5000 m nad 5000 m</t>
  </si>
  <si>
    <t>-1102270744</t>
  </si>
  <si>
    <t>783151115.S</t>
  </si>
  <si>
    <t>Nátery oceľ.konštr. epoxidové ťažkých A jednonás. 2x s emailovaním - 105μm</t>
  </si>
  <si>
    <t>-1930805667</t>
  </si>
  <si>
    <t>246220000100_P</t>
  </si>
  <si>
    <t>Farba epoxidová - Epoxid mastik vysokosušinový</t>
  </si>
  <si>
    <t>2089635955</t>
  </si>
  <si>
    <t>783172517.S_P</t>
  </si>
  <si>
    <t>Nátery oceľ.konštr. polyuretánové ťažkých A základný.- 80μm</t>
  </si>
  <si>
    <t>1489400810</t>
  </si>
  <si>
    <t>246230000100_P</t>
  </si>
  <si>
    <t>Farba polyuretánová - RAL 7016</t>
  </si>
  <si>
    <t>949797160</t>
  </si>
  <si>
    <t>783897027</t>
  </si>
  <si>
    <t>Antiplagátový Antigraffiti PCS náter, permanentná ochrana povrchu pred chemikáliami</t>
  </si>
  <si>
    <t>-318057989</t>
  </si>
  <si>
    <t>246810000200</t>
  </si>
  <si>
    <t>Antigraffity náter PCS s obsahom nano častíc kremíka, NANOTRADE</t>
  </si>
  <si>
    <t>1985372282</t>
  </si>
  <si>
    <t>21-M</t>
  </si>
  <si>
    <t>Elektromontáže</t>
  </si>
  <si>
    <t>210010151.S</t>
  </si>
  <si>
    <t>Rúrka ohybná elektroinštalačná z HDPE, D 63 uložená pevne</t>
  </si>
  <si>
    <t>-91614698</t>
  </si>
  <si>
    <t>286530129800.S</t>
  </si>
  <si>
    <t>Spojka nasúvacia 02063 pre korudované elektroinštal. rúrky z HDPE, D 63 mm</t>
  </si>
  <si>
    <t>-1380231154</t>
  </si>
  <si>
    <t>345710005700.S</t>
  </si>
  <si>
    <t>Rúrka ohybná 09063 dvojplášťová korugovaná z HDPE, bezhalogénová, D 63 mm</t>
  </si>
  <si>
    <t>-281120254</t>
  </si>
  <si>
    <t>210010154.S</t>
  </si>
  <si>
    <t>Rúrka ohybná elektroinštalačná z HDPE, D 110 uložená pevne</t>
  </si>
  <si>
    <t>-2006450023</t>
  </si>
  <si>
    <t>345710006000</t>
  </si>
  <si>
    <t>Rúrka ohybná dvojplášťová HDPE, KOPOFLEX BA KF 09110 BA, D 110, KOPOS</t>
  </si>
  <si>
    <t>992320947</t>
  </si>
  <si>
    <t>210100003.S</t>
  </si>
  <si>
    <t>Ukončenie vodičov v rozvádzač. vrátane zapojenia a vodičovej koncovky do 16 mm2</t>
  </si>
  <si>
    <t>384119008</t>
  </si>
  <si>
    <t>354310018500.S</t>
  </si>
  <si>
    <t>Káblové oko medené lisovacie CU 10x10 KU-L</t>
  </si>
  <si>
    <t>1882669605</t>
  </si>
  <si>
    <t>210101361.S</t>
  </si>
  <si>
    <t>NN koncovky pre 3 a 4-žilové káble s plastovou a papierovou izoláciou do 1 kV (4-35 mm2), pre vonkajšie práce</t>
  </si>
  <si>
    <t>-90047207</t>
  </si>
  <si>
    <t>345810005300.S</t>
  </si>
  <si>
    <t>Koncovka NN s polymérovou izoláciou EPKT 0015 4-35</t>
  </si>
  <si>
    <t>-952444269</t>
  </si>
  <si>
    <t>210190071.S-D</t>
  </si>
  <si>
    <t>Demontáž rozvádzača nedeliteľného do váhy 500 kg</t>
  </si>
  <si>
    <t>-373820797</t>
  </si>
  <si>
    <t>210190071.S</t>
  </si>
  <si>
    <t>Montáž rozvádzača nedeliteľného do váhy 500 kg</t>
  </si>
  <si>
    <t>1313077103</t>
  </si>
  <si>
    <t>357120005500_P5-1V</t>
  </si>
  <si>
    <t>RVO 5-1 Výzbroj na montážnom panely 695x900x6 ELSTA- MOSDORFER + 1x nespínaný istený 3f vývod</t>
  </si>
  <si>
    <t>-920534552</t>
  </si>
  <si>
    <t>210194001.S</t>
  </si>
  <si>
    <t>Rozpájacia a istiaca plastová skriňa pilierová - typ SR 1 pre vonkajšie práce</t>
  </si>
  <si>
    <t>1739654786</t>
  </si>
  <si>
    <t>357110000300.S_P</t>
  </si>
  <si>
    <t>Skriňa rozpájacia a istiaca, plastová, pilierová SR 1, IPS, vrátane vnútorného vybavenia</t>
  </si>
  <si>
    <t>1200910939</t>
  </si>
  <si>
    <t>210201810.S</t>
  </si>
  <si>
    <t>Montáž a zapojenie svietidla 1x svetelný zdroj, uličného, LED</t>
  </si>
  <si>
    <t>-2036987873</t>
  </si>
  <si>
    <t>348370001602.S_P1</t>
  </si>
  <si>
    <t>LED svietidlo uličné Philips BGP281 LED-HB-4S/730 DW10, L3-2,2K 20LED, 3802lm, 24W</t>
  </si>
  <si>
    <t>-155732699</t>
  </si>
  <si>
    <t>348370001602.S_P2</t>
  </si>
  <si>
    <t>LED svietidlo uličné Philips BGP282 LED-HB/730 I DM32DM52, L2-2,2K 40LED, 7504lm, 47,5W</t>
  </si>
  <si>
    <t>-951869279</t>
  </si>
  <si>
    <t>348370001602.S_P3</t>
  </si>
  <si>
    <t>LED svietidlo uličné Philips BGP282 LED-HB-4S/740 I DPR1, LPR-4K 40LED, 13327lm, 84W</t>
  </si>
  <si>
    <t>1249870797</t>
  </si>
  <si>
    <t>210201810.S-D</t>
  </si>
  <si>
    <t>Demontáž a zapojenie svietidla 1x svetelný zdroj, uličného, LED</t>
  </si>
  <si>
    <t>1875266981</t>
  </si>
  <si>
    <t>210204011.S</t>
  </si>
  <si>
    <t>Osvetľovací stožiar - oceľový do dĺžky 12 m</t>
  </si>
  <si>
    <t>-219042382</t>
  </si>
  <si>
    <t>316740001300.S_P1</t>
  </si>
  <si>
    <t>Stožiar ST260/76 cestný, oceľový - rúrkový, trojstupňový, výška 6 m, žiarovo zinkovaný s náterom vo výrobni</t>
  </si>
  <si>
    <t>21251745</t>
  </si>
  <si>
    <t>316740001400.S_P2</t>
  </si>
  <si>
    <t>Stožiar ST280/76 cestný, oceľový - rúrkový, trojstupňový, výška 8 m, žiarovo zinkovaný s náterom vo výrobni</t>
  </si>
  <si>
    <t>547976690</t>
  </si>
  <si>
    <t>316740001400.S_P8</t>
  </si>
  <si>
    <t>Stožiar S-80PC-4/Ø70-PS cestný, prírubový, oceľový - kónický, s prvkami pasívnej bezpečnosti (STN EN 12767 kategórie NE), výška 8 m, žiarovo zinkovaný s náterom RAL 7016, vrátane spodného dielu a prefabrikovaného betónového základu F150PS-NE</t>
  </si>
  <si>
    <t>5636914</t>
  </si>
  <si>
    <t>210204011.S-D</t>
  </si>
  <si>
    <t>Demontáž - Osvetľovací stožiar - oceľový do dĺžky 12 m</t>
  </si>
  <si>
    <t>-1711960148</t>
  </si>
  <si>
    <t>210204103.S</t>
  </si>
  <si>
    <t>Výložník oceľový jednoramenný - do hmotn. 35 kg</t>
  </si>
  <si>
    <t>-1064964759</t>
  </si>
  <si>
    <t>316770000900_P1</t>
  </si>
  <si>
    <t>Výložník V1T-S-05-D zinkový jednoramenný strmeňový, vyloženie 0,5 m</t>
  </si>
  <si>
    <t>-543647570</t>
  </si>
  <si>
    <t>316770001000.S</t>
  </si>
  <si>
    <t>Výložník jednoramenný oceľový zinkový, vyloženie 1,5 m, d 76 mm</t>
  </si>
  <si>
    <t>629805590</t>
  </si>
  <si>
    <t>210204202.S</t>
  </si>
  <si>
    <t>Elektrovýstroj stožiara 2 okruhy</t>
  </si>
  <si>
    <t>114993446</t>
  </si>
  <si>
    <t>EXX000000001_P</t>
  </si>
  <si>
    <t xml:space="preserve">Svorkovnica GURO EKM-2050-2D1-4S/C </t>
  </si>
  <si>
    <t>987298012</t>
  </si>
  <si>
    <t>345290008800.S</t>
  </si>
  <si>
    <t>Patrón poistkový 10A</t>
  </si>
  <si>
    <t>-780628659</t>
  </si>
  <si>
    <t>210204202.S-D</t>
  </si>
  <si>
    <t>Demontáž - Elektrovýstroj stožiara 2 okruhy</t>
  </si>
  <si>
    <t>1274742520</t>
  </si>
  <si>
    <t>210220001.S</t>
  </si>
  <si>
    <t>Uzemňovacie vedenie na povrchu FeZn drôt zvodový Ø 8-10</t>
  </si>
  <si>
    <t>-1357093183</t>
  </si>
  <si>
    <t>354410054810.S</t>
  </si>
  <si>
    <t>Drôt bleskozvodový FeZn, d 10 mm, PVC</t>
  </si>
  <si>
    <t>-1042659901</t>
  </si>
  <si>
    <t>210220020</t>
  </si>
  <si>
    <t>Uzemňovacie vedenie v zemi FeZn vrátane izolácie spojov</t>
  </si>
  <si>
    <t>-526078994</t>
  </si>
  <si>
    <t>354410058800.S</t>
  </si>
  <si>
    <t>Pásovina uzemňovacia FeZn 30 x 4 mm</t>
  </si>
  <si>
    <t>-831572535</t>
  </si>
  <si>
    <t>210220243.S</t>
  </si>
  <si>
    <t>Svorka FeZn spojovacia SS</t>
  </si>
  <si>
    <t>-767875813</t>
  </si>
  <si>
    <t>354410003400.S</t>
  </si>
  <si>
    <t>Svorka FeZn spojovacia označenie SS 2 skrutky s príložkou</t>
  </si>
  <si>
    <t>-1844119636</t>
  </si>
  <si>
    <t>210220245.S</t>
  </si>
  <si>
    <t>Svorka FeZn pripojovacia SP</t>
  </si>
  <si>
    <t>-1717820003</t>
  </si>
  <si>
    <t>354410004100.S</t>
  </si>
  <si>
    <t>Svorka FeZn pripájaca označenie SP 2</t>
  </si>
  <si>
    <t>-81973305</t>
  </si>
  <si>
    <t>210800117.S</t>
  </si>
  <si>
    <t>Kábel medený uložený voľne CYKY 450/750 V 4x10</t>
  </si>
  <si>
    <t>-784686275</t>
  </si>
  <si>
    <t>341110001700.S</t>
  </si>
  <si>
    <t>Kábel medený CYKY-J 4x10 mm2</t>
  </si>
  <si>
    <t>1352480709</t>
  </si>
  <si>
    <t>210800118</t>
  </si>
  <si>
    <t>Kábel medený uložený voľne CYKY 450/750 V 4x16</t>
  </si>
  <si>
    <t>-1096210805</t>
  </si>
  <si>
    <t>341110001800.S</t>
  </si>
  <si>
    <t>Kábel medený CYKY 4x16 mm2</t>
  </si>
  <si>
    <t>-1307206353</t>
  </si>
  <si>
    <t>210950201.S</t>
  </si>
  <si>
    <t>Príplatok na zaťahovanie káblov, váha kábla do 0.75 kg</t>
  </si>
  <si>
    <t>1002416250</t>
  </si>
  <si>
    <t>1844309527</t>
  </si>
  <si>
    <t>460200144.S</t>
  </si>
  <si>
    <t>Hĺbenie káblovej ryhy ručne 35 cm širokej a 60 cm hlbokej, v zemine triedy 4</t>
  </si>
  <si>
    <t>246757403</t>
  </si>
  <si>
    <t>460200164.S</t>
  </si>
  <si>
    <t>Hĺbenie káblovej ryhy ručne 35 cm širokej a 80 cm hlbokej, v zemine triedy 4</t>
  </si>
  <si>
    <t>67637033</t>
  </si>
  <si>
    <t>460200304.S</t>
  </si>
  <si>
    <t>Hĺbenie káblovej ryhy ručne 50 cm širokej a 120 cm hlbokej, v zemine triedy 4</t>
  </si>
  <si>
    <t>1723242725</t>
  </si>
  <si>
    <t>460201084.S</t>
  </si>
  <si>
    <t>Hĺbenie káblovej ryhy ručne 100 cm širokej a 120 cm hlbokej, v zemine triedy 4</t>
  </si>
  <si>
    <t>-445187566</t>
  </si>
  <si>
    <t>460420372.S</t>
  </si>
  <si>
    <t>Zriad. káblového lôžka z piesku vrstvy 10 cm, tehlami naprieč kábla na šírku 35 cm</t>
  </si>
  <si>
    <t>35991247</t>
  </si>
  <si>
    <t>583310000100.S</t>
  </si>
  <si>
    <t>Kamenivo ťažené drobné frakcia 0-1 mm</t>
  </si>
  <si>
    <t>220981495</t>
  </si>
  <si>
    <t>460490011.S_P</t>
  </si>
  <si>
    <t>Rozvinutie a uloženie zákrytovej dosky z PVC do ryhy, šírka do 25 cm, hrúbky 2 mm</t>
  </si>
  <si>
    <t>1622526377</t>
  </si>
  <si>
    <t>283230008000_P</t>
  </si>
  <si>
    <t>Výstražná krycia doska PVC, 250x1000x2 mm, farba červená</t>
  </si>
  <si>
    <t>-1496778993</t>
  </si>
  <si>
    <t>460560134.S</t>
  </si>
  <si>
    <t>Ručný zásyp nezap. káblovej ryhy bez zhutn. zeminy, 35 cm širokej, 50 cm hlbokej v zemine tr. 4</t>
  </si>
  <si>
    <t>-1099677944</t>
  </si>
  <si>
    <t>460560154.S</t>
  </si>
  <si>
    <t>Ručný zásyp nezap. káblovej ryhy bez zhutn. zeminy, 35 cm širokej, 70 cm hlbokej v zemine tr. 4</t>
  </si>
  <si>
    <t>-138750399</t>
  </si>
  <si>
    <t>460560274.S</t>
  </si>
  <si>
    <t>Ručný zásyp nezap. káblovej ryhy bez zhutn. zeminy, 50 cm širokej, 90 cm hlkbokej v zemine tr. 4</t>
  </si>
  <si>
    <t>-722091559</t>
  </si>
  <si>
    <t>460561054.S</t>
  </si>
  <si>
    <t>Ručný zásyp nezap. káblovej ryhy bez zhutn. zeminy, 100 cm širokej, 90 cm hlbokej v zemine tr. 4</t>
  </si>
  <si>
    <t>201520466</t>
  </si>
  <si>
    <t>HZS</t>
  </si>
  <si>
    <t>Hodinové zúčtovacie sadzby</t>
  </si>
  <si>
    <t>HZS000212.S</t>
  </si>
  <si>
    <t>Stavebno montážne práce náročnejšie, ucelené, obtiažne, rutinné (Tr. 2) v rozsahu viac ako 4 a menej ako 8 hodín</t>
  </si>
  <si>
    <t>-970883241</t>
  </si>
  <si>
    <t>HZS000213.S</t>
  </si>
  <si>
    <t>Stavebno montážne práce náročné ucelené - odborné, tvorivé remeselné (Tr. 3) v rozsahu viac ako 4 a menej ako 8 hodín</t>
  </si>
  <si>
    <t>769946114</t>
  </si>
  <si>
    <t>HZS000214.S</t>
  </si>
  <si>
    <t>Stavebno montážne práce najnáročnejšie na odbornosť - prehliadky pracoviska a revízie (Tr. 4) v rozsahu viac ako 4 a menej ako 8 hodín</t>
  </si>
  <si>
    <t>-1164511269</t>
  </si>
  <si>
    <t>SO 200.B - Verejné osvetlenie, úsek B</t>
  </si>
  <si>
    <t>-1738135057</t>
  </si>
  <si>
    <t>340983628</t>
  </si>
  <si>
    <t>1972358625</t>
  </si>
  <si>
    <t>Vodorovné premiestnenie výkopku pre cesty po spevnenej ceste z horniny tr.1-4  do 1000 m3 na vzdialenosť do 3000 m 28,11 x 0,3</t>
  </si>
  <si>
    <t>1291869584</t>
  </si>
  <si>
    <t>Vodorovné premiestnenie výkopku pre cesty po spevnenej ceste z horniny tr.1-4 do 1000 m3, príplatok k cene za každých ďalšich a začatých 1000 m 8,43x20</t>
  </si>
  <si>
    <t>922961239</t>
  </si>
  <si>
    <t>2087035190</t>
  </si>
  <si>
    <t>1027757055</t>
  </si>
  <si>
    <t>-736763454</t>
  </si>
  <si>
    <t>-418137293</t>
  </si>
  <si>
    <t>1854452907</t>
  </si>
  <si>
    <t>-1814399020</t>
  </si>
  <si>
    <t>-1918458986</t>
  </si>
  <si>
    <t>-306883972</t>
  </si>
  <si>
    <t>-988039842</t>
  </si>
  <si>
    <t>-1515339965</t>
  </si>
  <si>
    <t>-1770355533</t>
  </si>
  <si>
    <t>1091827029</t>
  </si>
  <si>
    <t>1869285849</t>
  </si>
  <si>
    <t>-2075953094</t>
  </si>
  <si>
    <t>-135432567</t>
  </si>
  <si>
    <t>1654983415</t>
  </si>
  <si>
    <t>570480334</t>
  </si>
  <si>
    <t>-900168531</t>
  </si>
  <si>
    <t>243885460</t>
  </si>
  <si>
    <t>1398430560</t>
  </si>
  <si>
    <t>-2083176906</t>
  </si>
  <si>
    <t>1009343650</t>
  </si>
  <si>
    <t>-1835919121</t>
  </si>
  <si>
    <t>399564583</t>
  </si>
  <si>
    <t>Odvoz sutiny a vybúraných hmôt na skládku do 1 km 6,92+5,7</t>
  </si>
  <si>
    <t>1162423620</t>
  </si>
  <si>
    <t>1373014115</t>
  </si>
  <si>
    <t>-1852765840</t>
  </si>
  <si>
    <t>737885646</t>
  </si>
  <si>
    <t>1209459908</t>
  </si>
  <si>
    <t>Odvoz sutiny a vybúraných hmôt na skládku za každý ďalší 1 km (22km) 12,62 x 22</t>
  </si>
  <si>
    <t>498969574</t>
  </si>
  <si>
    <t>-447040776</t>
  </si>
  <si>
    <t>Poplatok za skládku-bitumenové zmesi (17 03 02) ostatne 18,98 x 0,3</t>
  </si>
  <si>
    <t>1360527564</t>
  </si>
  <si>
    <t>-1241628788</t>
  </si>
  <si>
    <t>1568169936</t>
  </si>
  <si>
    <t>-1262478402</t>
  </si>
  <si>
    <t>-786714663</t>
  </si>
  <si>
    <t>1391572164</t>
  </si>
  <si>
    <t>1822732594</t>
  </si>
  <si>
    <t>-1338077280</t>
  </si>
  <si>
    <t>1174625310</t>
  </si>
  <si>
    <t>528253142</t>
  </si>
  <si>
    <t>-1785218697</t>
  </si>
  <si>
    <t>-251008152</t>
  </si>
  <si>
    <t>1843722423</t>
  </si>
  <si>
    <t>1824786184</t>
  </si>
  <si>
    <t>-388064810</t>
  </si>
  <si>
    <t>-142107192</t>
  </si>
  <si>
    <t>65662281</t>
  </si>
  <si>
    <t>210100009.S</t>
  </si>
  <si>
    <t>Ukončenie vodičov v rozvádzač. vrátane zapojenia a vodičovej koncovky do 120 mm2</t>
  </si>
  <si>
    <t>1298028236</t>
  </si>
  <si>
    <t>354310014100.S</t>
  </si>
  <si>
    <t>Káblové oko hliníkové lisovacie 120 Al 617144</t>
  </si>
  <si>
    <t>1129685815</t>
  </si>
  <si>
    <t>1094654951</t>
  </si>
  <si>
    <t>1602131187</t>
  </si>
  <si>
    <t>210101363.S</t>
  </si>
  <si>
    <t>NN koncovky pre 3 a 4-žilové káble s plastovou a papierovou izoláciou do 1 kV (50-150 mm2), pre vonkajšie práce</t>
  </si>
  <si>
    <t>1938211500</t>
  </si>
  <si>
    <t>345810005500.S</t>
  </si>
  <si>
    <t>Koncovka NN s polymérovou izoláciou EPKT 0047 70-150</t>
  </si>
  <si>
    <t>510535410</t>
  </si>
  <si>
    <t>-258901545</t>
  </si>
  <si>
    <t>357120005500_P5-1</t>
  </si>
  <si>
    <t>RVO 5-1 Skriňa: ELSTA- MOSDORFER 1080x785x320 + zemný diel. RAL 7032.+ 1x nespínaný istený 3f vývod</t>
  </si>
  <si>
    <t>706628399</t>
  </si>
  <si>
    <t>-692115274</t>
  </si>
  <si>
    <t>1534312543</t>
  </si>
  <si>
    <t>2078193653</t>
  </si>
  <si>
    <t>2060243523</t>
  </si>
  <si>
    <t>-1202039582</t>
  </si>
  <si>
    <t>-1907609272</t>
  </si>
  <si>
    <t>2099470741</t>
  </si>
  <si>
    <t>115618927</t>
  </si>
  <si>
    <t>1375129766</t>
  </si>
  <si>
    <t>-1914536665</t>
  </si>
  <si>
    <t>-1963453656</t>
  </si>
  <si>
    <t>1461396835</t>
  </si>
  <si>
    <t>623970516</t>
  </si>
  <si>
    <t>-1420333183</t>
  </si>
  <si>
    <t>1541666325</t>
  </si>
  <si>
    <t>-2055836576</t>
  </si>
  <si>
    <t>-1176356986</t>
  </si>
  <si>
    <t>-1640669576</t>
  </si>
  <si>
    <t>66699219</t>
  </si>
  <si>
    <t>-1892357575</t>
  </si>
  <si>
    <t>598886075</t>
  </si>
  <si>
    <t>210950202.S</t>
  </si>
  <si>
    <t>Príplatok na zaťahovanie káblov, váha kábla do 2 kg</t>
  </si>
  <si>
    <t>1739230729</t>
  </si>
  <si>
    <t>-25630781</t>
  </si>
  <si>
    <t>977090206</t>
  </si>
  <si>
    <t>1857104100</t>
  </si>
  <si>
    <t>460200244.S</t>
  </si>
  <si>
    <t>Hĺbenie káblovej ryhy ručne 50 cm širokej a 60 cm hlbokej, v zemine triedy 4</t>
  </si>
  <si>
    <t>-1211459538</t>
  </si>
  <si>
    <t>1091723330</t>
  </si>
  <si>
    <t>-1044668079</t>
  </si>
  <si>
    <t>-816028602</t>
  </si>
  <si>
    <t>663208198</t>
  </si>
  <si>
    <t>1496325412</t>
  </si>
  <si>
    <t>1737889900</t>
  </si>
  <si>
    <t>1047907914</t>
  </si>
  <si>
    <t>460560234.S</t>
  </si>
  <si>
    <t>Ručný zásyp nezap. káblovej ryhy bez zhutn. zeminy, 50 cm širokej, 50 cm hlbokej v zemine tr. 4</t>
  </si>
  <si>
    <t>993877248</t>
  </si>
  <si>
    <t>-1071243440</t>
  </si>
  <si>
    <t>460600001.S</t>
  </si>
  <si>
    <t>Naloženie zeminy, odvoz do 1 km a zloženie na skládke a jazda späť</t>
  </si>
  <si>
    <t>864123457</t>
  </si>
  <si>
    <t>460600002.S</t>
  </si>
  <si>
    <t>Príplatok za odvoz zeminy za každý ďalší km a jazda späť</t>
  </si>
  <si>
    <t>-1156879189</t>
  </si>
  <si>
    <t>-1539455323</t>
  </si>
  <si>
    <t>174437650</t>
  </si>
  <si>
    <t>1680706544</t>
  </si>
  <si>
    <t>SO 200.C - Verejné osvetlenie, úsek C</t>
  </si>
  <si>
    <t>-24148191</t>
  </si>
  <si>
    <t>1745209941</t>
  </si>
  <si>
    <t>216689310</t>
  </si>
  <si>
    <t>Vodorovné premiestnenie výkopku pre cesty po spevnenej ceste z horniny tr.1-4  do 1000 m3 na vzdialenosť do 3000 m 50.38 x 0,3</t>
  </si>
  <si>
    <t>57361440</t>
  </si>
  <si>
    <t>Vodorovné premiestnenie výkopku pre cesty po spevnenej ceste z horniny tr.1-4 do 1000 m3, príplatok k cene za každých ďalšich a začatých 1000 m 15,12x20</t>
  </si>
  <si>
    <t>-367548968</t>
  </si>
  <si>
    <t>-1681303738</t>
  </si>
  <si>
    <t>-366380361</t>
  </si>
  <si>
    <t>Obetónovanie kábelového prestupu, betón prostý</t>
  </si>
  <si>
    <t>-32875414</t>
  </si>
  <si>
    <t>302852119</t>
  </si>
  <si>
    <t>1666557319</t>
  </si>
  <si>
    <t>-1816948327</t>
  </si>
  <si>
    <t>-1776721987</t>
  </si>
  <si>
    <t>1785361100</t>
  </si>
  <si>
    <t>-2003051890</t>
  </si>
  <si>
    <t>-1325625000</t>
  </si>
  <si>
    <t>-1968300949</t>
  </si>
  <si>
    <t>459133828</t>
  </si>
  <si>
    <t>-1113171248</t>
  </si>
  <si>
    <t>-27342365</t>
  </si>
  <si>
    <t>867439234</t>
  </si>
  <si>
    <t>-662217177</t>
  </si>
  <si>
    <t>-1011873588</t>
  </si>
  <si>
    <t>-1999218886</t>
  </si>
  <si>
    <t>948868176</t>
  </si>
  <si>
    <t>286306629</t>
  </si>
  <si>
    <t>-541202889</t>
  </si>
  <si>
    <t>-340190991</t>
  </si>
  <si>
    <t>-292486202</t>
  </si>
  <si>
    <t>1308794447</t>
  </si>
  <si>
    <t>Odvoz sutiny a vybúraných hmôt na skládku do 1 km 10,7+16,03</t>
  </si>
  <si>
    <t>-1173828642</t>
  </si>
  <si>
    <t>-149507129</t>
  </si>
  <si>
    <t>816154561</t>
  </si>
  <si>
    <t>399614853</t>
  </si>
  <si>
    <t>-762976098</t>
  </si>
  <si>
    <t>Odvoz sutiny a vybúraných hmôt na skládku za každý ďalší 1 km (22km) 26,73 x 22</t>
  </si>
  <si>
    <t>311170963</t>
  </si>
  <si>
    <t>2143801060</t>
  </si>
  <si>
    <t>739214069</t>
  </si>
  <si>
    <t>1380699670</t>
  </si>
  <si>
    <t>-682150574</t>
  </si>
  <si>
    <t>-66212829</t>
  </si>
  <si>
    <t>1844298050</t>
  </si>
  <si>
    <t>151649013</t>
  </si>
  <si>
    <t>1009555539</t>
  </si>
  <si>
    <t>-1493152382</t>
  </si>
  <si>
    <t>2043223061</t>
  </si>
  <si>
    <t>13024378</t>
  </si>
  <si>
    <t>-1311299543</t>
  </si>
  <si>
    <t>-812485025</t>
  </si>
  <si>
    <t>-1401475666</t>
  </si>
  <si>
    <t>2045564304</t>
  </si>
  <si>
    <t>1552513925</t>
  </si>
  <si>
    <t>210010601.S</t>
  </si>
  <si>
    <t>Chránička delená elektroinštalačná bezhalogénová z HDPE, D 110 uložená voľne</t>
  </si>
  <si>
    <t>248838447</t>
  </si>
  <si>
    <t>286130071700.S</t>
  </si>
  <si>
    <t>Chránička delená DN 110, HDPE</t>
  </si>
  <si>
    <t>1401804603</t>
  </si>
  <si>
    <t>-918242736</t>
  </si>
  <si>
    <t>683733730</t>
  </si>
  <si>
    <t>451815001</t>
  </si>
  <si>
    <t>1326345730</t>
  </si>
  <si>
    <t>-275685105</t>
  </si>
  <si>
    <t>22680330</t>
  </si>
  <si>
    <t>1279263303</t>
  </si>
  <si>
    <t>-1487729953</t>
  </si>
  <si>
    <t>-272716408</t>
  </si>
  <si>
    <t>1351533097</t>
  </si>
  <si>
    <t>207051427</t>
  </si>
  <si>
    <t>956918468</t>
  </si>
  <si>
    <t>1265403697</t>
  </si>
  <si>
    <t>-1003194839</t>
  </si>
  <si>
    <t>467515240</t>
  </si>
  <si>
    <t>1780986289</t>
  </si>
  <si>
    <t>840930153</t>
  </si>
  <si>
    <t>-1350894249</t>
  </si>
  <si>
    <t>-185146792</t>
  </si>
  <si>
    <t>-249283911</t>
  </si>
  <si>
    <t>-504484355</t>
  </si>
  <si>
    <t>-959162911</t>
  </si>
  <si>
    <t>1040760846</t>
  </si>
  <si>
    <t>-163619367</t>
  </si>
  <si>
    <t>-1176747490</t>
  </si>
  <si>
    <t>-1874406586</t>
  </si>
  <si>
    <t>843288527</t>
  </si>
  <si>
    <t>-985762645</t>
  </si>
  <si>
    <t>-1474698911</t>
  </si>
  <si>
    <t>1150533793</t>
  </si>
  <si>
    <t>-480902607</t>
  </si>
  <si>
    <t>-147671142</t>
  </si>
  <si>
    <t>356110190</t>
  </si>
  <si>
    <t>460200684.S_P</t>
  </si>
  <si>
    <t>Hĺbenie káblovej ryhy ručne 65 cm širokej a 130 cm hlbokej, v zemine triedy 4</t>
  </si>
  <si>
    <t>1869708075</t>
  </si>
  <si>
    <t>460200884.S_P</t>
  </si>
  <si>
    <t>Hĺbenie káblovej ryhy ručne 85 cm širokej a 120 cm hlbokej, v zemine triedy 4</t>
  </si>
  <si>
    <t>-1956720569</t>
  </si>
  <si>
    <t>1599598872</t>
  </si>
  <si>
    <t>188136344</t>
  </si>
  <si>
    <t>-782829760</t>
  </si>
  <si>
    <t>-1879134640</t>
  </si>
  <si>
    <t>-1877424725</t>
  </si>
  <si>
    <t>-1292426020</t>
  </si>
  <si>
    <t>460560684.S_P</t>
  </si>
  <si>
    <t>Ručný zásyp nezap. káblovej ryhy bez zhutn. zeminy, 65 cm širokej, 130 cm hlbokej v zemine tr. 4</t>
  </si>
  <si>
    <t>-1966505415</t>
  </si>
  <si>
    <t>460560854.S_P</t>
  </si>
  <si>
    <t>Ručný zásyp nezap. káblovej ryhy bez zhutn. zeminy, 85 cm širokej, 90 cm hlbokej v zemine tr. 4</t>
  </si>
  <si>
    <t>1004551255</t>
  </si>
  <si>
    <t>579848168</t>
  </si>
  <si>
    <t>425246161</t>
  </si>
  <si>
    <t>-107593213</t>
  </si>
  <si>
    <t>1991476877</t>
  </si>
  <si>
    <t>158402510</t>
  </si>
  <si>
    <t>SO 200.D - Verejné osvetlenie, úsek D</t>
  </si>
  <si>
    <t>-2061429028</t>
  </si>
  <si>
    <t>-1276310090</t>
  </si>
  <si>
    <t>-26701806</t>
  </si>
  <si>
    <t>Vodorovné premiestnenie výkopku pre cesty po spevnenej ceste z horniny tr.1-4  do 1000 m3 na vzdialenosť do 3000 m  x 0,3</t>
  </si>
  <si>
    <t>604903219</t>
  </si>
  <si>
    <t>Vodorovné premiestnenie výkopku pre cesty po spevnenej ceste z horniny tr.1-4 do 1000 m3, príplatok k cene za každých ďalšich a začatých 1000 m 7,77x20</t>
  </si>
  <si>
    <t>1425881306</t>
  </si>
  <si>
    <t>-642416759</t>
  </si>
  <si>
    <t>-292872906</t>
  </si>
  <si>
    <t>2141011532</t>
  </si>
  <si>
    <t>351412311</t>
  </si>
  <si>
    <t>1304646871</t>
  </si>
  <si>
    <t>504171454</t>
  </si>
  <si>
    <t>1992835478</t>
  </si>
  <si>
    <t>272074497</t>
  </si>
  <si>
    <t>573364579</t>
  </si>
  <si>
    <t>205121238</t>
  </si>
  <si>
    <t>1249379867</t>
  </si>
  <si>
    <t>-1295352319</t>
  </si>
  <si>
    <t>-112881483</t>
  </si>
  <si>
    <t>2130162366</t>
  </si>
  <si>
    <t>-580502794</t>
  </si>
  <si>
    <t>-1608494548</t>
  </si>
  <si>
    <t>1852632704</t>
  </si>
  <si>
    <t>-1251409865</t>
  </si>
  <si>
    <t>-895863278</t>
  </si>
  <si>
    <t>938275751</t>
  </si>
  <si>
    <t>702154316</t>
  </si>
  <si>
    <t>-6504206</t>
  </si>
  <si>
    <t>682437999</t>
  </si>
  <si>
    <t>610380495</t>
  </si>
  <si>
    <t>Odvoz sutiny a vybúraných hmôt na skládku do 1 km 10,35+2,82</t>
  </si>
  <si>
    <t>1061536060</t>
  </si>
  <si>
    <t>-875138801</t>
  </si>
  <si>
    <t>-1957907624</t>
  </si>
  <si>
    <t>-1822356581</t>
  </si>
  <si>
    <t>805626768</t>
  </si>
  <si>
    <t>Odvoz sutiny a vybúraných hmôt na skládku za každý ďalší 1 km (22km) 13,17x 22</t>
  </si>
  <si>
    <t>2146654781</t>
  </si>
  <si>
    <t>-1996194395</t>
  </si>
  <si>
    <t>Poplatok za skládku-bitumenové zmesi (17 03 02) ostatne 9,40 x 0,3</t>
  </si>
  <si>
    <t>1217477870</t>
  </si>
  <si>
    <t>-1789605339</t>
  </si>
  <si>
    <t>918057080</t>
  </si>
  <si>
    <t>-420280503</t>
  </si>
  <si>
    <t>250871096</t>
  </si>
  <si>
    <t>-2012694414</t>
  </si>
  <si>
    <t>-783295524</t>
  </si>
  <si>
    <t>-1202232542</t>
  </si>
  <si>
    <t>-1762578611</t>
  </si>
  <si>
    <t>-2000082914</t>
  </si>
  <si>
    <t>-2053410357</t>
  </si>
  <si>
    <t>2121868429</t>
  </si>
  <si>
    <t>1239838206</t>
  </si>
  <si>
    <t>-1729484919</t>
  </si>
  <si>
    <t>913485217</t>
  </si>
  <si>
    <t>-1957397917</t>
  </si>
  <si>
    <t>-1894443142</t>
  </si>
  <si>
    <t>-936714277</t>
  </si>
  <si>
    <t>-1657593873</t>
  </si>
  <si>
    <t>-804468197</t>
  </si>
  <si>
    <t>1714490813</t>
  </si>
  <si>
    <t>460402784</t>
  </si>
  <si>
    <t>-1081713080</t>
  </si>
  <si>
    <t>-1412357338</t>
  </si>
  <si>
    <t>-1826604957</t>
  </si>
  <si>
    <t>591200805</t>
  </si>
  <si>
    <t>357120005500_P4</t>
  </si>
  <si>
    <t>RVO 4 Skriňa: ELSTA- MOSDORFER 1080x785x320 + zemný diel. RAL 7032.</t>
  </si>
  <si>
    <t>-728651466</t>
  </si>
  <si>
    <t>1923048274</t>
  </si>
  <si>
    <t>986971314</t>
  </si>
  <si>
    <t>-2113500027</t>
  </si>
  <si>
    <t>1970949611</t>
  </si>
  <si>
    <t>996320853</t>
  </si>
  <si>
    <t>-282412834</t>
  </si>
  <si>
    <t>2132888553</t>
  </si>
  <si>
    <t>231902437</t>
  </si>
  <si>
    <t>-1622150204</t>
  </si>
  <si>
    <t>-284346776</t>
  </si>
  <si>
    <t>-308950711</t>
  </si>
  <si>
    <t>-1601203643</t>
  </si>
  <si>
    <t>2050041630</t>
  </si>
  <si>
    <t>-1240716791</t>
  </si>
  <si>
    <t>1382547623</t>
  </si>
  <si>
    <t>-1059830346</t>
  </si>
  <si>
    <t>-110406659</t>
  </si>
  <si>
    <t>-146800443</t>
  </si>
  <si>
    <t>-1099611864</t>
  </si>
  <si>
    <t>2043909406</t>
  </si>
  <si>
    <t>2079106193</t>
  </si>
  <si>
    <t>-889405770</t>
  </si>
  <si>
    <t>1177491826</t>
  </si>
  <si>
    <t>779853802</t>
  </si>
  <si>
    <t>1456744505</t>
  </si>
  <si>
    <t>1696579933</t>
  </si>
  <si>
    <t>518703960</t>
  </si>
  <si>
    <t>1417050039</t>
  </si>
  <si>
    <t>-915521335</t>
  </si>
  <si>
    <t>842401937</t>
  </si>
  <si>
    <t>-1910309926</t>
  </si>
  <si>
    <t>1024742977</t>
  </si>
  <si>
    <t>1608589882</t>
  </si>
  <si>
    <t>1134508823</t>
  </si>
  <si>
    <t>-1765602723</t>
  </si>
  <si>
    <t>1636325125</t>
  </si>
  <si>
    <t>{b1fc2989-c1cf-4bac-8e63-c28d6d9a4027}</t>
  </si>
  <si>
    <t>004</t>
  </si>
  <si>
    <t>Cyklotrasa - Devín_F</t>
  </si>
  <si>
    <t>100.5</t>
  </si>
  <si>
    <t>SO 101.5 Úprava komunikácie - Devínska cesta, úsek F</t>
  </si>
  <si>
    <t>{8fbd9a5c-7f86-4bff-bd7a-bdc0ecca7462}</t>
  </si>
  <si>
    <t>023</t>
  </si>
  <si>
    <t>VRN - úsek F</t>
  </si>
  <si>
    <t>{e07f28f9-21a4-46d6-bdca-3a6ec32691b3}</t>
  </si>
  <si>
    <t>102.5</t>
  </si>
  <si>
    <t>SO 102.5 OM - úsek F</t>
  </si>
  <si>
    <t>{d4e7da01-7460-45bd-850b-d1a0e53ec1bb}</t>
  </si>
  <si>
    <t>200-SO 200.F</t>
  </si>
  <si>
    <t>Verejné osvetlenie, úsek F</t>
  </si>
  <si>
    <t>{12c238ba-8be5-4a06-8064-cc1afbb54ba7}</t>
  </si>
  <si>
    <t>401-F</t>
  </si>
  <si>
    <t>SO 401  Preložka telekomunikačných vedení Slovak Telekom a.s., úsek F</t>
  </si>
  <si>
    <t>{490f484d-8b35-4753-8d77-7c1c3ff5df37}</t>
  </si>
  <si>
    <t>402-F</t>
  </si>
  <si>
    <t>SO 402  Preložka telekomunikačných vedení UPC s.r.o., úsek F</t>
  </si>
  <si>
    <t>{68da6052-1829-4996-8f17-1aeab7c40ac6}</t>
  </si>
  <si>
    <t>100.5 - SO 101.5 Úprava komunikácie - Devínska cesta, úsek F</t>
  </si>
  <si>
    <t>Rozoberanie dlažby, z betónových alebo kameninových dlaždíc, dosiek alebo tvaroviek ručne,  -0,13800t (30+15 predláždenie)</t>
  </si>
  <si>
    <t>147244809</t>
  </si>
  <si>
    <t>Vodorovné premiestnenie výkopku pre cesty po spevnenej ceste z horniny tr.1-4  do 1000 m3 na vzdialenosť do 3000 m (296+328)</t>
  </si>
  <si>
    <t>Vodorovné premiestnenie výkopku pre cesty po spevnenej ceste z horniny tr.1-4 do 1000 m3, príplatok k cene za každých ďalšich a začatých 1000 m 624x20</t>
  </si>
  <si>
    <t>Založenie trávnika parkového výsevom v rovine do 1:5 (672+1012)</t>
  </si>
  <si>
    <t>212341111.S</t>
  </si>
  <si>
    <t>Medzerovitým betónom - prechodvý klin</t>
  </si>
  <si>
    <t>364493280</t>
  </si>
  <si>
    <t>-133212999</t>
  </si>
  <si>
    <t>1867927260</t>
  </si>
  <si>
    <t>834113520</t>
  </si>
  <si>
    <t>204675012</t>
  </si>
  <si>
    <t>1599160878</t>
  </si>
  <si>
    <t>567123114.S</t>
  </si>
  <si>
    <t>Podklad z kameniva stmeleného cementom s rozprestretím a zhutnením, CBGM C 5/6, po zhutnení hr. 100 mm</t>
  </si>
  <si>
    <t>-503620606</t>
  </si>
  <si>
    <t>1676225694</t>
  </si>
  <si>
    <t>Postrek asfaltový infiltračný s posypom kamenivom z cestnej emulzie v množstve 0,80 kg/m2 (1700</t>
  </si>
  <si>
    <t>Postrek asfaltový spojovací bez posypu kamenivom z cestnej emulzie v množstve 0,50 kg/m2 (1700+4248)</t>
  </si>
  <si>
    <t>Podklad zo štrkodrviny fr. 0-32 s rozprestretím a zhutnením, po zhutnení hr. 210 mm (1955)</t>
  </si>
  <si>
    <t>Zhotovenie vrstvy z geotextílie na upravenom povrchu sklon do 1 : 5 , šírky nad 3 do 6 m (2248+95)</t>
  </si>
  <si>
    <t>Geokompozit HDPE geosieť s PP obojstrannou geotextíliou, 50x2 m (2248+95)</t>
  </si>
  <si>
    <t>Kladenie dlažby z kociek veľkých do lôžka z kameniva ťaženého (72+12)</t>
  </si>
  <si>
    <t>596911162.S</t>
  </si>
  <si>
    <t>Kladenie betónovej zámkovej dlažby komunikácií pre peších hr. 80 mm pre peších nad 50 do 100 m2 so zriadením lôžka z kameniva hr. 30 mm (72+15 predláždenie)</t>
  </si>
  <si>
    <t>1002998495</t>
  </si>
  <si>
    <t>915716222.S</t>
  </si>
  <si>
    <t>Vodorovné dopravné značenie dvojzložkovým studeným plastom čiar tenkých súvislých, farba biela retroreflexná šírky 120 mm (1210+42)</t>
  </si>
  <si>
    <t>-620094021</t>
  </si>
  <si>
    <t>Vodorovné dopravné značenie dvojzložkovým studeným plastom čiar tenkých prerušovaných, farba biela základná šírky 120 mm (650+673)</t>
  </si>
  <si>
    <t>Vodorovné dopravné značenie striekané farbou prechodov pre chodcov, šípky, symboly a pod., biela retroreflexná (20+25+40)</t>
  </si>
  <si>
    <t>Osadenie cestného obrubníka betónového stojatého do lôžka z betónu prostého tr. C 16/20 s bočnou oporou</t>
  </si>
  <si>
    <t>-1837486688</t>
  </si>
  <si>
    <t>Drevená polgulatina  DN 120 mm s  povrchovou úpravou 568x2</t>
  </si>
  <si>
    <t>1590515876</t>
  </si>
  <si>
    <t>966001216.S</t>
  </si>
  <si>
    <t>Demontáž zastávkového prístrešku so strechou,  -1,15500 t</t>
  </si>
  <si>
    <t>-654346916</t>
  </si>
  <si>
    <t>1508277764</t>
  </si>
  <si>
    <t>2014919728</t>
  </si>
  <si>
    <t>-681680535</t>
  </si>
  <si>
    <t>1100583251</t>
  </si>
  <si>
    <t>-1128123671</t>
  </si>
  <si>
    <t>1119543072</t>
  </si>
  <si>
    <t>Poplatok za skládku-bitumenové zmesi (17 03 02) ostatne (537+177,75) = 708,75 x 0,3</t>
  </si>
  <si>
    <t>932787623</t>
  </si>
  <si>
    <t>Odvoz sutiny a vybúraných hmôt na skládku do 1 km (72,34+212,63+56,88 kameň)</t>
  </si>
  <si>
    <t>Odvoz sutiny a vybúraných hmôt na skládku za každý ďalší 1 km (22km) 341,85 x 22</t>
  </si>
  <si>
    <t>023 - VRN - úsek F</t>
  </si>
  <si>
    <t>1342627293</t>
  </si>
  <si>
    <t>1470237658</t>
  </si>
  <si>
    <t>102.5 - SO 102.5 OM - úsek F</t>
  </si>
  <si>
    <t>Vodorovné premiestnenie výkopku po spevnenej ceste z horniny tr.1-4, nad 1000 do 10000 m3 na vzdialenosť do 3000 m  (3650 - 368)x0,3</t>
  </si>
  <si>
    <t>Vodorovné premiestnenie výkopku po spevnenej ceste z horniny tr.1-4, nad 1000 do 10000 m3, príplatok k cene za každých ďalšich a začatých 1000 m (22km-Lieskovec) 985 x 22</t>
  </si>
  <si>
    <t>200-SO 200.F - Verejné osvetlenie, úsek F</t>
  </si>
  <si>
    <t>113106611.S</t>
  </si>
  <si>
    <t>Rozoberanie zámkovej dlažby všetkých druhov v ploche do 20 m2,  -0,2600 t</t>
  </si>
  <si>
    <t>-1707296411</t>
  </si>
  <si>
    <t>Odstránenie krytu v ploche do 200 m2 z betónu prostého, hr. vrstvy do 150 mm,  -0,22500t</t>
  </si>
  <si>
    <t>1475163145</t>
  </si>
  <si>
    <t>Vodorovné premiestnenie výkopku pre cesty po spevnenej ceste z horniny tr.1-4  do 1000 m3 na vzdialenosť do 3000 m 32,722x0,3</t>
  </si>
  <si>
    <t>1729903355</t>
  </si>
  <si>
    <t>Vodorovné premiestnenie výkopku pre cesty po spevnenej ceste z horniny tr.1-4 do 1000 m3, príplatok k cene za každých ďalšich a začatých 1000 m 9,817x20</t>
  </si>
  <si>
    <t>2068190350</t>
  </si>
  <si>
    <t>1832917950</t>
  </si>
  <si>
    <t>Poplatok za skládku - zemina a kamenivo (17 05 04), statné  52,355x0,3</t>
  </si>
  <si>
    <t>1232616918</t>
  </si>
  <si>
    <t>1434438787</t>
  </si>
  <si>
    <t>-2131026773</t>
  </si>
  <si>
    <t>-1109216296</t>
  </si>
  <si>
    <t>1042045931</t>
  </si>
  <si>
    <t>1406099985</t>
  </si>
  <si>
    <t>576325002</t>
  </si>
  <si>
    <t>-761233555</t>
  </si>
  <si>
    <t>885679126</t>
  </si>
  <si>
    <t>-1435891423</t>
  </si>
  <si>
    <t>-1498132548</t>
  </si>
  <si>
    <t>1552119993</t>
  </si>
  <si>
    <t>1963591793</t>
  </si>
  <si>
    <t>1032215720</t>
  </si>
  <si>
    <t>511049785</t>
  </si>
  <si>
    <t>596911141.S</t>
  </si>
  <si>
    <t>-678952921</t>
  </si>
  <si>
    <t>450726790</t>
  </si>
  <si>
    <t>744738757</t>
  </si>
  <si>
    <t>-831069740</t>
  </si>
  <si>
    <t>-451991463</t>
  </si>
  <si>
    <t>647162421</t>
  </si>
  <si>
    <t>1773909849</t>
  </si>
  <si>
    <t>Odvoz sutiny a vybúraných hmôt na skládku do 1 km 39,11x0,3</t>
  </si>
  <si>
    <t>57942306</t>
  </si>
  <si>
    <t>Odvoz sutiny a vybúraných hmôt na skládku za každý ďalší 1 km (22km) 11,73 x 22</t>
  </si>
  <si>
    <t>127625486</t>
  </si>
  <si>
    <t>1299664090</t>
  </si>
  <si>
    <t>236539098</t>
  </si>
  <si>
    <t>-825593219</t>
  </si>
  <si>
    <t>1503381064</t>
  </si>
  <si>
    <t>1590734335</t>
  </si>
  <si>
    <t>302944937</t>
  </si>
  <si>
    <t>1945337434</t>
  </si>
  <si>
    <t>-249016263</t>
  </si>
  <si>
    <t>916888037</t>
  </si>
  <si>
    <t>-481881618</t>
  </si>
  <si>
    <t>574197374</t>
  </si>
  <si>
    <t>11418966</t>
  </si>
  <si>
    <t>491802333</t>
  </si>
  <si>
    <t>829703582</t>
  </si>
  <si>
    <t>1878141441</t>
  </si>
  <si>
    <t>1635079959</t>
  </si>
  <si>
    <t>-1617667994</t>
  </si>
  <si>
    <t>-561875527</t>
  </si>
  <si>
    <t>252830429</t>
  </si>
  <si>
    <t>-1030659530</t>
  </si>
  <si>
    <t>-1521975171</t>
  </si>
  <si>
    <t>493303079</t>
  </si>
  <si>
    <t>859644176</t>
  </si>
  <si>
    <t>1738379894</t>
  </si>
  <si>
    <t>-1882807197</t>
  </si>
  <si>
    <t>12128468</t>
  </si>
  <si>
    <t>732027217</t>
  </si>
  <si>
    <t>-1411518126</t>
  </si>
  <si>
    <t>-1281211049</t>
  </si>
  <si>
    <t>1414903912</t>
  </si>
  <si>
    <t>410487870</t>
  </si>
  <si>
    <t>-1845180886</t>
  </si>
  <si>
    <t>-1364410429</t>
  </si>
  <si>
    <t>193630112</t>
  </si>
  <si>
    <t>-1003552913</t>
  </si>
  <si>
    <t>-998183123</t>
  </si>
  <si>
    <t>1281733692</t>
  </si>
  <si>
    <t>-342058629</t>
  </si>
  <si>
    <t>-645176081</t>
  </si>
  <si>
    <t>1222320956</t>
  </si>
  <si>
    <t>1741024528</t>
  </si>
  <si>
    <t>-84730832</t>
  </si>
  <si>
    <t>-1161526818</t>
  </si>
  <si>
    <t>399670517</t>
  </si>
  <si>
    <t>1517900500</t>
  </si>
  <si>
    <t>50953489</t>
  </si>
  <si>
    <t>-912182653</t>
  </si>
  <si>
    <t>-1450029573</t>
  </si>
  <si>
    <t>-1410047092</t>
  </si>
  <si>
    <t>401-F - SO 401  Preložka telekomunikačných vedení Slovak Telekom a.s., úsek F</t>
  </si>
  <si>
    <t>Vodorovné premiestnenie výkopku pre cesty po spevnenej ceste z horniny tr.1-4  do 1000 m3 na vzdialenosť do 3000 m 24,31x 0,3</t>
  </si>
  <si>
    <t>-1723980037</t>
  </si>
  <si>
    <t>Vodorovné premiestnenie výkopku pre cesty po spevnenej ceste z horniny tr.1-4 do 1000 m3, príplatok k cene za každých ďalšich a začatých 1000 m 7,3x20</t>
  </si>
  <si>
    <t>-1576953083</t>
  </si>
  <si>
    <t>504911642</t>
  </si>
  <si>
    <t>1933181589</t>
  </si>
  <si>
    <t>Ukladanie rúrky kábelovodu 2x HDPE priemeru nad 12 mm, miesrna sieť</t>
  </si>
  <si>
    <t>388795009.S</t>
  </si>
  <si>
    <t>Zaťahovanie kábelovodu každej ďaľšej rúrky HDPE nad 12 mm, vonk. siete</t>
  </si>
  <si>
    <t>-602759623</t>
  </si>
  <si>
    <t>575479384</t>
  </si>
  <si>
    <t>229334931</t>
  </si>
  <si>
    <t>1217260321</t>
  </si>
  <si>
    <t>-1981965351</t>
  </si>
  <si>
    <t>460420382.S</t>
  </si>
  <si>
    <t>Zriad. káblového lôžka z piesku vrstvy 10 cm, bet. doskami 50 x 15 x 4 cm kladenými na šírku 30 cm</t>
  </si>
  <si>
    <t>1264740543</t>
  </si>
  <si>
    <t>1190133684</t>
  </si>
  <si>
    <t>403308784</t>
  </si>
  <si>
    <t>402-F - SO 402  Preložka telekomunikačných vedení UPC s.r.o., úsek F</t>
  </si>
  <si>
    <t>Vodorovné premiestnenie výkopku pre cesty po spevnenej ceste z horniny tr.1-4  do 1000 m3 na vzdialenosť do 3000 m 62 x 0,3</t>
  </si>
  <si>
    <t>8429936</t>
  </si>
  <si>
    <t>Vodorovné premiestnenie výkopku pre cesty po spevnenej ceste z horniny tr.1-4 do 1000 m3, príplatok k cene za každých ďalšich a začatých 1000 m 18,6x20</t>
  </si>
  <si>
    <t>1817899948</t>
  </si>
  <si>
    <t>-517348872</t>
  </si>
  <si>
    <t>-1637272977</t>
  </si>
  <si>
    <t>898170005.S-D</t>
  </si>
  <si>
    <t>Káblová komora plastová SGLB 2436</t>
  </si>
  <si>
    <t>Polymér-betónový poklop pre komoru SGLB 2436</t>
  </si>
  <si>
    <t>-57994245</t>
  </si>
  <si>
    <t>220071806.S-D</t>
  </si>
  <si>
    <t>Demontáž spojky optickej, miestna sieť,  počet optických vlákien do 120</t>
  </si>
  <si>
    <t>544287058</t>
  </si>
  <si>
    <t>220071806.S</t>
  </si>
  <si>
    <t>Montáž spojky optickej, miestna sieť,  počet optických vlákien do 120</t>
  </si>
  <si>
    <t>-868392213</t>
  </si>
  <si>
    <t>-1257674001</t>
  </si>
  <si>
    <t>1191334290</t>
  </si>
  <si>
    <t>-965514747</t>
  </si>
  <si>
    <t>-18846309</t>
  </si>
  <si>
    <t>-675673931</t>
  </si>
  <si>
    <t>1077470602</t>
  </si>
  <si>
    <t>d) výkopová zemina (17 05 06)</t>
  </si>
  <si>
    <t>c) výkopová zemina a kamenivo (17 05 04)</t>
  </si>
  <si>
    <t>ÚSEK A-D CELKOM</t>
  </si>
  <si>
    <t>ÚSEK F (OPCIA) CELKOM</t>
  </si>
  <si>
    <t>SO 100.1</t>
  </si>
  <si>
    <t>SO 100.2</t>
  </si>
  <si>
    <t>SO 100.3</t>
  </si>
  <si>
    <t>SO 100,4</t>
  </si>
  <si>
    <t>SO 102.1</t>
  </si>
  <si>
    <t>SO 102.4</t>
  </si>
  <si>
    <t>SO 103.1</t>
  </si>
  <si>
    <t>SO 104.1</t>
  </si>
  <si>
    <t>SO 104.2</t>
  </si>
  <si>
    <t>SO 105.2</t>
  </si>
  <si>
    <t>SO 105.3</t>
  </si>
  <si>
    <t>SO 106.2</t>
  </si>
  <si>
    <t>SO 401</t>
  </si>
  <si>
    <t>SO 402</t>
  </si>
  <si>
    <t>miera recyklácie nad požadovaný rozsah 70 %</t>
  </si>
  <si>
    <t>Betón - 17 01 01, 17 01 07 (t)</t>
  </si>
  <si>
    <t>Bitúmenové zmesi (asfalt) 17 03 02 (t)</t>
  </si>
  <si>
    <t xml:space="preserve"> výkopová zemina a kamenivo 17 05 04 (t)</t>
  </si>
  <si>
    <t>výkopová zemina 17 05 06 (t)</t>
  </si>
  <si>
    <t>beton recyklacia</t>
  </si>
  <si>
    <t>beton skladka</t>
  </si>
  <si>
    <t>asfalt recyklacia</t>
  </si>
  <si>
    <t>asfalt skladka</t>
  </si>
  <si>
    <t>kamenivo recyklacia</t>
  </si>
  <si>
    <t>kamenivo skladka</t>
  </si>
  <si>
    <t>zmenina recyklacia</t>
  </si>
  <si>
    <t>zemina skladka</t>
  </si>
  <si>
    <t>Minimálna hodnota nad požadovaný rámec (%)</t>
  </si>
  <si>
    <t>Maximálna hodnota nad požadovaný rámec (%)</t>
  </si>
  <si>
    <t>výkopová zemina</t>
  </si>
  <si>
    <t>alikovontná časť 25% za ktorú odmeňujeme</t>
  </si>
  <si>
    <t>ÚSEK A-D</t>
  </si>
  <si>
    <t>ÚSEK F</t>
  </si>
  <si>
    <t>SO 100.5</t>
  </si>
  <si>
    <t>SO 102.5</t>
  </si>
  <si>
    <t>SO 200.F</t>
  </si>
  <si>
    <t>Stavebné objekty - ÚSEK F</t>
  </si>
  <si>
    <t>Stavebné objekty - ÚSEK A-D</t>
  </si>
  <si>
    <t>Ostatné náklady zo súhrnného listu</t>
  </si>
  <si>
    <t>1) Náklady z rozpočtov</t>
  </si>
  <si>
    <t>2) Ostatné náklady zo súhrnného listu</t>
  </si>
  <si>
    <t>Percent. zadanie_x000D_
[% nákladov rozpočtu]</t>
  </si>
  <si>
    <t>Zaradenie nákladov</t>
  </si>
  <si>
    <t>Celkové náklady za stavbu 1) + 2)</t>
  </si>
  <si>
    <t>Ostatné náklady</t>
  </si>
  <si>
    <t>1) Náklady z rozpočtu</t>
  </si>
  <si>
    <t>2) Ostatné náklady</t>
  </si>
  <si>
    <t>Poplatok za skládku - zemina  (17 05 06), (30%) 5942 x 0,3</t>
  </si>
  <si>
    <t>Poplatok za likvidáciu  stavebného odpadu  a materiálu / zhromažďovanie, separácia, príprava, triedenie, recyklácia, odvoz na recyklačné stredisko - betón, bet. dlažba (17 01 01) (min. 70% objemu danoho množstva odpadu) 32,4 x 0,7</t>
  </si>
  <si>
    <t>Poplatok za likvidáciu  stavebného odpadu a materiálu / zhromažďovanie, separácia, príprava triedenie, recyklácia, odvoz na recyklačné stredisko - výkopová zemina (17 05 06) (min. 70% objemu daného množstva odpadu) 5942 x 0,7</t>
  </si>
  <si>
    <t>Odvoz sutiny a vybúraných hmôt na skládku do 1 km  32,4x0,3</t>
  </si>
  <si>
    <t>Odvoz sutiny a vybúraných hmôt na skládku za každý ďalší 1 km (22km)  9,72  x 22</t>
  </si>
  <si>
    <t>Poplatok za skládku - betón, bet. dlažba(17 01 01), ostatné</t>
  </si>
  <si>
    <t>Poplatok za likvidáciu  stavebného odpadu  a materiálu / zhromažďovanie, separácia, príprava, triedenie,recyklácia, odvoz na recyklačné stredisko - betón (17 01 01) (min. 70% objemu danoho množstva odpadu) 537,86 x 0,7</t>
  </si>
  <si>
    <t>Poplatok za likvidáciu stavebného odpadu a materiálu / zhromažďovanie, separácia, príprava, triedenie, recyklácia, odvoz narecyklačné stredisko - bitúmenové zmesi (17 03 02) (min. 70% objemu danoho množstva odpadu)   1547,38 x 0,7</t>
  </si>
  <si>
    <t>Poplatok za likvidáciu  stavebného odpadu a materiálu / zhromažďovanie, separácia, príprava triedenie, recyklácia, odvoz na recyklačné stredisko - kameniva (17 05 04) (min. 70% objemu daného množstva odpadu) 303,6 x 0,7</t>
  </si>
  <si>
    <t>Poplatok za likvidáciu  stavebného odpadu a materiálu / zhromažďovanie, separácia, príprava triedenie, recyklacia, odvoz na recyklačné stredisko - výkopová zemina (17 05 06) (min. 70% objemu daného množstva odpadu) 1591,0 x 0,7</t>
  </si>
  <si>
    <t>f</t>
  </si>
  <si>
    <t>Poplatok za skládku - betón, bet. dlažba (17 01 01), 537,86x0,3</t>
  </si>
  <si>
    <t>Poplatok za skládku-bitumenové zmesi (17 03 02) ostatne 547,38x0,3</t>
  </si>
  <si>
    <t>Poplatok za skládku - zemina a kamenivo (17 05 04, 17 05 06), ostatné (2438,3x0,3 zemina+63,6x0,3kamenivo)</t>
  </si>
  <si>
    <t>Poplatok za likvidáciu  stavebného odpadu  a materiálu / zhromažďovanie, separácia, príprava, triedenie, recyklácia, odvoz na recyklačné stredisko - betón (17 01 01) (min. 70% objemu danoho množstva odpadu) 49,59 x 0,7</t>
  </si>
  <si>
    <t>Poplatok za likvidáciu stavebného odpadu a materiálu / zhromažďovanie, separácia, príprava, triedenie, recyklácia, odvoz narecyklačné stredisko - bitúmenové zmesi (17 03 02) (min. 70% objemu danoho množstva odpadu)   81,38 x 0,7</t>
  </si>
  <si>
    <t>Poplatok za likvidáciu  stavebného odpadu a materiálu / zhromažďovanie, separácia, príprava triedenie, recyklácia, odvoz na recyklačné stredisko - kameniva (17 05 04) (min. 70% objemu daného množstva odpadu) 63,6 x 0,7</t>
  </si>
  <si>
    <t>Poplatok za likvidáciu  stavebného odpadu a materiálu / zhromažďovanie, separácia, príprava triedenie, recyklácia, odvoz na recyklačné stredisko - výkopová zemina (17 05 06) (min. 70% objemu daného množstva odpadu) 2438,3 x 0,7</t>
  </si>
  <si>
    <t>Poplatok za skládku - betón, bet. dlažba  (17 01 01),  49,59x0,3</t>
  </si>
  <si>
    <t>Poplatok za skládku - bitúmenové zmesi (17 03 02), ostatné 81,38x0,3</t>
  </si>
  <si>
    <t>Poplatok za skládku - zemina a kamenivo (17 05 04, 17 05 06), ostatné  (929,59 +495,0) x0,3</t>
  </si>
  <si>
    <t>Poplatok za likvidáciu  stavebného odpadu  a materiálu / zhromažďovanie, separácia, príprava, triedenie,recyklácia, odvoz na recyklačné stredisko - betón, bet. dlažba (17 01 01) (min. 70% objemu danoho množstva odpadu) 260,36 x 0,7</t>
  </si>
  <si>
    <t>Poplatok za likvidáciu stavebného odpadu a materiálu / zhromažďovanie, separácia, príprava, triedenie, recyklácia, odvoz narecyklačné stredisko - bitúmenové zmesi (17 03 02) (min. 70% objemu danoho množstva odpadu)   495,0 x 0,7</t>
  </si>
  <si>
    <t>Poplatok za likvidáciu  stavebného odpadu a materiálu / zhromažďovanie, separácia, príprava triedenie, recyklácia, odvoz na recyklačné stredisko - kameniva (17 05 04) (min. 70% objemu daného množstva odpadu) 206,5 x 0,7</t>
  </si>
  <si>
    <t>Poplatok za likvidáciu  stavebného odpadu a materiálu / zhromažďovanie, separácia, príprava triedenie, recyklácia, odvoz na recyklačné stredisko - výkopová zemina (17 05 06) (min. 70% objemu daného množstva odpadu) 929,59 x 0,7</t>
  </si>
  <si>
    <t>Odvoz sutiny a vybúraných hmôt na skládku do 1 km  961,86 x 0,3</t>
  </si>
  <si>
    <t>Poplatok za skládku - betón, bet. dlažba (17 01 01), 260,36 x 0,3</t>
  </si>
  <si>
    <t>Poplatok za skládku - bitúmenové zmesi (17 03 02),  495 x 0,3</t>
  </si>
  <si>
    <t>Poplatok za skládku - zemina a kamenivo (17 05 04, 17 05 06), ostatné (221,6 + 183,15) x 0,3</t>
  </si>
  <si>
    <t>Poplatok za likvidáciu  stavebného odpadu  a materiálu / zhromažďovanie, separácia, príprava, triedenie, recyklácia, odvoz na recyklačné stredisko - betón, bet. dkažba (17 01 01) (min. 70% objemu danoho množstva odpadu) 285,21 x 0,7</t>
  </si>
  <si>
    <t>Poplatok za likvidáciu stavebného odpadu a materiálu / zhromažďovanie, separácia, príprava, triedenie, recyklácia, odvoz narecyklačné stredisko - bitúmenové zmesi (17 03 02) (min. 70% objemu danoho množstva odpadu)   703,0 x 0,7</t>
  </si>
  <si>
    <t>Poplatok za likvidáciu  stavebného odpadu a materiálu / zhromažďovanie, separácia, príprava triedenie, recyklácia, odvoz na recyklačné stredisko - kamenivo (17 05 04) (min. 70% objemu daného množstva odpadu) 221,6 x 0,7</t>
  </si>
  <si>
    <t>Poplatok za likvidáciu  stavebného odpadu a materiálu / zhromažďovanie, separácia, príprava triedenie, recyklácia, odvoz na recyklačné stredisko - výkopová zemina (17 05 06) (min. 70% objemu daného množstva odpadu) 183,15 x 0,7</t>
  </si>
  <si>
    <t>Odvoz sutiny a vybúraných hmôt na skládku do 1 km  1209,32 x 0,3</t>
  </si>
  <si>
    <t>Poplatok za skládku - betón, bet. dlažba   (17 01 01)285,21 x 0,3</t>
  </si>
  <si>
    <t>Poplatok za skládku - bitúmenové zmesi    (17 03 02) 703,0 x 0,3</t>
  </si>
  <si>
    <t>Poplatok za skládku - zemina a kamenivo (17 05 04), (30%) 10,8x0,3</t>
  </si>
  <si>
    <t>Poplatok za likvidáciu  stavebného odpadu  a materiálu / zhromažďovanie, separácia, príprava, triedenie, recyklácia, odvoz na recyklačné stredisko - betón (17 01 01, 17 01 07) (min. 70% objemu danoho množstva odpadu) 32,5 x 0,7</t>
  </si>
  <si>
    <t>Poplatok za likvidáciu  stavebného odpadu a materiálu / zhromažďovanie, separácia, príprava triedenie, recyklácia,  odvoz na recyklačné stredisko - výkopová zemina + kamenivo (17 05 04) (min. 70% objemu daného množstva odpadu) 10,8 x 0,7</t>
  </si>
  <si>
    <t>Poplatok za skládku - betón, brt. dlažba (17 01 01), 32,5 x0,3</t>
  </si>
  <si>
    <t>Poplatok za skládku - zemina  (17 05 06), 2,2x0,30</t>
  </si>
  <si>
    <t>Poplatok za likvidáciu  stavebného odpadu  a materiálu / zhromažďovanie, separácia, príprava, triedenie, recyklácia,  odvoz na recyklačné stredisko - betón (17 01 01) (min. 70% objemu danoho množstva odpadu) 2,8 x 0,7</t>
  </si>
  <si>
    <t>Poplatok za likvidáciu  stavebného odpadu a materiálu / zhromažďovanie, separácia, príprava triedenie, odvoz na recyklačné stredisko - výkopová zemina (17 05 06) (min. 70% objemu daného množstva odpadu) 2,2 x 0,7</t>
  </si>
  <si>
    <t>Poplatok za skládku - betón, bet. dlažba (17 01 01),</t>
  </si>
  <si>
    <t>Poplatok za likvidáciu  stavebného odpadu  a materiálu / zhromažďovanie, separácia, príprava, triedenie, recyklácia, odvoz na recyklačné stredisko - betón (17 01 01) (min. 70% objemu danoho množstva odpadu) 499,8 x 0,7</t>
  </si>
  <si>
    <t>Poplatok za likvidáciu  stavebného odpadu a materiálu / zhromažďovanie, separácia, príprava triedenie, recyklácia, odvoz na recyklačné stredisko - výkopová zemina (17 05 04) (min. 70% objemu daného množstva odpadu) 252,18 x 0,7</t>
  </si>
  <si>
    <t>Odvoz sutiny a vybúraných hmôt na skládku do 1 km  499,8 x 0,3</t>
  </si>
  <si>
    <t>Odvoz sutiny a vybúraných hmôt na skládku za každý ďalší 1 km (22km)  149,94  x 22</t>
  </si>
  <si>
    <t>Poplatok za skládku - betón  (17 01 01),  499,8x0,3</t>
  </si>
  <si>
    <t>Poplatok za likvidáciu  stavebného odpadu  a materiálu / zhromažďovanie, separácia, príprava, triedenie, recyklácia, odvoz na recyklačné stredisko - betón (17 01 01) (min. 70% objemu danoho množstva odpadu) 15 x 0,7</t>
  </si>
  <si>
    <t>Poplatok za likvidáciu  stavebného odpadu a materiálu / zhromažďovanie, separácia, príprava triedenie, odvoz na recyklačné stredisko - výkopová zemina (17 05 06) (min. 70% objemu daného množstva odpadu) 171 x 0,7</t>
  </si>
  <si>
    <t>Poplatok za skládku - betón(17 01 01)</t>
  </si>
  <si>
    <t>Poplatok za skládku - zemina a kamenivo (17 05 04), (30%) 9x0,3</t>
  </si>
  <si>
    <t>Poplatok za likvidáciu  stavebného odpadu  a materiálu / zhromažďovanie, separácia, príprava, triedenie,recyklácia odvoz na recyklačné stredisko - betón (17 01 01) (min. 70% objemu danoho množstva odpadu) 15 x 0,7</t>
  </si>
  <si>
    <t>546214616</t>
  </si>
  <si>
    <t>Poplatok za likvidáciu  stavebného odpadu a materiálu / zhromažďovanie, separácia, príprava triedenie, recyklácia, odvoz na recyklačné stredisko - výkopová zemina (17 05 06) (min. 70% objemu daného množstva odpadu) 9 x 0,7</t>
  </si>
  <si>
    <t>Poplatok za likvidáciu  stavebného odpadu  a materiálu / zhromažďovanie, separácia, príprava, triedenie, recyklácia, odvoz na recyklačné stredisko - betón (17 01 01) (min. 70% objemu danoho množstva odpadu) 12,5 x 0,7</t>
  </si>
  <si>
    <t>Poplatok za likvidáciu  stavebného odpadu a materiálu / zhromažďovanie, separácia, príprava triedenie, recyklácia, odvoz na recyklačné stredisko - výkopová zemina (17 05 06) (min. 70% objemu daného množstva odpadu) 3,6 x 0,7</t>
  </si>
  <si>
    <t>Poplatok za skládku - betónn(17 01 01), ostatné  10 x0,3</t>
  </si>
  <si>
    <t>GZS</t>
  </si>
  <si>
    <t>Poplatok za skládku - zemina (17 05 06), ostatné 60,45x0,3</t>
  </si>
  <si>
    <t>Poplatok za likvidáciu  stavebného odpadu a materiálu / zhromažďovanie, separácia, príprava triedenie, recyklácia, odvoz na recyklačné stredisko - výkopová zemina (17 05 06) (min. 70% objemu daného množstva odpadu) 60,45x 0,7</t>
  </si>
  <si>
    <t>Poplatok za skládku - zemina  (17 05 06), ostatné 123,19x0,3</t>
  </si>
  <si>
    <t>Poplatok za likvidáciu  stavebného odpadu a materiálu / zhromažďovanie, separácia, príprava triedenie, odvoz na recyklačné stredisko - výkopová zemina (17 05 06) (min. 70% objemu daného množstva odpadu) 123,19 x 0,7</t>
  </si>
  <si>
    <t xml:space="preserve">Vodorovné premiestnenie výkopku pre cesty po spevnenej ceste z horniny tr.1-4  do 1000 m3 na vzdialenosť do 3000 m      3,3x0,3 </t>
  </si>
  <si>
    <t>Poplatok za skládku - zemina  (17 05 06) 6,1x0,3</t>
  </si>
  <si>
    <t>Poplatok za likvidáciu  stavebného odpadu  a materiálu / zhromažďovanie, separácia, príprava, triedenie, recyklácia, odvoz na recyklačné stredisko - betón (17 01 01) (min. 70% objemu danoho množstva odpadu) 1,3x 0,7</t>
  </si>
  <si>
    <t xml:space="preserve">Poplatok za skládku - betón (17 01 01) </t>
  </si>
  <si>
    <t>Poplatok za skládku - zemina (17 05 06)12,96x0,3</t>
  </si>
  <si>
    <t>Poplatok za likvidáciu  stavebného odpadu a materiálu / zhromažďovanie, separácia, príprava triedenie, recyklácia,  odvoz na recyklačné stredisko - výkopová zemina (17 05 06) (min. 70% objemu daného množstva odpadu) 12,96 x 0,7</t>
  </si>
  <si>
    <t>Poplatok za likvidáciu  stavebného odpadu a materiálu / zhromažďovanie, separácia, príprava triedenie, recyklácia, odvoz na recyklačné stredisko - výkopová zemina (17 05 06) (min. 70% objemu daného množstva odpadu) 52,91 x 0,7</t>
  </si>
  <si>
    <t>Poplatok za skládku - zemina a kamenivo (17 05 04), (30%)2749,0x0,3</t>
  </si>
  <si>
    <t>Poplatok za likvidáciu  stavebného odpadu  a materiálu / zhromažďovanie, separácia, príprava, triedenie, recyklácia, odvoz na recyklačné stredisko - betón (17 01 01) (min. 70% objemu danoho množstva odpadu) 18 x 0,7</t>
  </si>
  <si>
    <t>Poplatok za likvidáciu  stavebného odpadu a materiálu / zhromažďovanie, separácia, príprava triedenie, recyklácia, odvoz na recyklačné stredisko - výkopová zemina (17 05 06) (min. 70% objemu daného množstva odpadu) 2749 x 0,7</t>
  </si>
  <si>
    <t>Odvoz sutiny a vybúraných hmôt na skládku do 1 km  18x0,3</t>
  </si>
  <si>
    <t>Odvoz sutiny a vybúraných hmôt na skládku za každý ďalší 1 km (22km)  5,4  x 22</t>
  </si>
  <si>
    <t xml:space="preserve">Poplatok za skládku - betón(17 01 01), </t>
  </si>
  <si>
    <t>Poplatok za skládku - zemina a kamenivo (17 05 06), ostatné 112,874x0,3</t>
  </si>
  <si>
    <t>Poplatok za likvidáciu  stavebného odpadu  a materiálu / zhromažďovanie, separácia, príprava, triedenie, recyklácia, odvoz na recyklačné stredisko - betón (17 01 01) (min. 70% objemu danoho množstva odpadu) 51,97x0,7</t>
  </si>
  <si>
    <t>Poplatok za likvidáciu stavebného odpadu a materiálu / zhromažďovanie, separácia, príprava, triedenie, recyklácia, odvoz narecyklačné stredisko - bitúmenové zmesi (17 03 02) (min. 70% objemu danoho množstva odpadu)   25,5x0,7</t>
  </si>
  <si>
    <t>Poplatok za likvidáciu  stavebného odpadu a materiálu / zhromažďovanie, separácia, príprava triedenie, recyklácia, odvoz na recyklačné stredisko - výkopová zemina (17 05 06) (min. 70% objemu daného množstva odpadu) 112,87 x 0,7</t>
  </si>
  <si>
    <t>Poplatok za skládku - betón (17 01 01), ostatné 51,97x0,3</t>
  </si>
  <si>
    <t>Poplatok za skládku - zemina (17 05 06) 44,98x0,3</t>
  </si>
  <si>
    <t>Poplatok za likvidáciu  stavebného odpadu  a materiálu / zhromažďovanie, separácia, príprava, triedenie, recyklácia,  odvoz na recyklačné stredisko - betón (17 01 01) (min. 70% objemu danoho množstva odpadu) 23,04x0,7</t>
  </si>
  <si>
    <t>Poplatok za likvidáciu stavebného odpadu a materiálu / zhromažďovanie, separácia, príprava, triedenie, recyklácia,  odvoz narecyklačné stredisko - bitúmenové zmesi (17 03 02) (min. 70% objemu danoho množstva odpadu) 18,98  x0,7</t>
  </si>
  <si>
    <t>Poplatok za likvidáciu  stavebného odpadu a materiálu / zhromažďovanie, separácia, príprava triedenie, recyklácia, odvoz na recyklačné stredisko - výkopová zemina (17 05 06) (min. 70% objemu daného množstva odpadu) 44,28 x 0,7</t>
  </si>
  <si>
    <t>Poplatok za skládku - betón (17 01 01), ostatné 23,04x0,3</t>
  </si>
  <si>
    <t>Poplatok za skládku - zemina  (17 05 06), 80,61x0,3</t>
  </si>
  <si>
    <t>Poplatok za likvidáciu  stavebného odpadu  a materiálu / zhromažďovanie, separácia, príprava, triedenie, recyklácia, odvoz na recyklačné stredisko - betón (17 01 01) (min. 70% objemu danoho množstva odpadu) 35,63x0,7</t>
  </si>
  <si>
    <t>Poplatok za likvidáciu stavebného odpadu a materiálu / zhromažďovanie, separácia, príprava, triedenie, recyklácia, odvoz narecyklačné stredisko - bitúmenové zmesi (17 03 02) (min. 70% objemu danoho množstva odpadu)53,44x0,7</t>
  </si>
  <si>
    <t>Poplatok za likvidáciu  stavebného odpadu a materiálu / zhromažďovanie, separácia, príprava triedenie, recyklácia,  odvoz na recyklačné stredisko - výkopová zemina (17 05 06) (min. 70% objemu daného množstva odpadu) 80,61 x 0,7</t>
  </si>
  <si>
    <t>Poplatok za skládku - betón (17 01 01),  35,63x0,3</t>
  </si>
  <si>
    <t>Poplatok za skládku-bitumenové zmesi (17 03 02)  53,44 x 0,3</t>
  </si>
  <si>
    <t>Poplatok za skládku - zemina  (17 05 06) 41,46x0.3</t>
  </si>
  <si>
    <t>Poplatok za likvidáciu  stavebného odpadu  a materiálu / zhromažďovanie, separácia, príprava, triedenie, recyklácia, odvoz na recyklačné stredisko - betón (17 01 01) (min. 70% objemu danoho množstva odpadu) 34,50x0,7</t>
  </si>
  <si>
    <t>Poplatok za likvidáciu stavebného odpadu a materiálu / zhromažďovanie, separácia, príprava, triedenie, recyklácia, odvoz narecyklačné stredisko - bitúmenové zmesi (17 03 02) (min. 70% objemu danoho množstva odpadu)9,4x0,7</t>
  </si>
  <si>
    <t>Poplatok za likvidáciu  stavebného odpadu a materiálu / zhromažďovanie, separácia, príprava triedenie, odvoz na recyklačné stredisko - výkopová zemina (17 05 06) (min. 70% objemu daného množstva odpadu)  41,46x 0,7</t>
  </si>
  <si>
    <t>Poplatok za skládku - betón(17 01 01), ostatné 34,5x0,3</t>
  </si>
  <si>
    <t>Poplatok za skládku - zemina a kamenivo (17 05 04, 17 05 06), ostatné (606,8x0,3+189,6x0,3) = 238,82</t>
  </si>
  <si>
    <t>Poplatok za likvidáciu  stavebného odpadu  a materiálu / zhromažďovanie, separácia, príprava, triedenie, recyklácia, odvoz na recyklačné stredisko - betón (17 01 01) (min. 70% objemu danoho množstva odpadu) 241,14 x 0,7</t>
  </si>
  <si>
    <t>Poplatok za likvidáciu stavebného odpadu a materiálu / zhromažďovanie, separácia, príprava, triedenie, recyklácia, odvoz narecyklačné stredisko - bitúmenové zmesi (17 03 02) (min. 70% objemu danoho množstva odpadu)   708,75 x 0,7</t>
  </si>
  <si>
    <t>Poplatok za likvidáciu  stavebného odpadu a materiálu / zhromažďovanie, separácia, príprava triedenie, recyklácia, odvoz na recyklačné stredisko - kameniva (17 05 04) (min. 70% objemu daného množstva odpadu) 189,6 x 0,7</t>
  </si>
  <si>
    <t>Poplatok za likvidáciu  stavebného odpadu a materiálu / zhromažďovanie, separácia, príprava triedenie, recyklácia, odvoz na recyklačné stredisko - výkopová zemina (17 05 06) (min. 70% objemu daného množstva odpadu) 606,80 x 0,7</t>
  </si>
  <si>
    <t>Poplatok za skládku - betón,(17 01 01)  (4,14+237)=241,14x0,3</t>
  </si>
  <si>
    <t>Poplatok za skládku - zemina a kamenivo (17 05 04), (30%) 5 908x0,6</t>
  </si>
  <si>
    <t>Poplatok za likvidáciu  stavebného odpadu  a materiálu / zhromažďovanie, separácia, príprava, triedenie, recyklácia, odvoz na recyklačné stredisko - betón (17 01 01) (min. 70% objemu danoho množstva odpadu) 36 x 0,7</t>
  </si>
  <si>
    <t>Poplatok za likvidáciu  stavebného odpadu a materiálu / zhromažďovanie, separácia, príprava triedenie, recyklácia, odvoz na recyklačné stredisko - výkopová zemina (17 05 06) (min. 70% objemu daného množstva odpadu) 5908 x 0,7</t>
  </si>
  <si>
    <t>Poplatok za skládku - betón(17 01 01 )</t>
  </si>
  <si>
    <t>Poplatok za likvidáciu  stavebného odpadu  a materiálu / zhromažďovanie, separácia, príprava, triedenie, recyklácia, odvoz na recyklačné stredisko - betón (17 01 01) (min. 70% objemu danoho množstva odpadu) 39,11 x 0,7</t>
  </si>
  <si>
    <t>Poplatok za likvidáciu  stavebného odpadu a materiálu / zhromažďovanie, separácia, príprava triedenie, recyklácia, odvoz na recyklačné stredisko - výkopová zemina (17 05 06) (min. 70% objemu daného množstva odpadu) 52,355 x 0,7</t>
  </si>
  <si>
    <t>Poplatok za skládku - betón (17 01 01), ostatné (4,14+237)=39,11x0,3</t>
  </si>
  <si>
    <t>Poplatok za skládku - zemina  (17 05 06), ostatné 44,97x0,3</t>
  </si>
  <si>
    <t>Poplatok za likvidáciu  stavebného odpadu a materiálu / zhromažďovanie, separácia, príprava triedenie, recyklácia, odvoz na recyklačné stredisko - výkopová zemina (17 05 06) (min. 70% objemu daného množstva odpadu) 44,97 x 0,7</t>
  </si>
  <si>
    <t>Poplatok za skládku - zemina  (17 05 06),  99,2x0,3</t>
  </si>
  <si>
    <t>Poplatok za likvidáciu  stavebného odpadu a materiálu / zhromažďovanie, separácia, príprava triedenie, recyklácia, odvoz na recyklačné stredisko - výkopová zemina (17 05 06) (min. 70% objemu daného množstva odpadu) 99,2 x 0,7</t>
  </si>
  <si>
    <t>Kľúčový odborník 3 (Geológ): Podmienka účasti podľa § 34 ods. 1 písm. g) ZVO</t>
  </si>
  <si>
    <t>Je kľúčový odborník internou kapacitou (zamestnancom) uchádzača?</t>
  </si>
  <si>
    <t>Geológ</t>
  </si>
  <si>
    <t>Vodorovné premiestnenie výkopku pre cesty po spevnenej ceste z horniny tr.1-4  do 1000 m3 na vzdialenosť do 3000 m (108+1591x0,3+344x0,3)</t>
  </si>
  <si>
    <t>Uchádzač preukáže 
-	odbornú prax v odbore geológia na dopravných stavbách, z toho aspoň jednu stavbu týkajúcu sa výstavby inžinierskych stavieb (dokladovanú profesijným životopisom odborníka),
-	odbornú spôsobilosť podľa § 9 ods. 4 a ods. 8 Zákona NR SR č. 569/2007 Z. z. o geologických prácach alebo jeho ekvivalentu vydávaného v zahraničí.</t>
  </si>
  <si>
    <t xml:space="preserve">K2: Predĺženie záruky nad požadovaný rozsah s DPH za predmet zákazky </t>
  </si>
  <si>
    <t>celkom</t>
  </si>
  <si>
    <t>Odvoz vybúraných hmôt do 1 km - kovový odpad</t>
  </si>
  <si>
    <t>Odvoz vybúraných hmôt za každý ďalší 1 km - kovový odpad</t>
  </si>
  <si>
    <t>Ing. Ondrej Májek</t>
  </si>
  <si>
    <t>PROKOS s.r.o.</t>
  </si>
  <si>
    <t>PROKOS, s.r.o.</t>
  </si>
  <si>
    <r>
      <t>Zhotoviteľ je v zmysle cieľa odpadového hospodárstva vyjadreného v prílohe č. 3 časti VI druhom bode zákona o odpadoch povinný pripraviť o odovzdať na recykláciu a zhodnotenie alebo recyklovať alebo zhodnotiť minimálne 70 %</t>
    </r>
    <r>
      <rPr>
        <b/>
        <sz val="11"/>
        <rFont val="Calibri"/>
        <family val="2"/>
        <charset val="238"/>
        <scheme val="minor"/>
      </rPr>
      <t xml:space="preserve"> celkovej hmotnosti stavebného odpadu</t>
    </r>
    <r>
      <rPr>
        <sz val="11"/>
        <rFont val="Calibri"/>
        <family val="2"/>
        <charset val="238"/>
        <scheme val="minor"/>
      </rPr>
      <t xml:space="preserve"> (tento cieľ sa uplatní na odpady uvedené v skupine číslo 17 Katalógu odpadov okrem odpadu pod katalógovým číslom 17 05 04, verejný obstarávateľ napriek tomu zahŕňa aj tento druh odpadu). </t>
    </r>
  </si>
  <si>
    <t>Uchádzačom deklarovaná recyklácia z celkového množstva odpadu (%) min. 70 % (hodnota sa mení podľa ponuky uchádzača v K6)</t>
  </si>
  <si>
    <t>d) výkopová zemina</t>
  </si>
  <si>
    <t>936941301.R</t>
  </si>
  <si>
    <t xml:space="preserve">Montáž zastávkového prístrešku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</si>
</sst>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43" formatCode="_-* #,##0.00_-;\-* #,##0.00_-;_-* &quot;-&quot;??_-;_-@_-"/>
    <numFmt numFmtId="164" formatCode="0.000"/>
    <numFmt numFmtId="165" formatCode="#,##0.00\ &quot;€&quot;"/>
    <numFmt numFmtId="166" formatCode="_-* #,##0.00\ [$€-41B]_-;\-* #,##0.00\ [$€-41B]_-;_-* &quot;-&quot;??\ [$€-41B]_-;_-@_-"/>
    <numFmt numFmtId="167" formatCode="dd\.mm\.yyyy"/>
    <numFmt numFmtId="168" formatCode="#,##0.00%"/>
    <numFmt numFmtId="169" formatCode="#,##0.00000"/>
    <numFmt numFmtId="170" formatCode="#,##0.000"/>
  </numFmts>
  <fonts count="63"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6"/>
      <color theme="0"/>
      <name val="Calibri Light"/>
      <family val="2"/>
      <charset val="238"/>
      <scheme val="major"/>
    </font>
    <font>
      <sz val="12"/>
      <name val="Calibri"/>
      <family val="2"/>
      <charset val="238"/>
      <scheme val="minor"/>
    </font>
    <font>
      <sz val="8"/>
      <name val="Arial CE"/>
      <family val="2"/>
    </font>
    <font>
      <b/>
      <sz val="14"/>
      <color theme="1"/>
      <name val="Calibri"/>
      <family val="2"/>
      <charset val="238"/>
      <scheme val="minor"/>
    </font>
    <font>
      <sz val="8"/>
      <name val="MS Sans Serif"/>
      <charset val="1"/>
    </font>
    <font>
      <b/>
      <sz val="11"/>
      <name val="Calibri"/>
      <family val="2"/>
      <charset val="238"/>
    </font>
    <font>
      <b/>
      <sz val="11"/>
      <color rgb="FF000000"/>
      <name val="Calibri"/>
      <family val="2"/>
      <charset val="238"/>
    </font>
    <font>
      <sz val="11"/>
      <name val="Calibri"/>
      <family val="2"/>
      <charset val="238"/>
    </font>
    <font>
      <b/>
      <sz val="18"/>
      <color theme="4" tint="-0.249977111117893"/>
      <name val="Calibri Light"/>
      <family val="2"/>
      <charset val="238"/>
      <scheme val="major"/>
    </font>
    <font>
      <b/>
      <sz val="16"/>
      <color theme="4" tint="-0.249977111117893"/>
      <name val="Calibri Light"/>
      <family val="2"/>
      <charset val="238"/>
      <scheme val="major"/>
    </font>
    <font>
      <b/>
      <sz val="11"/>
      <color theme="4" tint="-0.249977111117893"/>
      <name val="Calibri Light"/>
      <family val="2"/>
      <charset val="238"/>
      <scheme val="major"/>
    </font>
    <font>
      <sz val="9"/>
      <color indexed="81"/>
      <name val="Segoe UI"/>
      <family val="2"/>
      <charset val="238"/>
    </font>
    <font>
      <u/>
      <sz val="11"/>
      <color theme="10"/>
      <name val="Calibri"/>
      <family val="2"/>
      <charset val="238"/>
      <scheme val="minor"/>
    </font>
    <font>
      <sz val="8"/>
      <color rgb="FF3366FF"/>
      <name val="Arial CE"/>
    </font>
    <font>
      <b/>
      <sz val="14"/>
      <name val="Arial CE"/>
    </font>
    <font>
      <sz val="10"/>
      <color rgb="FF3366FF"/>
      <name val="Arial CE"/>
    </font>
    <font>
      <sz val="10"/>
      <color rgb="FF969696"/>
      <name val="Arial CE"/>
    </font>
    <font>
      <b/>
      <sz val="11"/>
      <name val="Arial CE"/>
    </font>
    <font>
      <sz val="10"/>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sz val="9"/>
      <name val="Arial CE"/>
    </font>
    <font>
      <b/>
      <sz val="12"/>
      <color rgb="FF800000"/>
      <name val="Arial CE"/>
    </font>
    <font>
      <sz val="12"/>
      <color rgb="FF003366"/>
      <name val="Arial CE"/>
    </font>
    <font>
      <sz val="9"/>
      <color rgb="FF969696"/>
      <name val="Arial CE"/>
    </font>
    <font>
      <sz val="8"/>
      <color rgb="FF960000"/>
      <name val="Arial CE"/>
    </font>
    <font>
      <b/>
      <sz val="8"/>
      <name val="Arial CE"/>
    </font>
    <font>
      <sz val="8"/>
      <color rgb="FF003366"/>
      <name val="Arial CE"/>
    </font>
    <font>
      <i/>
      <sz val="9"/>
      <color rgb="FF0000FF"/>
      <name val="Arial CE"/>
    </font>
    <font>
      <i/>
      <sz val="8"/>
      <color rgb="FF0000FF"/>
      <name val="Arial CE"/>
    </font>
    <font>
      <b/>
      <sz val="10"/>
      <color rgb="FFFFFFFF"/>
      <name val="Arial CE"/>
    </font>
    <font>
      <b/>
      <sz val="10"/>
      <color rgb="FF969696"/>
      <name val="Arial CE"/>
    </font>
    <font>
      <sz val="12"/>
      <color rgb="FF969696"/>
      <name val="Arial CE"/>
    </font>
    <font>
      <sz val="12"/>
      <name val="Arial CE"/>
    </font>
    <font>
      <u/>
      <sz val="11"/>
      <color theme="10"/>
      <name val="Calibri"/>
      <scheme val="minor"/>
    </font>
    <font>
      <sz val="11"/>
      <name val="Arial CE"/>
    </font>
    <font>
      <b/>
      <sz val="11"/>
      <color rgb="FF003366"/>
      <name val="Arial CE"/>
    </font>
    <font>
      <sz val="11"/>
      <color rgb="FF003366"/>
      <name val="Arial CE"/>
    </font>
    <font>
      <sz val="11"/>
      <color rgb="FF969696"/>
      <name val="Arial CE"/>
    </font>
    <font>
      <sz val="10"/>
      <color rgb="FF003366"/>
      <name val="Arial CE"/>
    </font>
    <font>
      <b/>
      <sz val="12"/>
      <name val="Calibri"/>
      <family val="2"/>
      <charset val="238"/>
      <scheme val="minor"/>
    </font>
    <font>
      <sz val="10"/>
      <color rgb="FF464646"/>
      <name val="Arial CE"/>
    </font>
    <font>
      <sz val="18"/>
      <color theme="10"/>
      <name val="Wingdings 2"/>
      <family val="1"/>
      <charset val="2"/>
    </font>
    <font>
      <sz val="10"/>
      <color theme="1"/>
      <name val="Arial"/>
      <family val="2"/>
      <charset val="238"/>
    </font>
  </fonts>
  <fills count="17">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D9E1F2"/>
        <bgColor rgb="FF000000"/>
      </patternFill>
    </fill>
    <fill>
      <patternFill patternType="solid">
        <fgColor theme="0"/>
        <bgColor indexed="64"/>
      </patternFill>
    </fill>
    <fill>
      <patternFill patternType="solid">
        <fgColor rgb="FFC0C0C0"/>
      </patternFill>
    </fill>
    <fill>
      <patternFill patternType="solid">
        <fgColor rgb="FFD2D2D2"/>
      </patternFill>
    </fill>
    <fill>
      <patternFill patternType="solid">
        <fgColor rgb="FFBEBEBE"/>
      </patternFill>
    </fill>
  </fills>
  <borders count="183">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style="thin">
        <color rgb="FFB2B2B2"/>
      </left>
      <right/>
      <top style="thin">
        <color rgb="FFB2B2B2"/>
      </top>
      <bottom style="medium">
        <color indexed="64"/>
      </bottom>
      <diagonal/>
    </border>
    <border>
      <left/>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rgb="FFB2B2B2"/>
      </left>
      <right style="thin">
        <color rgb="FFB2B2B2"/>
      </right>
      <top/>
      <bottom style="thin">
        <color rgb="FFB2B2B2"/>
      </bottom>
      <diagonal/>
    </border>
    <border>
      <left/>
      <right/>
      <top/>
      <bottom style="thin">
        <color rgb="FFB2B2B2"/>
      </bottom>
      <diagonal/>
    </border>
    <border>
      <left style="medium">
        <color indexed="64"/>
      </left>
      <right/>
      <top/>
      <bottom style="thin">
        <color rgb="FFB2B2B2"/>
      </bottom>
      <diagonal/>
    </border>
    <border>
      <left/>
      <right/>
      <top/>
      <bottom style="medium">
        <color indexed="64"/>
      </bottom>
      <diagonal/>
    </border>
    <border>
      <left style="medium">
        <color indexed="64"/>
      </left>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top/>
      <bottom style="medium">
        <color indexed="64"/>
      </bottom>
      <diagonal/>
    </border>
    <border>
      <left style="medium">
        <color indexed="64"/>
      </left>
      <right/>
      <top style="thin">
        <color rgb="FFB2B2B2"/>
      </top>
      <bottom/>
      <diagonal/>
    </border>
    <border>
      <left/>
      <right/>
      <top style="thin">
        <color rgb="FFB2B2B2"/>
      </top>
      <bottom/>
      <diagonal/>
    </border>
    <border>
      <left style="thin">
        <color rgb="FFB2B2B2"/>
      </left>
      <right/>
      <top style="medium">
        <color indexed="64"/>
      </top>
      <bottom style="thin">
        <color rgb="FFB2B2B2"/>
      </bottom>
      <diagonal/>
    </border>
    <border>
      <left style="thin">
        <color rgb="FFB2B2B2"/>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thin">
        <color rgb="FFB2B2B2"/>
      </top>
      <bottom style="thin">
        <color rgb="FFB2B2B2"/>
      </bottom>
      <diagonal/>
    </border>
    <border>
      <left/>
      <right style="medium">
        <color indexed="64"/>
      </right>
      <top style="thin">
        <color rgb="FFB2B2B2"/>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rgb="FFB2B2B2"/>
      </left>
      <right/>
      <top style="medium">
        <color indexed="64"/>
      </top>
      <bottom/>
      <diagonal/>
    </border>
    <border>
      <left/>
      <right style="hair">
        <color rgb="FFB2B2B2"/>
      </right>
      <top/>
      <bottom/>
      <diagonal/>
    </border>
    <border>
      <left/>
      <right style="thin">
        <color rgb="FFB2B2B2"/>
      </right>
      <top/>
      <bottom style="medium">
        <color indexed="64"/>
      </bottom>
      <diagonal/>
    </border>
    <border>
      <left style="thin">
        <color rgb="FFB2B2B2"/>
      </left>
      <right/>
      <top/>
      <bottom style="medium">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medium">
        <color indexed="64"/>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right/>
      <top/>
      <bottom style="thin">
        <color indexed="64"/>
      </bottom>
      <diagonal/>
    </border>
    <border>
      <left/>
      <right style="medium">
        <color indexed="64"/>
      </right>
      <top/>
      <bottom style="thin">
        <color indexed="64"/>
      </bottom>
      <diagonal/>
    </border>
    <border>
      <left style="thin">
        <color theme="6" tint="0.39994506668294322"/>
      </left>
      <right style="medium">
        <color indexed="64"/>
      </right>
      <top style="thin">
        <color theme="6" tint="0.39994506668294322"/>
      </top>
      <bottom style="thin">
        <color theme="6" tint="0.39994506668294322"/>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969696"/>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diagonal/>
    </border>
    <border>
      <left/>
      <right/>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hair">
        <color rgb="FF969696"/>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style="hair">
        <color rgb="FF969696"/>
      </right>
      <top style="hair">
        <color rgb="FF969696"/>
      </top>
      <bottom style="hair">
        <color rgb="FF969696"/>
      </bottom>
      <diagonal/>
    </border>
    <border>
      <left style="hair">
        <color rgb="FF969696"/>
      </left>
      <right/>
      <top/>
      <bottom style="hair">
        <color rgb="FF969696"/>
      </bottom>
      <diagonal/>
    </border>
    <border>
      <left/>
      <right style="hair">
        <color rgb="FF969696"/>
      </right>
      <top/>
      <bottom style="hair">
        <color rgb="FF969696"/>
      </bottom>
      <diagonal/>
    </border>
    <border>
      <left style="medium">
        <color indexed="64"/>
      </left>
      <right/>
      <top style="medium">
        <color indexed="64"/>
      </top>
      <bottom style="thin">
        <color theme="0" tint="-0.34998626667073579"/>
      </bottom>
      <diagonal/>
    </border>
    <border>
      <left/>
      <right/>
      <top style="medium">
        <color indexed="64"/>
      </top>
      <bottom style="thin">
        <color theme="0" tint="-0.34998626667073579"/>
      </bottom>
      <diagonal/>
    </border>
    <border>
      <left/>
      <right style="medium">
        <color indexed="64"/>
      </right>
      <top style="medium">
        <color indexed="64"/>
      </top>
      <bottom style="thin">
        <color theme="0" tint="-0.34998626667073579"/>
      </bottom>
      <diagonal/>
    </border>
    <border>
      <left/>
      <right style="thin">
        <color rgb="FFB2B2B2"/>
      </right>
      <top/>
      <bottom/>
      <diagonal/>
    </border>
    <border>
      <left style="thin">
        <color rgb="FFB2B2B2"/>
      </left>
      <right/>
      <top/>
      <bottom/>
      <diagonal/>
    </border>
    <border>
      <left style="medium">
        <color indexed="64"/>
      </left>
      <right/>
      <top style="thin">
        <color theme="2" tint="-9.9948118533890809E-2"/>
      </top>
      <bottom style="medium">
        <color indexed="64"/>
      </bottom>
      <diagonal/>
    </border>
    <border>
      <left/>
      <right style="thin">
        <color rgb="FFB2B2B2"/>
      </right>
      <top style="thin">
        <color theme="2" tint="-9.9948118533890809E-2"/>
      </top>
      <bottom style="medium">
        <color indexed="64"/>
      </bottom>
      <diagonal/>
    </border>
    <border>
      <left style="thin">
        <color rgb="FFB2B2B2"/>
      </left>
      <right/>
      <top style="thin">
        <color theme="2" tint="-9.9948118533890809E-2"/>
      </top>
      <bottom style="medium">
        <color indexed="64"/>
      </bottom>
      <diagonal/>
    </border>
    <border>
      <left style="thin">
        <color rgb="FFB2B2B2"/>
      </left>
      <right style="thin">
        <color rgb="FFB2B2B2"/>
      </right>
      <top style="thin">
        <color theme="2" tint="-9.9948118533890809E-2"/>
      </top>
      <bottom style="medium">
        <color indexed="64"/>
      </bottom>
      <diagonal/>
    </border>
    <border>
      <left/>
      <right/>
      <top style="thin">
        <color theme="2" tint="-9.9948118533890809E-2"/>
      </top>
      <bottom style="medium">
        <color indexed="64"/>
      </bottom>
      <diagonal/>
    </border>
    <border>
      <left/>
      <right style="medium">
        <color indexed="64"/>
      </right>
      <top style="thin">
        <color theme="2" tint="-9.9948118533890809E-2"/>
      </top>
      <bottom style="medium">
        <color indexed="64"/>
      </bottom>
      <diagonal/>
    </border>
    <border>
      <left/>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medium">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medium">
        <color indexed="64"/>
      </right>
      <top/>
      <bottom style="thin">
        <color theme="2" tint="-9.9948118533890809E-2"/>
      </bottom>
      <diagonal/>
    </border>
    <border>
      <left style="medium">
        <color indexed="64"/>
      </left>
      <right style="thin">
        <color theme="2" tint="-9.9948118533890809E-2"/>
      </right>
      <top style="medium">
        <color indexed="64"/>
      </top>
      <bottom style="thin">
        <color indexed="64"/>
      </bottom>
      <diagonal/>
    </border>
    <border>
      <left style="thin">
        <color theme="2" tint="-9.9948118533890809E-2"/>
      </left>
      <right style="thin">
        <color theme="2" tint="-9.9948118533890809E-2"/>
      </right>
      <top style="medium">
        <color indexed="64"/>
      </top>
      <bottom style="thin">
        <color indexed="64"/>
      </bottom>
      <diagonal/>
    </border>
    <border>
      <left style="thin">
        <color theme="2" tint="-9.9948118533890809E-2"/>
      </left>
      <right style="medium">
        <color indexed="64"/>
      </right>
      <top style="medium">
        <color indexed="64"/>
      </top>
      <bottom style="thin">
        <color indexed="64"/>
      </bottom>
      <diagonal/>
    </border>
    <border>
      <left/>
      <right style="thin">
        <color theme="2" tint="-9.9948118533890809E-2"/>
      </right>
      <top/>
      <bottom style="thin">
        <color theme="2" tint="-9.9948118533890809E-2"/>
      </bottom>
      <diagonal/>
    </border>
    <border>
      <left style="thin">
        <color theme="6" tint="0.39994506668294322"/>
      </left>
      <right style="medium">
        <color indexed="64"/>
      </right>
      <top style="thin">
        <color theme="6" tint="0.39994506668294322"/>
      </top>
      <bottom style="thin">
        <color theme="1"/>
      </bottom>
      <diagonal/>
    </border>
    <border>
      <left style="thin">
        <color theme="6" tint="0.39994506668294322"/>
      </left>
      <right style="thin">
        <color theme="6" tint="0.39994506668294322"/>
      </right>
      <top style="thin">
        <color theme="6" tint="0.39994506668294322"/>
      </top>
      <bottom style="thin">
        <color theme="1"/>
      </bottom>
      <diagonal/>
    </border>
    <border>
      <left style="hair">
        <color rgb="FFB2B2B2"/>
      </left>
      <right/>
      <top/>
      <bottom/>
      <diagonal/>
    </border>
    <border>
      <left/>
      <right style="medium">
        <color theme="1"/>
      </right>
      <top/>
      <bottom/>
      <diagonal/>
    </border>
    <border>
      <left style="medium">
        <color indexed="64"/>
      </left>
      <right style="thin">
        <color theme="2" tint="-9.9948118533890809E-2"/>
      </right>
      <top style="thin">
        <color theme="2" tint="-9.9948118533890809E-2"/>
      </top>
      <bottom style="thin">
        <color theme="2" tint="-9.9948118533890809E-2"/>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n">
        <color theme="0" tint="-0.34998626667073579"/>
      </left>
      <right/>
      <top style="thin">
        <color theme="2" tint="-9.9948118533890809E-2"/>
      </top>
      <bottom style="thin">
        <color theme="0" tint="-0.34998626667073579"/>
      </bottom>
      <diagonal/>
    </border>
    <border>
      <left/>
      <right style="thin">
        <color theme="0" tint="-0.34998626667073579"/>
      </right>
      <top style="thin">
        <color theme="2" tint="-9.9948118533890809E-2"/>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medium">
        <color indexed="64"/>
      </left>
      <right/>
      <top/>
      <bottom style="thin">
        <color theme="2" tint="-9.9948118533890809E-2"/>
      </bottom>
      <diagonal/>
    </border>
    <border>
      <left/>
      <right/>
      <top/>
      <bottom style="thin">
        <color theme="2" tint="-9.9948118533890809E-2"/>
      </bottom>
      <diagonal/>
    </border>
    <border>
      <left/>
      <right style="medium">
        <color indexed="64"/>
      </right>
      <top/>
      <bottom style="thin">
        <color theme="2" tint="-9.9948118533890809E-2"/>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thin">
        <color theme="2"/>
      </left>
      <right style="thin">
        <color theme="2"/>
      </right>
      <top style="thin">
        <color theme="2"/>
      </top>
      <bottom style="thin">
        <color theme="2"/>
      </bottom>
      <diagonal/>
    </border>
    <border>
      <left style="thin">
        <color theme="2"/>
      </left>
      <right style="medium">
        <color indexed="64"/>
      </right>
      <top style="thin">
        <color theme="2"/>
      </top>
      <bottom style="thin">
        <color theme="2"/>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rgb="FF000000"/>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rgb="FFB2B2B2"/>
      </right>
      <top/>
      <bottom style="thin">
        <color theme="2" tint="-9.9948118533890809E-2"/>
      </bottom>
      <diagonal/>
    </border>
    <border>
      <left/>
      <right style="thin">
        <color rgb="FFB2B2B2"/>
      </right>
      <top style="thin">
        <color rgb="FFB2B2B2"/>
      </top>
      <bottom/>
      <diagonal/>
    </border>
    <border>
      <left style="medium">
        <color indexed="64"/>
      </left>
      <right/>
      <top style="thin">
        <color theme="2" tint="-9.9948118533890809E-2"/>
      </top>
      <bottom style="thin">
        <color theme="2" tint="-9.9948118533890809E-2"/>
      </bottom>
      <diagonal/>
    </border>
    <border>
      <left style="medium">
        <color indexed="64"/>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s>
  <cellStyleXfs count="11">
    <xf numFmtId="0" fontId="0" fillId="0" borderId="0"/>
    <xf numFmtId="0" fontId="4" fillId="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6" fillId="0" borderId="0"/>
    <xf numFmtId="0" fontId="18" fillId="0" borderId="0" applyAlignment="0">
      <alignment vertical="top"/>
      <protection locked="0"/>
    </xf>
    <xf numFmtId="0" fontId="26" fillId="0" borderId="0" applyNumberFormat="0" applyFill="0" applyBorder="0" applyAlignment="0" applyProtection="0"/>
    <xf numFmtId="0" fontId="53" fillId="0" borderId="0" applyNumberFormat="0" applyFill="0" applyBorder="0" applyAlignment="0" applyProtection="0"/>
  </cellStyleXfs>
  <cellXfs count="907">
    <xf numFmtId="0" fontId="0" fillId="0" borderId="0" xfId="0"/>
    <xf numFmtId="0" fontId="6" fillId="0" borderId="0" xfId="0" applyFont="1" applyAlignment="1">
      <alignment vertical="center"/>
    </xf>
    <xf numFmtId="0" fontId="7" fillId="0" borderId="0" xfId="0" applyFont="1" applyAlignment="1">
      <alignment horizontal="justify" vertical="center"/>
    </xf>
    <xf numFmtId="0" fontId="5" fillId="0" borderId="63" xfId="0" applyFont="1" applyBorder="1" applyAlignment="1">
      <alignment horizontal="center" vertical="center"/>
    </xf>
    <xf numFmtId="0" fontId="6" fillId="0" borderId="44" xfId="0" applyFont="1" applyBorder="1" applyAlignment="1">
      <alignment horizontal="justify" vertical="center"/>
    </xf>
    <xf numFmtId="0" fontId="0" fillId="0" borderId="44" xfId="0" applyBorder="1" applyAlignment="1">
      <alignment horizontal="left" vertical="center" wrapText="1" indent="1"/>
    </xf>
    <xf numFmtId="0" fontId="6" fillId="0" borderId="44" xfId="0" applyFont="1" applyBorder="1" applyAlignment="1">
      <alignment horizontal="left" vertical="center" wrapText="1" indent="1"/>
    </xf>
    <xf numFmtId="0" fontId="2" fillId="0" borderId="44" xfId="0" applyFont="1" applyBorder="1" applyAlignment="1">
      <alignment horizontal="center" vertical="center" wrapText="1"/>
    </xf>
    <xf numFmtId="0" fontId="0" fillId="0" borderId="44" xfId="0" applyBorder="1" applyAlignment="1">
      <alignment horizontal="left" wrapText="1" indent="1"/>
    </xf>
    <xf numFmtId="0" fontId="6" fillId="0" borderId="45" xfId="0" applyFont="1" applyBorder="1" applyAlignment="1">
      <alignment vertical="center"/>
    </xf>
    <xf numFmtId="0" fontId="0" fillId="0" borderId="44" xfId="0" applyBorder="1" applyAlignment="1">
      <alignment horizontal="left" vertical="center" indent="1"/>
    </xf>
    <xf numFmtId="0" fontId="2" fillId="0" borderId="44" xfId="0" applyFont="1" applyBorder="1" applyAlignment="1">
      <alignment horizontal="center" vertical="center"/>
    </xf>
    <xf numFmtId="0" fontId="0" fillId="0" borderId="44" xfId="0" applyBorder="1" applyAlignment="1">
      <alignment horizontal="justify" vertical="center"/>
    </xf>
    <xf numFmtId="0" fontId="0" fillId="0" borderId="45" xfId="0" applyBorder="1"/>
    <xf numFmtId="0" fontId="0" fillId="0" borderId="0" xfId="0" applyProtection="1">
      <protection hidden="1"/>
    </xf>
    <xf numFmtId="0" fontId="0" fillId="0" borderId="0" xfId="0" applyAlignment="1" applyProtection="1">
      <alignment wrapText="1"/>
      <protection hidden="1"/>
    </xf>
    <xf numFmtId="0" fontId="0" fillId="5" borderId="49" xfId="0" applyFill="1" applyBorder="1" applyAlignment="1" applyProtection="1">
      <alignment horizontal="center" wrapText="1"/>
      <protection hidden="1"/>
    </xf>
    <xf numFmtId="0" fontId="2" fillId="5" borderId="50" xfId="0" applyFont="1" applyFill="1" applyBorder="1" applyAlignment="1" applyProtection="1">
      <alignment wrapText="1"/>
      <protection hidden="1"/>
    </xf>
    <xf numFmtId="0" fontId="2" fillId="5" borderId="51" xfId="0" applyFont="1" applyFill="1" applyBorder="1" applyAlignment="1" applyProtection="1">
      <alignment wrapText="1"/>
      <protection hidden="1"/>
    </xf>
    <xf numFmtId="0" fontId="2" fillId="5" borderId="52" xfId="0" applyFont="1" applyFill="1" applyBorder="1" applyAlignment="1" applyProtection="1">
      <alignment wrapText="1"/>
      <protection hidden="1"/>
    </xf>
    <xf numFmtId="0" fontId="2" fillId="5" borderId="47" xfId="0" applyFont="1" applyFill="1" applyBorder="1" applyAlignment="1" applyProtection="1">
      <alignment wrapText="1"/>
      <protection hidden="1"/>
    </xf>
    <xf numFmtId="0" fontId="2" fillId="5" borderId="49" xfId="0" applyFont="1" applyFill="1" applyBorder="1" applyAlignment="1" applyProtection="1">
      <alignment wrapText="1"/>
      <protection hidden="1"/>
    </xf>
    <xf numFmtId="0" fontId="0" fillId="5" borderId="44" xfId="0" applyFill="1" applyBorder="1" applyAlignment="1" applyProtection="1">
      <alignment horizontal="center"/>
      <protection hidden="1"/>
    </xf>
    <xf numFmtId="0" fontId="0" fillId="0" borderId="37" xfId="0" applyBorder="1" applyAlignment="1" applyProtection="1">
      <alignment wrapText="1"/>
      <protection locked="0" hidden="1"/>
    </xf>
    <xf numFmtId="0" fontId="0" fillId="0" borderId="38" xfId="0" applyBorder="1" applyAlignment="1" applyProtection="1">
      <alignment wrapText="1"/>
      <protection locked="0" hidden="1"/>
    </xf>
    <xf numFmtId="2" fontId="0" fillId="0" borderId="38" xfId="4" applyNumberFormat="1" applyFont="1" applyFill="1" applyBorder="1" applyAlignment="1" applyProtection="1">
      <alignment wrapText="1"/>
      <protection locked="0" hidden="1"/>
    </xf>
    <xf numFmtId="0" fontId="1" fillId="0" borderId="38" xfId="2" applyFont="1" applyFill="1" applyBorder="1" applyProtection="1">
      <protection locked="0" hidden="1"/>
    </xf>
    <xf numFmtId="2" fontId="0" fillId="0" borderId="54" xfId="4" applyNumberFormat="1" applyFont="1" applyFill="1" applyBorder="1" applyAlignment="1" applyProtection="1">
      <alignment wrapText="1"/>
      <protection locked="0" hidden="1"/>
    </xf>
    <xf numFmtId="2" fontId="0" fillId="5" borderId="54" xfId="0" applyNumberFormat="1" applyFill="1" applyBorder="1" applyProtection="1">
      <protection hidden="1"/>
    </xf>
    <xf numFmtId="2" fontId="0" fillId="5" borderId="27" xfId="0" applyNumberFormat="1" applyFill="1" applyBorder="1" applyProtection="1">
      <protection hidden="1"/>
    </xf>
    <xf numFmtId="2" fontId="0" fillId="5" borderId="61" xfId="0" applyNumberFormat="1" applyFill="1" applyBorder="1" applyProtection="1">
      <protection hidden="1"/>
    </xf>
    <xf numFmtId="0" fontId="0" fillId="0" borderId="28" xfId="0" applyBorder="1" applyAlignment="1" applyProtection="1">
      <alignment wrapText="1"/>
      <protection locked="0" hidden="1"/>
    </xf>
    <xf numFmtId="0" fontId="0" fillId="0" borderId="27" xfId="0" applyBorder="1" applyAlignment="1" applyProtection="1">
      <alignment wrapText="1"/>
      <protection locked="0" hidden="1"/>
    </xf>
    <xf numFmtId="2" fontId="0" fillId="0" borderId="27" xfId="4" applyNumberFormat="1" applyFont="1" applyFill="1" applyBorder="1" applyAlignment="1" applyProtection="1">
      <alignment wrapText="1"/>
      <protection locked="0" hidden="1"/>
    </xf>
    <xf numFmtId="2" fontId="0" fillId="0" borderId="41" xfId="4" applyNumberFormat="1" applyFont="1" applyFill="1" applyBorder="1" applyAlignment="1" applyProtection="1">
      <alignment wrapText="1"/>
      <protection locked="0" hidden="1"/>
    </xf>
    <xf numFmtId="2" fontId="0" fillId="5" borderId="41" xfId="0" applyNumberFormat="1" applyFill="1" applyBorder="1" applyProtection="1">
      <protection hidden="1"/>
    </xf>
    <xf numFmtId="0" fontId="0" fillId="0" borderId="35" xfId="0" applyBorder="1" applyAlignment="1" applyProtection="1">
      <alignment wrapText="1"/>
      <protection locked="0" hidden="1"/>
    </xf>
    <xf numFmtId="0" fontId="0" fillId="0" borderId="36" xfId="0" applyBorder="1" applyAlignment="1" applyProtection="1">
      <alignment wrapText="1"/>
      <protection locked="0" hidden="1"/>
    </xf>
    <xf numFmtId="2" fontId="0" fillId="0" borderId="36" xfId="4" applyNumberFormat="1" applyFont="1" applyFill="1" applyBorder="1" applyAlignment="1" applyProtection="1">
      <alignment wrapText="1"/>
      <protection locked="0" hidden="1"/>
    </xf>
    <xf numFmtId="2" fontId="0" fillId="0" borderId="53" xfId="4" applyNumberFormat="1" applyFont="1" applyFill="1" applyBorder="1" applyAlignment="1" applyProtection="1">
      <alignment wrapText="1"/>
      <protection locked="0" hidden="1"/>
    </xf>
    <xf numFmtId="0" fontId="0" fillId="5" borderId="45" xfId="0" applyFill="1" applyBorder="1" applyProtection="1">
      <protection hidden="1"/>
    </xf>
    <xf numFmtId="0" fontId="0" fillId="5" borderId="30" xfId="0" applyFill="1" applyBorder="1" applyAlignment="1" applyProtection="1">
      <alignment wrapText="1"/>
      <protection hidden="1"/>
    </xf>
    <xf numFmtId="0" fontId="0" fillId="5" borderId="31" xfId="0" applyFill="1" applyBorder="1" applyAlignment="1" applyProtection="1">
      <alignment wrapText="1"/>
      <protection hidden="1"/>
    </xf>
    <xf numFmtId="2" fontId="0" fillId="5" borderId="55" xfId="0" applyNumberFormat="1" applyFill="1" applyBorder="1" applyAlignment="1" applyProtection="1">
      <alignment wrapText="1"/>
      <protection hidden="1"/>
    </xf>
    <xf numFmtId="2" fontId="0" fillId="5" borderId="55" xfId="0" applyNumberFormat="1" applyFill="1" applyBorder="1" applyProtection="1">
      <protection hidden="1"/>
    </xf>
    <xf numFmtId="2" fontId="0" fillId="5" borderId="31" xfId="0" applyNumberFormat="1" applyFill="1" applyBorder="1" applyProtection="1">
      <protection hidden="1"/>
    </xf>
    <xf numFmtId="0" fontId="0" fillId="5" borderId="62" xfId="0" applyFill="1" applyBorder="1" applyProtection="1">
      <protection hidden="1"/>
    </xf>
    <xf numFmtId="0" fontId="0" fillId="6" borderId="28" xfId="0" applyFill="1" applyBorder="1" applyProtection="1">
      <protection hidden="1"/>
    </xf>
    <xf numFmtId="0" fontId="0" fillId="6" borderId="29" xfId="0" applyFill="1" applyBorder="1" applyProtection="1">
      <protection hidden="1"/>
    </xf>
    <xf numFmtId="0" fontId="0" fillId="5" borderId="28" xfId="0" applyFill="1" applyBorder="1" applyProtection="1">
      <protection hidden="1"/>
    </xf>
    <xf numFmtId="0" fontId="0" fillId="5" borderId="29" xfId="0" applyFill="1" applyBorder="1" applyProtection="1">
      <protection hidden="1"/>
    </xf>
    <xf numFmtId="0" fontId="0" fillId="6" borderId="40" xfId="0" applyFill="1" applyBorder="1" applyProtection="1">
      <protection hidden="1"/>
    </xf>
    <xf numFmtId="0" fontId="0" fillId="5" borderId="27" xfId="0" applyFill="1" applyBorder="1" applyProtection="1">
      <protection hidden="1"/>
    </xf>
    <xf numFmtId="0" fontId="0" fillId="5" borderId="41" xfId="0" applyFill="1" applyBorder="1" applyAlignment="1" applyProtection="1">
      <alignment horizontal="center"/>
      <protection hidden="1"/>
    </xf>
    <xf numFmtId="2" fontId="0" fillId="0" borderId="28" xfId="0" applyNumberFormat="1" applyBorder="1" applyProtection="1">
      <protection locked="0" hidden="1"/>
    </xf>
    <xf numFmtId="2" fontId="0" fillId="6" borderId="29" xfId="0" applyNumberFormat="1" applyFill="1" applyBorder="1" applyProtection="1">
      <protection hidden="1"/>
    </xf>
    <xf numFmtId="2" fontId="0" fillId="5" borderId="29" xfId="0" applyNumberFormat="1" applyFill="1" applyBorder="1" applyProtection="1">
      <protection hidden="1"/>
    </xf>
    <xf numFmtId="0" fontId="0" fillId="6" borderId="30" xfId="0" applyFill="1" applyBorder="1" applyProtection="1">
      <protection hidden="1"/>
    </xf>
    <xf numFmtId="0" fontId="0" fillId="5" borderId="31" xfId="0" applyFill="1" applyBorder="1" applyProtection="1">
      <protection hidden="1"/>
    </xf>
    <xf numFmtId="0" fontId="0" fillId="5" borderId="55" xfId="0" applyFill="1" applyBorder="1" applyAlignment="1" applyProtection="1">
      <alignment horizontal="center"/>
      <protection hidden="1"/>
    </xf>
    <xf numFmtId="0" fontId="0" fillId="6" borderId="50" xfId="0" applyFill="1" applyBorder="1" applyProtection="1">
      <protection hidden="1"/>
    </xf>
    <xf numFmtId="0" fontId="0" fillId="6" borderId="51" xfId="0" applyFill="1" applyBorder="1" applyAlignment="1" applyProtection="1">
      <alignment wrapText="1"/>
      <protection hidden="1"/>
    </xf>
    <xf numFmtId="0" fontId="0" fillId="6" borderId="51" xfId="0" applyFill="1" applyBorder="1" applyAlignment="1" applyProtection="1">
      <alignment horizontal="center" wrapText="1"/>
      <protection hidden="1"/>
    </xf>
    <xf numFmtId="164" fontId="2" fillId="6" borderId="51" xfId="0" applyNumberFormat="1" applyFont="1" applyFill="1" applyBorder="1" applyAlignment="1" applyProtection="1">
      <alignment wrapText="1"/>
      <protection hidden="1"/>
    </xf>
    <xf numFmtId="2" fontId="2" fillId="6" borderId="51" xfId="0" applyNumberFormat="1" applyFont="1" applyFill="1" applyBorder="1" applyAlignment="1" applyProtection="1">
      <alignment wrapText="1"/>
      <protection hidden="1"/>
    </xf>
    <xf numFmtId="164" fontId="2" fillId="6" borderId="52" xfId="0" applyNumberFormat="1" applyFont="1" applyFill="1" applyBorder="1" applyAlignment="1" applyProtection="1">
      <alignment wrapText="1"/>
      <protection hidden="1"/>
    </xf>
    <xf numFmtId="0" fontId="0" fillId="9" borderId="28" xfId="0" applyFill="1" applyBorder="1" applyAlignment="1" applyProtection="1">
      <alignment wrapText="1"/>
      <protection hidden="1"/>
    </xf>
    <xf numFmtId="0" fontId="0" fillId="9" borderId="29" xfId="0" applyFill="1" applyBorder="1" applyAlignment="1" applyProtection="1">
      <alignment wrapText="1"/>
      <protection hidden="1"/>
    </xf>
    <xf numFmtId="0" fontId="0" fillId="8" borderId="28" xfId="0" applyFill="1" applyBorder="1" applyAlignment="1" applyProtection="1">
      <alignment wrapText="1"/>
      <protection hidden="1"/>
    </xf>
    <xf numFmtId="0" fontId="0" fillId="8" borderId="29" xfId="0" applyFill="1" applyBorder="1" applyAlignment="1" applyProtection="1">
      <alignment wrapText="1"/>
      <protection hidden="1"/>
    </xf>
    <xf numFmtId="0" fontId="0" fillId="9" borderId="40" xfId="0" applyFill="1" applyBorder="1" applyProtection="1">
      <protection hidden="1"/>
    </xf>
    <xf numFmtId="0" fontId="0" fillId="9" borderId="29" xfId="0" applyFill="1" applyBorder="1" applyProtection="1">
      <protection hidden="1"/>
    </xf>
    <xf numFmtId="0" fontId="0" fillId="9" borderId="28" xfId="0" applyFill="1" applyBorder="1" applyProtection="1">
      <protection hidden="1"/>
    </xf>
    <xf numFmtId="0" fontId="0" fillId="8" borderId="27" xfId="0" applyFill="1" applyBorder="1" applyProtection="1">
      <protection hidden="1"/>
    </xf>
    <xf numFmtId="0" fontId="0" fillId="8" borderId="41" xfId="0" applyFill="1" applyBorder="1" applyAlignment="1" applyProtection="1">
      <alignment wrapText="1"/>
      <protection hidden="1"/>
    </xf>
    <xf numFmtId="2" fontId="0" fillId="7" borderId="28" xfId="0" applyNumberFormat="1" applyFill="1" applyBorder="1" applyProtection="1">
      <protection hidden="1"/>
    </xf>
    <xf numFmtId="2" fontId="0" fillId="9" borderId="29" xfId="0" applyNumberFormat="1" applyFill="1" applyBorder="1" applyAlignment="1" applyProtection="1">
      <alignment wrapText="1"/>
      <protection hidden="1"/>
    </xf>
    <xf numFmtId="2" fontId="0" fillId="8" borderId="29" xfId="0" applyNumberFormat="1" applyFill="1" applyBorder="1" applyAlignment="1" applyProtection="1">
      <alignment wrapText="1"/>
      <protection hidden="1"/>
    </xf>
    <xf numFmtId="2" fontId="0" fillId="9" borderId="29" xfId="0" applyNumberFormat="1" applyFill="1" applyBorder="1" applyProtection="1">
      <protection hidden="1"/>
    </xf>
    <xf numFmtId="0" fontId="0" fillId="9" borderId="35" xfId="0" applyFill="1" applyBorder="1" applyProtection="1">
      <protection hidden="1"/>
    </xf>
    <xf numFmtId="0" fontId="0" fillId="8" borderId="36" xfId="0" applyFill="1" applyBorder="1" applyProtection="1">
      <protection hidden="1"/>
    </xf>
    <xf numFmtId="0" fontId="0" fillId="8" borderId="53" xfId="0" applyFill="1" applyBorder="1" applyAlignment="1" applyProtection="1">
      <alignment wrapText="1"/>
      <protection hidden="1"/>
    </xf>
    <xf numFmtId="0" fontId="0" fillId="9" borderId="50" xfId="0" applyFill="1" applyBorder="1" applyProtection="1">
      <protection hidden="1"/>
    </xf>
    <xf numFmtId="0" fontId="0" fillId="9" borderId="51" xfId="0" applyFill="1" applyBorder="1" applyAlignment="1" applyProtection="1">
      <alignment wrapText="1"/>
      <protection hidden="1"/>
    </xf>
    <xf numFmtId="2" fontId="0" fillId="9" borderId="51" xfId="0" applyNumberFormat="1" applyFill="1" applyBorder="1" applyAlignment="1" applyProtection="1">
      <alignment wrapText="1"/>
      <protection hidden="1"/>
    </xf>
    <xf numFmtId="2" fontId="0" fillId="9" borderId="52" xfId="0" applyNumberFormat="1" applyFill="1" applyBorder="1" applyAlignment="1" applyProtection="1">
      <alignment wrapText="1"/>
      <protection hidden="1"/>
    </xf>
    <xf numFmtId="0" fontId="0" fillId="10" borderId="28" xfId="0" applyFill="1" applyBorder="1" applyAlignment="1" applyProtection="1">
      <alignment wrapText="1"/>
      <protection hidden="1"/>
    </xf>
    <xf numFmtId="0" fontId="0" fillId="10" borderId="29" xfId="0" applyFill="1" applyBorder="1" applyAlignment="1" applyProtection="1">
      <alignment wrapText="1"/>
      <protection hidden="1"/>
    </xf>
    <xf numFmtId="0" fontId="0" fillId="11" borderId="28" xfId="0" applyFill="1" applyBorder="1" applyAlignment="1" applyProtection="1">
      <alignment wrapText="1"/>
      <protection hidden="1"/>
    </xf>
    <xf numFmtId="0" fontId="0" fillId="11" borderId="29" xfId="0" applyFill="1" applyBorder="1" applyAlignment="1" applyProtection="1">
      <alignment wrapText="1"/>
      <protection hidden="1"/>
    </xf>
    <xf numFmtId="0" fontId="0" fillId="10" borderId="40" xfId="0" applyFill="1" applyBorder="1" applyProtection="1">
      <protection hidden="1"/>
    </xf>
    <xf numFmtId="0" fontId="0" fillId="10" borderId="29" xfId="0" applyFill="1" applyBorder="1" applyProtection="1">
      <protection hidden="1"/>
    </xf>
    <xf numFmtId="0" fontId="0" fillId="10" borderId="28" xfId="0" applyFill="1" applyBorder="1" applyProtection="1">
      <protection hidden="1"/>
    </xf>
    <xf numFmtId="0" fontId="0" fillId="11" borderId="27" xfId="0" applyFill="1" applyBorder="1" applyProtection="1">
      <protection hidden="1"/>
    </xf>
    <xf numFmtId="0" fontId="0" fillId="11" borderId="41" xfId="0" applyFill="1" applyBorder="1" applyAlignment="1" applyProtection="1">
      <alignment wrapText="1"/>
      <protection hidden="1"/>
    </xf>
    <xf numFmtId="2" fontId="0" fillId="10" borderId="29" xfId="0" applyNumberFormat="1" applyFill="1" applyBorder="1" applyAlignment="1" applyProtection="1">
      <alignment wrapText="1"/>
      <protection hidden="1"/>
    </xf>
    <xf numFmtId="2" fontId="0" fillId="11" borderId="29" xfId="0" applyNumberFormat="1" applyFill="1" applyBorder="1" applyAlignment="1" applyProtection="1">
      <alignment wrapText="1"/>
      <protection hidden="1"/>
    </xf>
    <xf numFmtId="2" fontId="0" fillId="10" borderId="29" xfId="0" applyNumberFormat="1" applyFill="1" applyBorder="1" applyProtection="1">
      <protection hidden="1"/>
    </xf>
    <xf numFmtId="0" fontId="0" fillId="10" borderId="30" xfId="0" applyFill="1" applyBorder="1" applyProtection="1">
      <protection hidden="1"/>
    </xf>
    <xf numFmtId="0" fontId="0" fillId="11" borderId="31" xfId="0" applyFill="1" applyBorder="1" applyProtection="1">
      <protection hidden="1"/>
    </xf>
    <xf numFmtId="0" fontId="0" fillId="11" borderId="55" xfId="0" applyFill="1" applyBorder="1" applyAlignment="1" applyProtection="1">
      <alignment wrapText="1"/>
      <protection hidden="1"/>
    </xf>
    <xf numFmtId="0" fontId="0" fillId="10" borderId="50" xfId="0" applyFill="1" applyBorder="1" applyProtection="1">
      <protection hidden="1"/>
    </xf>
    <xf numFmtId="0" fontId="0" fillId="10" borderId="51" xfId="0" applyFill="1" applyBorder="1" applyAlignment="1" applyProtection="1">
      <alignment wrapText="1"/>
      <protection hidden="1"/>
    </xf>
    <xf numFmtId="2" fontId="0" fillId="10" borderId="51" xfId="0" applyNumberFormat="1" applyFill="1" applyBorder="1" applyAlignment="1" applyProtection="1">
      <alignment wrapText="1"/>
      <protection hidden="1"/>
    </xf>
    <xf numFmtId="2" fontId="0" fillId="10" borderId="52" xfId="0" applyNumberFormat="1" applyFill="1" applyBorder="1" applyAlignment="1" applyProtection="1">
      <alignment wrapText="1"/>
      <protection hidden="1"/>
    </xf>
    <xf numFmtId="0" fontId="11" fillId="0" borderId="7" xfId="2" applyFont="1" applyFill="1" applyBorder="1" applyAlignment="1" applyProtection="1">
      <alignment vertical="center" wrapText="1"/>
      <protection hidden="1"/>
    </xf>
    <xf numFmtId="0" fontId="11" fillId="0" borderId="10" xfId="2" applyFont="1" applyFill="1" applyBorder="1" applyAlignment="1" applyProtection="1">
      <alignment vertical="center" wrapText="1"/>
      <protection hidden="1"/>
    </xf>
    <xf numFmtId="2" fontId="0" fillId="0" borderId="0" xfId="0" applyNumberFormat="1" applyAlignment="1" applyProtection="1">
      <alignment wrapText="1"/>
      <protection hidden="1"/>
    </xf>
    <xf numFmtId="0" fontId="11" fillId="0" borderId="12" xfId="2" applyFont="1" applyFill="1" applyBorder="1" applyAlignment="1" applyProtection="1">
      <alignment vertical="center" wrapText="1"/>
      <protection hidden="1"/>
    </xf>
    <xf numFmtId="0" fontId="3" fillId="5" borderId="11" xfId="2" applyFont="1" applyFill="1" applyBorder="1" applyProtection="1">
      <protection hidden="1"/>
    </xf>
    <xf numFmtId="0" fontId="3" fillId="5" borderId="14" xfId="2" applyFont="1" applyFill="1" applyBorder="1" applyProtection="1">
      <protection hidden="1"/>
    </xf>
    <xf numFmtId="0" fontId="1" fillId="5" borderId="11" xfId="3" applyFill="1" applyBorder="1" applyAlignment="1" applyProtection="1">
      <alignment horizontal="center" vertical="center" wrapText="1"/>
      <protection locked="0"/>
    </xf>
    <xf numFmtId="0" fontId="12" fillId="0" borderId="82" xfId="2" applyFont="1" applyFill="1" applyBorder="1" applyAlignment="1" applyProtection="1">
      <alignment horizontal="center" vertical="center" wrapText="1"/>
      <protection hidden="1"/>
    </xf>
    <xf numFmtId="0" fontId="12" fillId="0" borderId="0" xfId="2" applyFont="1" applyFill="1" applyBorder="1" applyAlignment="1" applyProtection="1">
      <alignment horizontal="center" vertical="center" wrapText="1"/>
      <protection hidden="1"/>
    </xf>
    <xf numFmtId="0" fontId="12" fillId="0" borderId="82" xfId="2" applyFont="1" applyFill="1" applyBorder="1" applyAlignment="1" applyProtection="1">
      <alignment horizontal="center" vertical="center"/>
      <protection hidden="1"/>
    </xf>
    <xf numFmtId="0" fontId="12" fillId="0" borderId="28" xfId="2" applyFont="1" applyFill="1" applyBorder="1" applyAlignment="1" applyProtection="1">
      <alignment horizontal="center" vertical="center" wrapText="1"/>
      <protection hidden="1"/>
    </xf>
    <xf numFmtId="0" fontId="3" fillId="0" borderId="24" xfId="2" applyFont="1" applyFill="1" applyBorder="1" applyAlignment="1" applyProtection="1">
      <alignment horizontal="center"/>
      <protection hidden="1"/>
    </xf>
    <xf numFmtId="0" fontId="3" fillId="0" borderId="4" xfId="2" applyFont="1" applyFill="1" applyBorder="1" applyAlignment="1" applyProtection="1">
      <alignment horizontal="center"/>
      <protection hidden="1"/>
    </xf>
    <xf numFmtId="0" fontId="3" fillId="0" borderId="22" xfId="2" applyFont="1" applyFill="1" applyBorder="1" applyAlignment="1" applyProtection="1">
      <alignment horizontal="center"/>
      <protection hidden="1"/>
    </xf>
    <xf numFmtId="0" fontId="12" fillId="0" borderId="64" xfId="2" applyFont="1" applyFill="1" applyBorder="1" applyAlignment="1" applyProtection="1">
      <alignment horizontal="center" vertical="center" wrapText="1"/>
      <protection hidden="1"/>
    </xf>
    <xf numFmtId="0" fontId="2" fillId="0" borderId="82" xfId="0" applyFont="1" applyBorder="1" applyAlignment="1" applyProtection="1">
      <alignment horizontal="center" vertical="center"/>
      <protection hidden="1"/>
    </xf>
    <xf numFmtId="44" fontId="13" fillId="0" borderId="14" xfId="5" applyFont="1" applyFill="1" applyBorder="1" applyAlignment="1" applyProtection="1">
      <alignment vertical="center"/>
      <protection hidden="1"/>
    </xf>
    <xf numFmtId="165" fontId="13" fillId="0" borderId="14" xfId="5" applyNumberFormat="1" applyFont="1" applyFill="1" applyBorder="1" applyAlignment="1" applyProtection="1">
      <alignment vertical="center"/>
      <protection hidden="1"/>
    </xf>
    <xf numFmtId="44" fontId="13" fillId="0" borderId="74" xfId="5" applyFont="1" applyFill="1" applyBorder="1" applyAlignment="1" applyProtection="1">
      <alignment vertical="center"/>
      <protection hidden="1"/>
    </xf>
    <xf numFmtId="0" fontId="0" fillId="0" borderId="78" xfId="0" applyBorder="1" applyAlignment="1" applyProtection="1">
      <alignment wrapText="1"/>
      <protection hidden="1"/>
    </xf>
    <xf numFmtId="0" fontId="0" fillId="0" borderId="67" xfId="0" applyBorder="1" applyAlignment="1" applyProtection="1">
      <alignment wrapText="1"/>
      <protection hidden="1"/>
    </xf>
    <xf numFmtId="0" fontId="0" fillId="0" borderId="75" xfId="0" applyBorder="1" applyAlignment="1" applyProtection="1">
      <alignment wrapText="1"/>
      <protection hidden="1"/>
    </xf>
    <xf numFmtId="0" fontId="12" fillId="5" borderId="95" xfId="2" applyFont="1" applyFill="1" applyBorder="1" applyAlignment="1" applyProtection="1">
      <alignment wrapText="1"/>
      <protection locked="0"/>
    </xf>
    <xf numFmtId="0" fontId="26" fillId="0" borderId="44" xfId="9" applyBorder="1" applyAlignment="1">
      <alignment horizontal="left" vertical="center" wrapText="1" indent="1"/>
    </xf>
    <xf numFmtId="0" fontId="0" fillId="0" borderId="44" xfId="0" applyBorder="1" applyAlignment="1" applyProtection="1">
      <alignment horizontal="left" vertical="center" wrapText="1" indent="1"/>
      <protection locked="0"/>
    </xf>
    <xf numFmtId="0" fontId="11" fillId="0" borderId="96" xfId="2" applyFont="1" applyFill="1" applyBorder="1" applyAlignment="1" applyProtection="1">
      <alignment wrapText="1"/>
      <protection hidden="1"/>
    </xf>
    <xf numFmtId="2" fontId="11" fillId="0" borderId="97" xfId="2" applyNumberFormat="1" applyFont="1" applyFill="1" applyBorder="1" applyAlignment="1" applyProtection="1">
      <alignment horizontal="center" vertical="center" wrapText="1"/>
      <protection hidden="1"/>
    </xf>
    <xf numFmtId="44" fontId="12" fillId="0" borderId="98" xfId="2" applyNumberFormat="1" applyFont="1" applyFill="1" applyBorder="1" applyAlignment="1" applyProtection="1">
      <alignment horizontal="center" vertical="center" wrapText="1"/>
      <protection hidden="1"/>
    </xf>
    <xf numFmtId="166" fontId="13" fillId="0" borderId="74" xfId="2" applyNumberFormat="1" applyFont="1" applyFill="1" applyBorder="1" applyAlignment="1" applyProtection="1">
      <alignment vertical="center"/>
      <protection hidden="1"/>
    </xf>
    <xf numFmtId="0" fontId="11" fillId="0" borderId="102" xfId="2" applyFont="1" applyFill="1" applyBorder="1" applyAlignment="1" applyProtection="1">
      <alignment horizontal="center" vertical="center" wrapText="1"/>
      <protection hidden="1"/>
    </xf>
    <xf numFmtId="0" fontId="12" fillId="0" borderId="103" xfId="2" applyFont="1" applyFill="1" applyBorder="1" applyAlignment="1" applyProtection="1">
      <alignment horizontal="center" vertical="center" wrapText="1"/>
      <protection hidden="1"/>
    </xf>
    <xf numFmtId="0" fontId="12" fillId="0" borderId="102" xfId="2" applyFont="1" applyFill="1" applyBorder="1" applyAlignment="1" applyProtection="1">
      <alignment horizontal="left" vertical="center" wrapText="1"/>
      <protection hidden="1"/>
    </xf>
    <xf numFmtId="9" fontId="0" fillId="0" borderId="103" xfId="6" applyFont="1" applyBorder="1" applyAlignment="1" applyProtection="1">
      <alignment horizontal="center" vertical="center"/>
      <protection hidden="1"/>
    </xf>
    <xf numFmtId="0" fontId="11" fillId="0" borderId="99" xfId="2" applyFont="1" applyFill="1" applyBorder="1" applyAlignment="1" applyProtection="1">
      <alignment wrapText="1"/>
      <protection hidden="1"/>
    </xf>
    <xf numFmtId="44" fontId="12" fillId="0" borderId="101" xfId="2" applyNumberFormat="1" applyFont="1" applyFill="1" applyBorder="1" applyAlignment="1" applyProtection="1">
      <alignment horizontal="center" vertical="center" wrapText="1"/>
      <protection hidden="1"/>
    </xf>
    <xf numFmtId="164" fontId="11" fillId="0" borderId="97" xfId="2" applyNumberFormat="1" applyFont="1" applyFill="1" applyBorder="1" applyAlignment="1" applyProtection="1">
      <alignment horizontal="center" vertical="center" wrapText="1"/>
      <protection hidden="1"/>
    </xf>
    <xf numFmtId="164" fontId="11" fillId="0" borderId="100" xfId="2" applyNumberFormat="1" applyFont="1" applyFill="1" applyBorder="1" applyAlignment="1" applyProtection="1">
      <alignment horizontal="center" vertical="center" wrapText="1"/>
      <protection hidden="1"/>
    </xf>
    <xf numFmtId="164" fontId="0" fillId="0" borderId="103" xfId="6" applyNumberFormat="1" applyFont="1" applyBorder="1" applyAlignment="1" applyProtection="1">
      <alignment horizontal="center" vertical="center"/>
      <protection hidden="1"/>
    </xf>
    <xf numFmtId="165" fontId="12" fillId="5" borderId="90" xfId="5" applyNumberFormat="1" applyFont="1" applyFill="1" applyBorder="1" applyAlignment="1" applyProtection="1">
      <alignment horizontal="right" vertical="center" wrapText="1"/>
      <protection locked="0"/>
    </xf>
    <xf numFmtId="0" fontId="13" fillId="0" borderId="0" xfId="2" applyFont="1" applyFill="1" applyBorder="1" applyAlignment="1" applyProtection="1">
      <alignment horizontal="left"/>
      <protection hidden="1"/>
    </xf>
    <xf numFmtId="44" fontId="13" fillId="0" borderId="0" xfId="5" applyFont="1" applyFill="1" applyBorder="1" applyAlignment="1" applyProtection="1">
      <alignment vertical="center"/>
      <protection hidden="1"/>
    </xf>
    <xf numFmtId="49" fontId="0" fillId="0" borderId="0" xfId="0" applyNumberFormat="1"/>
    <xf numFmtId="165" fontId="11" fillId="0" borderId="6" xfId="2" applyNumberFormat="1" applyFont="1" applyFill="1" applyBorder="1" applyAlignment="1" applyProtection="1">
      <alignment horizontal="center" vertical="center"/>
      <protection hidden="1"/>
    </xf>
    <xf numFmtId="165" fontId="11" fillId="0" borderId="135" xfId="2" applyNumberFormat="1" applyFont="1" applyFill="1" applyBorder="1" applyAlignment="1" applyProtection="1">
      <alignment horizontal="center" vertical="center"/>
      <protection hidden="1"/>
    </xf>
    <xf numFmtId="0" fontId="20" fillId="12" borderId="27" xfId="3" applyFont="1" applyFill="1" applyBorder="1" applyAlignment="1" applyProtection="1">
      <alignment horizontal="center" vertical="center" wrapText="1"/>
      <protection locked="0"/>
    </xf>
    <xf numFmtId="0" fontId="12" fillId="5" borderId="150" xfId="2" applyFont="1" applyFill="1" applyBorder="1" applyAlignment="1" applyProtection="1">
      <alignment wrapText="1"/>
      <protection locked="0"/>
    </xf>
    <xf numFmtId="0" fontId="37" fillId="0" borderId="0" xfId="7" applyFont="1" applyAlignment="1">
      <alignment horizontal="left" vertical="center"/>
    </xf>
    <xf numFmtId="0" fontId="16" fillId="0" borderId="0" xfId="7"/>
    <xf numFmtId="0" fontId="16" fillId="0" borderId="0" xfId="7" applyAlignment="1">
      <alignment horizontal="left" vertical="center"/>
    </xf>
    <xf numFmtId="0" fontId="16" fillId="0" borderId="105" xfId="7" applyBorder="1"/>
    <xf numFmtId="0" fontId="16" fillId="0" borderId="106" xfId="7" applyBorder="1"/>
    <xf numFmtId="0" fontId="16" fillId="0" borderId="107" xfId="7" applyBorder="1"/>
    <xf numFmtId="0" fontId="28" fillId="0" borderId="0" xfId="7" applyFont="1" applyAlignment="1">
      <alignment horizontal="left" vertical="center"/>
    </xf>
    <xf numFmtId="0" fontId="27" fillId="0" borderId="0" xfId="7" applyFont="1" applyAlignment="1">
      <alignment horizontal="left" vertical="center"/>
    </xf>
    <xf numFmtId="0" fontId="30" fillId="0" borderId="0" xfId="7" applyFont="1" applyAlignment="1">
      <alignment horizontal="left" vertical="top"/>
    </xf>
    <xf numFmtId="0" fontId="32" fillId="0" borderId="0" xfId="7" applyFont="1" applyAlignment="1">
      <alignment horizontal="left" vertical="center"/>
    </xf>
    <xf numFmtId="0" fontId="31" fillId="0" borderId="0" xfId="7" applyFont="1" applyAlignment="1">
      <alignment horizontal="left" vertical="top"/>
    </xf>
    <xf numFmtId="0" fontId="30" fillId="0" borderId="0" xfId="7" applyFont="1" applyAlignment="1">
      <alignment horizontal="left" vertical="center"/>
    </xf>
    <xf numFmtId="0" fontId="32" fillId="0" borderId="0" xfId="7" applyFont="1" applyAlignment="1">
      <alignment horizontal="left" vertical="center" wrapText="1"/>
    </xf>
    <xf numFmtId="0" fontId="16" fillId="0" borderId="112" xfId="7" applyBorder="1"/>
    <xf numFmtId="0" fontId="16" fillId="0" borderId="0" xfId="7" applyAlignment="1">
      <alignment vertical="center"/>
    </xf>
    <xf numFmtId="0" fontId="16" fillId="0" borderId="107" xfId="7" applyBorder="1" applyAlignment="1">
      <alignment vertical="center"/>
    </xf>
    <xf numFmtId="0" fontId="33" fillId="0" borderId="113" xfId="7" applyFont="1" applyBorder="1" applyAlignment="1">
      <alignment horizontal="left" vertical="center"/>
    </xf>
    <xf numFmtId="0" fontId="16" fillId="0" borderId="113" xfId="7" applyBorder="1" applyAlignment="1">
      <alignment vertical="center"/>
    </xf>
    <xf numFmtId="0" fontId="30" fillId="0" borderId="0" xfId="7" applyFont="1" applyAlignment="1">
      <alignment horizontal="right" vertical="center"/>
    </xf>
    <xf numFmtId="0" fontId="30" fillId="0" borderId="0" xfId="7" applyFont="1" applyAlignment="1">
      <alignment vertical="center"/>
    </xf>
    <xf numFmtId="0" fontId="30" fillId="0" borderId="107" xfId="7" applyFont="1" applyBorder="1" applyAlignment="1">
      <alignment vertical="center"/>
    </xf>
    <xf numFmtId="0" fontId="36" fillId="0" borderId="0" xfId="7" applyFont="1" applyAlignment="1">
      <alignment horizontal="left" vertical="center"/>
    </xf>
    <xf numFmtId="0" fontId="36" fillId="0" borderId="0" xfId="7" applyFont="1" applyAlignment="1">
      <alignment vertical="center"/>
    </xf>
    <xf numFmtId="0" fontId="36" fillId="0" borderId="107" xfId="7" applyFont="1" applyBorder="1" applyAlignment="1">
      <alignment vertical="center"/>
    </xf>
    <xf numFmtId="0" fontId="16" fillId="16" borderId="0" xfId="7" applyFill="1" applyAlignment="1">
      <alignment vertical="center"/>
    </xf>
    <xf numFmtId="0" fontId="38" fillId="16" borderId="109" xfId="7" applyFont="1" applyFill="1" applyBorder="1" applyAlignment="1">
      <alignment horizontal="left" vertical="center"/>
    </xf>
    <xf numFmtId="0" fontId="16" fillId="16" borderId="110" xfId="7" applyFill="1" applyBorder="1" applyAlignment="1">
      <alignment vertical="center"/>
    </xf>
    <xf numFmtId="0" fontId="38" fillId="16" borderId="110" xfId="7" applyFont="1" applyFill="1" applyBorder="1" applyAlignment="1">
      <alignment horizontal="center" vertical="center"/>
    </xf>
    <xf numFmtId="0" fontId="39" fillId="0" borderId="112" xfId="7" applyFont="1" applyBorder="1" applyAlignment="1">
      <alignment horizontal="left" vertical="center"/>
    </xf>
    <xf numFmtId="0" fontId="16" fillId="0" borderId="112" xfId="7" applyBorder="1" applyAlignment="1">
      <alignment vertical="center"/>
    </xf>
    <xf numFmtId="0" fontId="30" fillId="0" borderId="113" xfId="7" applyFont="1" applyBorder="1" applyAlignment="1">
      <alignment horizontal="left" vertical="center"/>
    </xf>
    <xf numFmtId="0" fontId="16" fillId="0" borderId="114" xfId="7" applyBorder="1" applyAlignment="1">
      <alignment vertical="center"/>
    </xf>
    <xf numFmtId="0" fontId="16" fillId="0" borderId="115" xfId="7" applyBorder="1" applyAlignment="1">
      <alignment vertical="center"/>
    </xf>
    <xf numFmtId="0" fontId="16" fillId="0" borderId="105" xfId="7" applyBorder="1" applyAlignment="1">
      <alignment vertical="center"/>
    </xf>
    <xf numFmtId="0" fontId="16" fillId="0" borderId="106" xfId="7" applyBorder="1" applyAlignment="1">
      <alignment vertical="center"/>
    </xf>
    <xf numFmtId="0" fontId="32" fillId="0" borderId="0" xfId="7" applyFont="1" applyAlignment="1">
      <alignment vertical="center"/>
    </xf>
    <xf numFmtId="0" fontId="32" fillId="0" borderId="107" xfId="7" applyFont="1" applyBorder="1" applyAlignment="1">
      <alignment vertical="center"/>
    </xf>
    <xf numFmtId="0" fontId="31" fillId="0" borderId="0" xfId="7" applyFont="1" applyAlignment="1">
      <alignment vertical="center"/>
    </xf>
    <xf numFmtId="0" fontId="31" fillId="0" borderId="107" xfId="7" applyFont="1" applyBorder="1" applyAlignment="1">
      <alignment vertical="center"/>
    </xf>
    <xf numFmtId="0" fontId="31" fillId="0" borderId="0" xfId="7" applyFont="1" applyAlignment="1">
      <alignment horizontal="left" vertical="center"/>
    </xf>
    <xf numFmtId="0" fontId="33" fillId="0" borderId="0" xfId="7" applyFont="1" applyAlignment="1">
      <alignment vertical="center"/>
    </xf>
    <xf numFmtId="167" fontId="32" fillId="0" borderId="0" xfId="7" applyNumberFormat="1" applyFont="1" applyAlignment="1">
      <alignment horizontal="left" vertical="center"/>
    </xf>
    <xf numFmtId="0" fontId="16" fillId="0" borderId="108" xfId="7" applyBorder="1" applyAlignment="1">
      <alignment vertical="center"/>
    </xf>
    <xf numFmtId="0" fontId="16" fillId="0" borderId="121" xfId="7" applyBorder="1" applyAlignment="1">
      <alignment vertical="center"/>
    </xf>
    <xf numFmtId="0" fontId="35" fillId="0" borderId="0" xfId="7" applyFont="1" applyAlignment="1">
      <alignment horizontal="left" vertical="center"/>
    </xf>
    <xf numFmtId="0" fontId="16" fillId="0" borderId="123" xfId="7" applyBorder="1" applyAlignment="1">
      <alignment vertical="center"/>
    </xf>
    <xf numFmtId="0" fontId="16" fillId="15" borderId="110" xfId="7" applyFill="1" applyBorder="1" applyAlignment="1">
      <alignment vertical="center"/>
    </xf>
    <xf numFmtId="0" fontId="40" fillId="15" borderId="0" xfId="7" applyFont="1" applyFill="1" applyAlignment="1">
      <alignment horizontal="center" vertical="center"/>
    </xf>
    <xf numFmtId="0" fontId="43" fillId="0" borderId="117" xfId="7" applyFont="1" applyBorder="1" applyAlignment="1">
      <alignment horizontal="center" vertical="center" wrapText="1"/>
    </xf>
    <xf numFmtId="0" fontId="43" fillId="0" borderId="118" xfId="7" applyFont="1" applyBorder="1" applyAlignment="1">
      <alignment horizontal="center" vertical="center" wrapText="1"/>
    </xf>
    <xf numFmtId="0" fontId="43" fillId="0" borderId="119" xfId="7" applyFont="1" applyBorder="1" applyAlignment="1">
      <alignment horizontal="center" vertical="center" wrapText="1"/>
    </xf>
    <xf numFmtId="0" fontId="16" fillId="0" borderId="120" xfId="7" applyBorder="1" applyAlignment="1">
      <alignment vertical="center"/>
    </xf>
    <xf numFmtId="0" fontId="38" fillId="0" borderId="0" xfId="7" applyFont="1" applyAlignment="1">
      <alignment vertical="center"/>
    </xf>
    <xf numFmtId="0" fontId="38" fillId="0" borderId="107" xfId="7" applyFont="1" applyBorder="1" applyAlignment="1">
      <alignment vertical="center"/>
    </xf>
    <xf numFmtId="0" fontId="34" fillId="0" borderId="0" xfId="7" applyFont="1" applyAlignment="1">
      <alignment horizontal="left" vertical="center"/>
    </xf>
    <xf numFmtId="0" fontId="34" fillId="0" borderId="0" xfId="7" applyFont="1" applyAlignment="1">
      <alignment vertical="center"/>
    </xf>
    <xf numFmtId="4" fontId="34" fillId="0" borderId="0" xfId="7" applyNumberFormat="1" applyFont="1" applyAlignment="1">
      <alignment vertical="center"/>
    </xf>
    <xf numFmtId="0" fontId="38" fillId="0" borderId="0" xfId="7" applyFont="1" applyAlignment="1">
      <alignment horizontal="center" vertical="center"/>
    </xf>
    <xf numFmtId="4" fontId="51" fillId="0" borderId="122" xfId="7" applyNumberFormat="1" applyFont="1" applyBorder="1" applyAlignment="1">
      <alignment vertical="center"/>
    </xf>
    <xf numFmtId="4" fontId="51" fillId="0" borderId="0" xfId="7" applyNumberFormat="1" applyFont="1" applyAlignment="1">
      <alignment vertical="center"/>
    </xf>
    <xf numFmtId="169" fontId="51" fillId="0" borderId="0" xfId="7" applyNumberFormat="1" applyFont="1" applyAlignment="1">
      <alignment vertical="center"/>
    </xf>
    <xf numFmtId="4" fontId="51" fillId="0" borderId="123" xfId="7" applyNumberFormat="1" applyFont="1" applyBorder="1" applyAlignment="1">
      <alignment vertical="center"/>
    </xf>
    <xf numFmtId="0" fontId="38" fillId="0" borderId="0" xfId="7" applyFont="1" applyAlignment="1">
      <alignment horizontal="left" vertical="center"/>
    </xf>
    <xf numFmtId="0" fontId="52" fillId="0" borderId="0" xfId="7" applyFont="1" applyAlignment="1">
      <alignment horizontal="left" vertical="center"/>
    </xf>
    <xf numFmtId="0" fontId="54" fillId="0" borderId="107" xfId="7" applyFont="1" applyBorder="1" applyAlignment="1">
      <alignment vertical="center"/>
    </xf>
    <xf numFmtId="0" fontId="55" fillId="0" borderId="0" xfId="7" applyFont="1" applyAlignment="1">
      <alignment vertical="center"/>
    </xf>
    <xf numFmtId="0" fontId="56" fillId="0" borderId="0" xfId="7" applyFont="1" applyAlignment="1">
      <alignment vertical="center"/>
    </xf>
    <xf numFmtId="0" fontId="31" fillId="0" borderId="0" xfId="7" applyFont="1" applyAlignment="1">
      <alignment horizontal="center" vertical="center"/>
    </xf>
    <xf numFmtId="4" fontId="57" fillId="0" borderId="122" xfId="7" applyNumberFormat="1" applyFont="1" applyBorder="1" applyAlignment="1">
      <alignment vertical="center"/>
    </xf>
    <xf numFmtId="4" fontId="57" fillId="0" borderId="0" xfId="7" applyNumberFormat="1" applyFont="1" applyAlignment="1">
      <alignment vertical="center"/>
    </xf>
    <xf numFmtId="169" fontId="57" fillId="0" borderId="0" xfId="7" applyNumberFormat="1" applyFont="1" applyAlignment="1">
      <alignment vertical="center"/>
    </xf>
    <xf numFmtId="4" fontId="57" fillId="0" borderId="123" xfId="7" applyNumberFormat="1" applyFont="1" applyBorder="1" applyAlignment="1">
      <alignment vertical="center"/>
    </xf>
    <xf numFmtId="0" fontId="54" fillId="0" borderId="0" xfId="7" applyFont="1" applyAlignment="1">
      <alignment vertical="center"/>
    </xf>
    <xf numFmtId="0" fontId="54" fillId="0" borderId="0" xfId="7" applyFont="1" applyAlignment="1">
      <alignment horizontal="left" vertical="center"/>
    </xf>
    <xf numFmtId="4" fontId="57" fillId="0" borderId="125" xfId="7" applyNumberFormat="1" applyFont="1" applyBorder="1" applyAlignment="1">
      <alignment vertical="center"/>
    </xf>
    <xf numFmtId="4" fontId="57" fillId="0" borderId="116" xfId="7" applyNumberFormat="1" applyFont="1" applyBorder="1" applyAlignment="1">
      <alignment vertical="center"/>
    </xf>
    <xf numFmtId="169" fontId="57" fillId="0" borderId="116" xfId="7" applyNumberFormat="1" applyFont="1" applyBorder="1" applyAlignment="1">
      <alignment vertical="center"/>
    </xf>
    <xf numFmtId="4" fontId="57" fillId="0" borderId="126" xfId="7" applyNumberFormat="1" applyFont="1" applyBorder="1" applyAlignment="1">
      <alignment vertical="center"/>
    </xf>
    <xf numFmtId="0" fontId="29" fillId="0" borderId="0" xfId="7" applyFont="1" applyAlignment="1">
      <alignment horizontal="left" vertical="center"/>
    </xf>
    <xf numFmtId="0" fontId="16" fillId="0" borderId="0" xfId="7" applyAlignment="1">
      <alignment vertical="center" wrapText="1"/>
    </xf>
    <xf numFmtId="0" fontId="16" fillId="0" borderId="107" xfId="7" applyBorder="1" applyAlignment="1">
      <alignment vertical="center" wrapText="1"/>
    </xf>
    <xf numFmtId="0" fontId="33" fillId="0" borderId="0" xfId="7" applyFont="1" applyAlignment="1">
      <alignment horizontal="left" vertical="center"/>
    </xf>
    <xf numFmtId="4" fontId="36" fillId="0" borderId="0" xfId="7" applyNumberFormat="1" applyFont="1" applyAlignment="1">
      <alignment vertical="center"/>
    </xf>
    <xf numFmtId="0" fontId="37" fillId="0" borderId="0" xfId="7" applyFont="1" applyAlignment="1">
      <alignment vertical="center"/>
    </xf>
    <xf numFmtId="168" fontId="36" fillId="0" borderId="0" xfId="7" applyNumberFormat="1" applyFont="1" applyAlignment="1">
      <alignment horizontal="right" vertical="center"/>
    </xf>
    <xf numFmtId="4" fontId="30" fillId="0" borderId="0" xfId="7" applyNumberFormat="1" applyFont="1" applyAlignment="1">
      <alignment vertical="center"/>
    </xf>
    <xf numFmtId="168" fontId="30" fillId="0" borderId="0" xfId="7" applyNumberFormat="1" applyFont="1" applyAlignment="1">
      <alignment horizontal="right" vertical="center"/>
    </xf>
    <xf numFmtId="0" fontId="16" fillId="15" borderId="0" xfId="7" applyFill="1" applyAlignment="1">
      <alignment vertical="center"/>
    </xf>
    <xf numFmtId="0" fontId="38" fillId="15" borderId="109" xfId="7" applyFont="1" applyFill="1" applyBorder="1" applyAlignment="1">
      <alignment horizontal="left" vertical="center"/>
    </xf>
    <xf numFmtId="0" fontId="38" fillId="15" borderId="110" xfId="7" applyFont="1" applyFill="1" applyBorder="1" applyAlignment="1">
      <alignment horizontal="right" vertical="center"/>
    </xf>
    <xf numFmtId="0" fontId="38" fillId="15" borderId="110" xfId="7" applyFont="1" applyFill="1" applyBorder="1" applyAlignment="1">
      <alignment horizontal="center" vertical="center"/>
    </xf>
    <xf numFmtId="4" fontId="38" fillId="15" borderId="110" xfId="7" applyNumberFormat="1" applyFont="1" applyFill="1" applyBorder="1" applyAlignment="1">
      <alignment vertical="center"/>
    </xf>
    <xf numFmtId="0" fontId="16" fillId="15" borderId="111" xfId="7" applyFill="1" applyBorder="1" applyAlignment="1">
      <alignment vertical="center"/>
    </xf>
    <xf numFmtId="0" fontId="30" fillId="0" borderId="113" xfId="7" applyFont="1" applyBorder="1" applyAlignment="1">
      <alignment horizontal="center" vertical="center"/>
    </xf>
    <xf numFmtId="0" fontId="30" fillId="0" borderId="113" xfId="7" applyFont="1" applyBorder="1" applyAlignment="1">
      <alignment horizontal="right" vertical="center"/>
    </xf>
    <xf numFmtId="0" fontId="40" fillId="15" borderId="0" xfId="7" applyFont="1" applyFill="1" applyAlignment="1">
      <alignment horizontal="left" vertical="center"/>
    </xf>
    <xf numFmtId="0" fontId="40" fillId="15" borderId="0" xfId="7" applyFont="1" applyFill="1" applyAlignment="1">
      <alignment horizontal="right" vertical="center"/>
    </xf>
    <xf numFmtId="0" fontId="41" fillId="0" borderId="0" xfId="7" applyFont="1" applyAlignment="1">
      <alignment horizontal="left" vertical="center"/>
    </xf>
    <xf numFmtId="0" fontId="42" fillId="0" borderId="0" xfId="7" applyFont="1" applyAlignment="1">
      <alignment vertical="center"/>
    </xf>
    <xf numFmtId="0" fontId="42" fillId="0" borderId="107" xfId="7" applyFont="1" applyBorder="1" applyAlignment="1">
      <alignment vertical="center"/>
    </xf>
    <xf numFmtId="0" fontId="42" fillId="0" borderId="116" xfId="7" applyFont="1" applyBorder="1" applyAlignment="1">
      <alignment horizontal="left" vertical="center"/>
    </xf>
    <xf numFmtId="0" fontId="42" fillId="0" borderId="116" xfId="7" applyFont="1" applyBorder="1" applyAlignment="1">
      <alignment vertical="center"/>
    </xf>
    <xf numFmtId="4" fontId="42" fillId="0" borderId="116" xfId="7" applyNumberFormat="1" applyFont="1" applyBorder="1" applyAlignment="1">
      <alignment vertical="center"/>
    </xf>
    <xf numFmtId="0" fontId="58" fillId="0" borderId="0" xfId="7" applyFont="1" applyAlignment="1">
      <alignment vertical="center"/>
    </xf>
    <xf numFmtId="0" fontId="58" fillId="0" borderId="107" xfId="7" applyFont="1" applyBorder="1" applyAlignment="1">
      <alignment vertical="center"/>
    </xf>
    <xf numFmtId="0" fontId="58" fillId="0" borderId="116" xfId="7" applyFont="1" applyBorder="1" applyAlignment="1">
      <alignment horizontal="left" vertical="center"/>
    </xf>
    <xf numFmtId="0" fontId="58" fillId="0" borderId="116" xfId="7" applyFont="1" applyBorder="1" applyAlignment="1">
      <alignment vertical="center"/>
    </xf>
    <xf numFmtId="4" fontId="58" fillId="0" borderId="116" xfId="7" applyNumberFormat="1" applyFont="1" applyBorder="1" applyAlignment="1">
      <alignment vertical="center"/>
    </xf>
    <xf numFmtId="0" fontId="16" fillId="0" borderId="0" xfId="7" applyAlignment="1">
      <alignment horizontal="center" vertical="center" wrapText="1"/>
    </xf>
    <xf numFmtId="0" fontId="16" fillId="0" borderId="107" xfId="7" applyBorder="1" applyAlignment="1">
      <alignment horizontal="center" vertical="center" wrapText="1"/>
    </xf>
    <xf numFmtId="0" fontId="40" fillId="15" borderId="117" xfId="7" applyFont="1" applyFill="1" applyBorder="1" applyAlignment="1">
      <alignment horizontal="center" vertical="center" wrapText="1"/>
    </xf>
    <xf numFmtId="0" fontId="40" fillId="15" borderId="118" xfId="7" applyFont="1" applyFill="1" applyBorder="1" applyAlignment="1">
      <alignment horizontal="center" vertical="center" wrapText="1"/>
    </xf>
    <xf numFmtId="0" fontId="40" fillId="15" borderId="119" xfId="7" applyFont="1" applyFill="1" applyBorder="1" applyAlignment="1">
      <alignment horizontal="center" vertical="center" wrapText="1"/>
    </xf>
    <xf numFmtId="0" fontId="40" fillId="15" borderId="0" xfId="7" applyFont="1" applyFill="1" applyAlignment="1">
      <alignment horizontal="center" vertical="center" wrapText="1"/>
    </xf>
    <xf numFmtId="4" fontId="34" fillId="0" borderId="0" xfId="7" applyNumberFormat="1" applyFont="1"/>
    <xf numFmtId="169" fontId="44" fillId="0" borderId="108" xfId="7" applyNumberFormat="1" applyFont="1" applyBorder="1"/>
    <xf numFmtId="169" fontId="44" fillId="0" borderId="121" xfId="7" applyNumberFormat="1" applyFont="1" applyBorder="1"/>
    <xf numFmtId="4" fontId="45" fillId="0" borderId="0" xfId="7" applyNumberFormat="1" applyFont="1" applyAlignment="1">
      <alignment vertical="center"/>
    </xf>
    <xf numFmtId="0" fontId="46" fillId="0" borderId="0" xfId="7" applyFont="1"/>
    <xf numFmtId="0" fontId="46" fillId="0" borderId="107" xfId="7" applyFont="1" applyBorder="1"/>
    <xf numFmtId="0" fontId="46" fillId="0" borderId="0" xfId="7" applyFont="1" applyAlignment="1">
      <alignment horizontal="left"/>
    </xf>
    <xf numFmtId="0" fontId="42" fillId="0" borderId="0" xfId="7" applyFont="1" applyAlignment="1">
      <alignment horizontal="left"/>
    </xf>
    <xf numFmtId="4" fontId="42" fillId="0" borderId="0" xfId="7" applyNumberFormat="1" applyFont="1"/>
    <xf numFmtId="0" fontId="46" fillId="0" borderId="122" xfId="7" applyFont="1" applyBorder="1"/>
    <xf numFmtId="169" fontId="46" fillId="0" borderId="0" xfId="7" applyNumberFormat="1" applyFont="1"/>
    <xf numFmtId="169" fontId="46" fillId="0" borderId="123" xfId="7" applyNumberFormat="1" applyFont="1" applyBorder="1"/>
    <xf numFmtId="0" fontId="46" fillId="0" borderId="0" xfId="7" applyFont="1" applyAlignment="1">
      <alignment horizontal="center"/>
    </xf>
    <xf numFmtId="4" fontId="46" fillId="0" borderId="0" xfId="7" applyNumberFormat="1" applyFont="1" applyAlignment="1">
      <alignment vertical="center"/>
    </xf>
    <xf numFmtId="0" fontId="58" fillId="0" borderId="0" xfId="7" applyFont="1" applyAlignment="1">
      <alignment horizontal="left"/>
    </xf>
    <xf numFmtId="4" fontId="58" fillId="0" borderId="0" xfId="7" applyNumberFormat="1" applyFont="1"/>
    <xf numFmtId="0" fontId="43" fillId="0" borderId="122" xfId="7" applyFont="1" applyBorder="1" applyAlignment="1">
      <alignment horizontal="left" vertical="center"/>
    </xf>
    <xf numFmtId="0" fontId="43" fillId="0" borderId="0" xfId="7" applyFont="1" applyAlignment="1">
      <alignment horizontal="center" vertical="center"/>
    </xf>
    <xf numFmtId="169" fontId="43" fillId="0" borderId="0" xfId="7" applyNumberFormat="1" applyFont="1" applyAlignment="1">
      <alignment vertical="center"/>
    </xf>
    <xf numFmtId="169" fontId="43" fillId="0" borderId="123" xfId="7" applyNumberFormat="1" applyFont="1" applyBorder="1" applyAlignment="1">
      <alignment vertical="center"/>
    </xf>
    <xf numFmtId="0" fontId="40" fillId="0" borderId="0" xfId="7" applyFont="1" applyAlignment="1">
      <alignment horizontal="left" vertical="center"/>
    </xf>
    <xf numFmtId="4" fontId="16" fillId="0" borderId="0" xfId="7" applyNumberFormat="1" applyAlignment="1">
      <alignment vertical="center"/>
    </xf>
    <xf numFmtId="0" fontId="48" fillId="0" borderId="107" xfId="7" applyFont="1" applyBorder="1" applyAlignment="1">
      <alignment vertical="center"/>
    </xf>
    <xf numFmtId="0" fontId="47" fillId="0" borderId="122" xfId="7" applyFont="1" applyBorder="1" applyAlignment="1">
      <alignment horizontal="left" vertical="center"/>
    </xf>
    <xf numFmtId="0" fontId="47" fillId="0" borderId="0" xfId="7" applyFont="1" applyAlignment="1">
      <alignment horizontal="center" vertical="center"/>
    </xf>
    <xf numFmtId="0" fontId="46" fillId="0" borderId="125" xfId="7" applyFont="1" applyBorder="1"/>
    <xf numFmtId="0" fontId="46" fillId="0" borderId="116" xfId="7" applyFont="1" applyBorder="1"/>
    <xf numFmtId="169" fontId="46" fillId="0" borderId="116" xfId="7" applyNumberFormat="1" applyFont="1" applyBorder="1"/>
    <xf numFmtId="169" fontId="46" fillId="0" borderId="126" xfId="7" applyNumberFormat="1" applyFont="1" applyBorder="1"/>
    <xf numFmtId="0" fontId="12" fillId="0" borderId="67" xfId="2" applyFont="1" applyFill="1" applyBorder="1" applyAlignment="1" applyProtection="1">
      <alignment horizontal="center" vertical="center" wrapText="1"/>
      <protection hidden="1"/>
    </xf>
    <xf numFmtId="0" fontId="12" fillId="0" borderId="143" xfId="2" applyFont="1" applyFill="1" applyBorder="1" applyAlignment="1" applyProtection="1">
      <alignment horizontal="center" vertical="center" wrapText="1"/>
      <protection hidden="1"/>
    </xf>
    <xf numFmtId="0" fontId="12" fillId="0" borderId="144" xfId="2" applyFont="1" applyFill="1" applyBorder="1" applyAlignment="1" applyProtection="1">
      <alignment horizontal="center" vertical="center" wrapText="1"/>
      <protection hidden="1"/>
    </xf>
    <xf numFmtId="0" fontId="12" fillId="0" borderId="154" xfId="2" applyFont="1" applyFill="1" applyBorder="1" applyAlignment="1" applyProtection="1">
      <alignment vertical="center" wrapText="1"/>
      <protection hidden="1"/>
    </xf>
    <xf numFmtId="0" fontId="12" fillId="0" borderId="155" xfId="2" applyFont="1" applyFill="1" applyBorder="1" applyAlignment="1" applyProtection="1">
      <alignment horizontal="center" vertical="center" wrapText="1"/>
      <protection hidden="1"/>
    </xf>
    <xf numFmtId="0" fontId="12" fillId="0" borderId="156" xfId="2" applyFont="1" applyFill="1" applyBorder="1" applyAlignment="1" applyProtection="1">
      <alignment horizontal="center" vertical="center" wrapText="1"/>
      <protection hidden="1"/>
    </xf>
    <xf numFmtId="0" fontId="0" fillId="0" borderId="153" xfId="0" applyBorder="1"/>
    <xf numFmtId="0" fontId="0" fillId="0" borderId="89" xfId="0" applyBorder="1"/>
    <xf numFmtId="2" fontId="2" fillId="5" borderId="89" xfId="0" applyNumberFormat="1" applyFont="1" applyFill="1" applyBorder="1" applyAlignment="1" applyProtection="1">
      <alignment horizontal="center" vertical="center"/>
      <protection locked="0"/>
    </xf>
    <xf numFmtId="4" fontId="0" fillId="0" borderId="89" xfId="0" applyNumberFormat="1" applyBorder="1"/>
    <xf numFmtId="2" fontId="2" fillId="5" borderId="90" xfId="0" applyNumberFormat="1" applyFont="1" applyFill="1" applyBorder="1" applyAlignment="1" applyProtection="1">
      <alignment horizontal="center" vertical="center"/>
      <protection locked="0"/>
    </xf>
    <xf numFmtId="3" fontId="0" fillId="0" borderId="89" xfId="0" applyNumberFormat="1" applyBorder="1"/>
    <xf numFmtId="0" fontId="2" fillId="0" borderId="89" xfId="0" applyFont="1" applyBorder="1" applyAlignment="1">
      <alignment horizontal="center" vertical="center" wrapText="1"/>
    </xf>
    <xf numFmtId="0" fontId="2" fillId="0" borderId="90" xfId="0" applyFont="1" applyBorder="1" applyAlignment="1">
      <alignment horizontal="center" vertical="center" wrapText="1"/>
    </xf>
    <xf numFmtId="0" fontId="2" fillId="0" borderId="153" xfId="0" applyFont="1" applyBorder="1" applyAlignment="1">
      <alignment horizontal="center" vertical="center"/>
    </xf>
    <xf numFmtId="0" fontId="2" fillId="0" borderId="89" xfId="0" applyFont="1" applyBorder="1" applyAlignment="1">
      <alignment horizontal="center" vertical="center"/>
    </xf>
    <xf numFmtId="164" fontId="11" fillId="13" borderId="97" xfId="2" applyNumberFormat="1" applyFont="1" applyFill="1" applyBorder="1" applyAlignment="1" applyProtection="1">
      <alignment horizontal="center" vertical="center" wrapText="1"/>
      <protection hidden="1"/>
    </xf>
    <xf numFmtId="164" fontId="11" fillId="13" borderId="100" xfId="2" applyNumberFormat="1" applyFont="1" applyFill="1" applyBorder="1" applyAlignment="1" applyProtection="1">
      <alignment horizontal="center" vertical="center" wrapText="1"/>
      <protection hidden="1"/>
    </xf>
    <xf numFmtId="0" fontId="2" fillId="0" borderId="0" xfId="0" applyFont="1" applyAlignment="1">
      <alignment horizontal="center" vertical="center" wrapText="1"/>
    </xf>
    <xf numFmtId="4" fontId="0" fillId="0" borderId="0" xfId="0" applyNumberFormat="1" applyProtection="1">
      <protection hidden="1"/>
    </xf>
    <xf numFmtId="2" fontId="12" fillId="0" borderId="27" xfId="2" applyNumberFormat="1" applyFont="1" applyFill="1" applyBorder="1" applyAlignment="1" applyProtection="1">
      <alignment vertical="center" wrapText="1"/>
      <protection hidden="1"/>
    </xf>
    <xf numFmtId="44" fontId="11" fillId="13" borderId="97" xfId="5" applyFont="1" applyFill="1" applyBorder="1" applyAlignment="1" applyProtection="1">
      <alignment horizontal="center" vertical="center" wrapText="1"/>
      <protection hidden="1"/>
    </xf>
    <xf numFmtId="0" fontId="2" fillId="0" borderId="0" xfId="0" applyFont="1"/>
    <xf numFmtId="4" fontId="2" fillId="0" borderId="0" xfId="0" applyNumberFormat="1" applyFont="1"/>
    <xf numFmtId="164" fontId="11" fillId="0" borderId="27" xfId="2" applyNumberFormat="1" applyFont="1" applyFill="1" applyBorder="1" applyAlignment="1" applyProtection="1">
      <alignment vertical="center" wrapText="1"/>
      <protection hidden="1"/>
    </xf>
    <xf numFmtId="0" fontId="60" fillId="0" borderId="0" xfId="7" applyFont="1" applyAlignment="1">
      <alignment horizontal="left" vertical="center"/>
    </xf>
    <xf numFmtId="4" fontId="32" fillId="0" borderId="0" xfId="7" applyNumberFormat="1" applyFont="1" applyAlignment="1">
      <alignment vertical="center"/>
    </xf>
    <xf numFmtId="0" fontId="61" fillId="0" borderId="0" xfId="9" applyFont="1" applyAlignment="1">
      <alignment horizontal="center" vertical="center"/>
    </xf>
    <xf numFmtId="0" fontId="16" fillId="0" borderId="173" xfId="7" applyBorder="1" applyAlignment="1">
      <alignment vertical="center"/>
    </xf>
    <xf numFmtId="0" fontId="34" fillId="15" borderId="0" xfId="7" applyFont="1" applyFill="1" applyAlignment="1">
      <alignment horizontal="left" vertical="center"/>
    </xf>
    <xf numFmtId="4" fontId="34" fillId="15" borderId="0" xfId="7" applyNumberFormat="1" applyFont="1" applyFill="1" applyAlignment="1">
      <alignment vertical="center"/>
    </xf>
    <xf numFmtId="4" fontId="41" fillId="0" borderId="0" xfId="7" applyNumberFormat="1" applyFont="1" applyAlignment="1">
      <alignment vertical="center"/>
    </xf>
    <xf numFmtId="14" fontId="32" fillId="0" borderId="0" xfId="7" applyNumberFormat="1" applyFont="1" applyAlignment="1">
      <alignment horizontal="left" vertical="center"/>
    </xf>
    <xf numFmtId="44" fontId="0" fillId="0" borderId="0" xfId="0" applyNumberFormat="1"/>
    <xf numFmtId="0" fontId="0" fillId="0" borderId="0" xfId="0" applyAlignment="1">
      <alignment horizontal="left"/>
    </xf>
    <xf numFmtId="4" fontId="40" fillId="5" borderId="124" xfId="7" applyNumberFormat="1" applyFont="1" applyFill="1" applyBorder="1" applyAlignment="1" applyProtection="1">
      <alignment vertical="center"/>
      <protection locked="0"/>
    </xf>
    <xf numFmtId="4" fontId="47" fillId="5" borderId="124" xfId="7" applyNumberFormat="1" applyFont="1" applyFill="1" applyBorder="1" applyAlignment="1" applyProtection="1">
      <alignment vertical="center"/>
      <protection locked="0"/>
    </xf>
    <xf numFmtId="0" fontId="46" fillId="13" borderId="0" xfId="7" applyFont="1" applyFill="1" applyProtection="1">
      <protection locked="0"/>
    </xf>
    <xf numFmtId="0" fontId="40" fillId="0" borderId="124" xfId="7" applyFont="1" applyBorder="1" applyAlignment="1">
      <alignment horizontal="center" vertical="center"/>
    </xf>
    <xf numFmtId="49" fontId="40" fillId="0" borderId="124" xfId="7" applyNumberFormat="1" applyFont="1" applyBorder="1" applyAlignment="1">
      <alignment horizontal="left" vertical="center" wrapText="1"/>
    </xf>
    <xf numFmtId="0" fontId="40" fillId="0" borderId="124" xfId="7" applyFont="1" applyBorder="1" applyAlignment="1">
      <alignment horizontal="left" vertical="center" wrapText="1"/>
    </xf>
    <xf numFmtId="0" fontId="40" fillId="0" borderId="124" xfId="7" applyFont="1" applyBorder="1" applyAlignment="1">
      <alignment horizontal="center" vertical="center" wrapText="1"/>
    </xf>
    <xf numFmtId="170" fontId="40" fillId="0" borderId="124" xfId="7" applyNumberFormat="1" applyFont="1" applyBorder="1" applyAlignment="1">
      <alignment vertical="center"/>
    </xf>
    <xf numFmtId="4" fontId="40" fillId="0" borderId="124" xfId="7" applyNumberFormat="1" applyFont="1" applyBorder="1" applyAlignment="1">
      <alignment vertical="center"/>
    </xf>
    <xf numFmtId="0" fontId="16" fillId="0" borderId="124" xfId="7" applyBorder="1" applyAlignment="1">
      <alignment vertical="center"/>
    </xf>
    <xf numFmtId="0" fontId="47" fillId="0" borderId="124" xfId="7" applyFont="1" applyBorder="1" applyAlignment="1">
      <alignment horizontal="center" vertical="center"/>
    </xf>
    <xf numFmtId="49" fontId="47" fillId="0" borderId="124" xfId="7" applyNumberFormat="1" applyFont="1" applyBorder="1" applyAlignment="1">
      <alignment horizontal="left" vertical="center" wrapText="1"/>
    </xf>
    <xf numFmtId="0" fontId="47" fillId="0" borderId="124" xfId="7" applyFont="1" applyBorder="1" applyAlignment="1">
      <alignment horizontal="left" vertical="center" wrapText="1"/>
    </xf>
    <xf numFmtId="0" fontId="47" fillId="0" borderId="124" xfId="7" applyFont="1" applyBorder="1" applyAlignment="1">
      <alignment horizontal="center" vertical="center" wrapText="1"/>
    </xf>
    <xf numFmtId="170" fontId="47" fillId="0" borderId="124" xfId="7" applyNumberFormat="1" applyFont="1" applyBorder="1" applyAlignment="1">
      <alignment vertical="center"/>
    </xf>
    <xf numFmtId="4" fontId="47" fillId="0" borderId="124" xfId="7" applyNumberFormat="1" applyFont="1" applyBorder="1" applyAlignment="1">
      <alignment vertical="center"/>
    </xf>
    <xf numFmtId="0" fontId="48" fillId="0" borderId="124" xfId="7" applyFont="1" applyBorder="1" applyAlignment="1">
      <alignment vertical="center"/>
    </xf>
    <xf numFmtId="0" fontId="40" fillId="13" borderId="124" xfId="7" applyFont="1" applyFill="1" applyBorder="1" applyAlignment="1">
      <alignment horizontal="left" vertical="center" wrapText="1"/>
    </xf>
    <xf numFmtId="0" fontId="40" fillId="13" borderId="124" xfId="7" applyFont="1" applyFill="1" applyBorder="1" applyAlignment="1">
      <alignment horizontal="center" vertical="center" wrapText="1"/>
    </xf>
    <xf numFmtId="170" fontId="40" fillId="13" borderId="124" xfId="7" applyNumberFormat="1" applyFont="1" applyFill="1" applyBorder="1" applyAlignment="1">
      <alignment vertical="center"/>
    </xf>
    <xf numFmtId="0" fontId="46" fillId="5" borderId="0" xfId="7" applyFont="1" applyFill="1" applyProtection="1">
      <protection locked="0"/>
    </xf>
    <xf numFmtId="2" fontId="2" fillId="13" borderId="97" xfId="0" applyNumberFormat="1" applyFont="1" applyFill="1" applyBorder="1" applyAlignment="1">
      <alignment horizontal="center" vertical="center"/>
    </xf>
    <xf numFmtId="2" fontId="12" fillId="0" borderId="27" xfId="2" applyNumberFormat="1" applyFont="1" applyFill="1" applyBorder="1" applyAlignment="1" applyProtection="1">
      <alignment horizontal="center" vertical="center" wrapText="1"/>
      <protection hidden="1"/>
    </xf>
    <xf numFmtId="0" fontId="62" fillId="0" borderId="0" xfId="0" applyFont="1" applyAlignment="1">
      <alignment horizontal="justify" vertical="center"/>
    </xf>
    <xf numFmtId="3" fontId="32" fillId="0" borderId="0" xfId="7" applyNumberFormat="1" applyFont="1" applyAlignment="1">
      <alignment horizontal="left" vertical="center"/>
    </xf>
    <xf numFmtId="0" fontId="11" fillId="5" borderId="91" xfId="0" applyFont="1" applyFill="1" applyBorder="1" applyAlignment="1" applyProtection="1">
      <alignment wrapText="1"/>
      <protection locked="0"/>
    </xf>
    <xf numFmtId="0" fontId="11" fillId="5" borderId="89" xfId="0" applyFont="1" applyFill="1" applyBorder="1" applyAlignment="1" applyProtection="1">
      <alignment wrapText="1"/>
      <protection locked="0"/>
    </xf>
    <xf numFmtId="0" fontId="16" fillId="0" borderId="0" xfId="7" applyProtection="1">
      <protection hidden="1"/>
    </xf>
    <xf numFmtId="0" fontId="16" fillId="0" borderId="0" xfId="7" applyAlignment="1" applyProtection="1">
      <alignment horizontal="left" vertical="center"/>
      <protection hidden="1"/>
    </xf>
    <xf numFmtId="0" fontId="16" fillId="0" borderId="105" xfId="7" applyBorder="1" applyProtection="1">
      <protection hidden="1"/>
    </xf>
    <xf numFmtId="0" fontId="16" fillId="0" borderId="106" xfId="7" applyBorder="1" applyProtection="1">
      <protection hidden="1"/>
    </xf>
    <xf numFmtId="0" fontId="16" fillId="0" borderId="107" xfId="7" applyBorder="1" applyProtection="1">
      <protection hidden="1"/>
    </xf>
    <xf numFmtId="0" fontId="28" fillId="0" borderId="0" xfId="7" applyFont="1" applyAlignment="1" applyProtection="1">
      <alignment horizontal="left" vertical="center"/>
      <protection hidden="1"/>
    </xf>
    <xf numFmtId="0" fontId="29" fillId="0" borderId="0" xfId="7" applyFont="1" applyAlignment="1" applyProtection="1">
      <alignment horizontal="left" vertical="center"/>
      <protection hidden="1"/>
    </xf>
    <xf numFmtId="0" fontId="30" fillId="0" borderId="0" xfId="7" applyFont="1" applyAlignment="1" applyProtection="1">
      <alignment horizontal="left" vertical="center"/>
      <protection hidden="1"/>
    </xf>
    <xf numFmtId="0" fontId="16" fillId="0" borderId="107" xfId="7" applyBorder="1" applyAlignment="1" applyProtection="1">
      <alignment vertical="center"/>
      <protection hidden="1"/>
    </xf>
    <xf numFmtId="0" fontId="16" fillId="0" borderId="0" xfId="7" applyAlignment="1" applyProtection="1">
      <alignment vertical="center"/>
      <protection hidden="1"/>
    </xf>
    <xf numFmtId="0" fontId="32" fillId="0" borderId="0" xfId="7" applyFont="1" applyAlignment="1" applyProtection="1">
      <alignment horizontal="left" vertical="center"/>
      <protection hidden="1"/>
    </xf>
    <xf numFmtId="167" fontId="32" fillId="0" borderId="0" xfId="7" applyNumberFormat="1" applyFont="1" applyAlignment="1" applyProtection="1">
      <alignment horizontal="left" vertical="center"/>
      <protection hidden="1"/>
    </xf>
    <xf numFmtId="0" fontId="16" fillId="0" borderId="107" xfId="7" applyBorder="1" applyAlignment="1" applyProtection="1">
      <alignment vertical="center" wrapText="1"/>
      <protection hidden="1"/>
    </xf>
    <xf numFmtId="0" fontId="16" fillId="0" borderId="0" xfId="7" applyAlignment="1" applyProtection="1">
      <alignment vertical="center" wrapText="1"/>
      <protection hidden="1"/>
    </xf>
    <xf numFmtId="0" fontId="32" fillId="0" borderId="0" xfId="7" applyFont="1" applyAlignment="1" applyProtection="1">
      <alignment horizontal="left" vertical="center" wrapText="1"/>
      <protection hidden="1"/>
    </xf>
    <xf numFmtId="0" fontId="16" fillId="0" borderId="108" xfId="7" applyBorder="1" applyAlignment="1" applyProtection="1">
      <alignment vertical="center"/>
      <protection hidden="1"/>
    </xf>
    <xf numFmtId="4" fontId="32" fillId="0" borderId="0" xfId="7" applyNumberFormat="1" applyFont="1" applyAlignment="1" applyProtection="1">
      <alignment vertical="center"/>
      <protection hidden="1"/>
    </xf>
    <xf numFmtId="0" fontId="60" fillId="0" borderId="0" xfId="7" applyFont="1" applyAlignment="1" applyProtection="1">
      <alignment horizontal="left" vertical="center"/>
      <protection hidden="1"/>
    </xf>
    <xf numFmtId="0" fontId="33" fillId="0" borderId="0" xfId="7" applyFont="1" applyAlignment="1" applyProtection="1">
      <alignment horizontal="left" vertical="center"/>
      <protection hidden="1"/>
    </xf>
    <xf numFmtId="4" fontId="34" fillId="0" borderId="0" xfId="7" applyNumberFormat="1" applyFont="1" applyAlignment="1" applyProtection="1">
      <alignment vertical="center"/>
      <protection hidden="1"/>
    </xf>
    <xf numFmtId="0" fontId="30" fillId="0" borderId="0" xfId="7" applyFont="1" applyAlignment="1" applyProtection="1">
      <alignment horizontal="right" vertical="center"/>
      <protection hidden="1"/>
    </xf>
    <xf numFmtId="0" fontId="35" fillId="0" borderId="0" xfId="7" applyFont="1" applyAlignment="1" applyProtection="1">
      <alignment horizontal="left" vertical="center"/>
      <protection hidden="1"/>
    </xf>
    <xf numFmtId="0" fontId="36" fillId="0" borderId="0" xfId="7" applyFont="1" applyAlignment="1" applyProtection="1">
      <alignment horizontal="left" vertical="center"/>
      <protection hidden="1"/>
    </xf>
    <xf numFmtId="4" fontId="36" fillId="0" borderId="0" xfId="7" applyNumberFormat="1" applyFont="1" applyAlignment="1" applyProtection="1">
      <alignment vertical="center"/>
      <protection hidden="1"/>
    </xf>
    <xf numFmtId="0" fontId="37" fillId="0" borderId="0" xfId="7" applyFont="1" applyAlignment="1" applyProtection="1">
      <alignment vertical="center"/>
      <protection hidden="1"/>
    </xf>
    <xf numFmtId="168" fontId="36" fillId="0" borderId="0" xfId="7" applyNumberFormat="1" applyFont="1" applyAlignment="1" applyProtection="1">
      <alignment horizontal="right" vertical="center"/>
      <protection hidden="1"/>
    </xf>
    <xf numFmtId="4" fontId="30" fillId="0" borderId="0" xfId="7" applyNumberFormat="1" applyFont="1" applyAlignment="1" applyProtection="1">
      <alignment vertical="center"/>
      <protection hidden="1"/>
    </xf>
    <xf numFmtId="168" fontId="30" fillId="0" borderId="0" xfId="7" applyNumberFormat="1" applyFont="1" applyAlignment="1" applyProtection="1">
      <alignment horizontal="right" vertical="center"/>
      <protection hidden="1"/>
    </xf>
    <xf numFmtId="0" fontId="16" fillId="15" borderId="0" xfId="7" applyFill="1" applyAlignment="1" applyProtection="1">
      <alignment vertical="center"/>
      <protection hidden="1"/>
    </xf>
    <xf numFmtId="0" fontId="38" fillId="15" borderId="109" xfId="7" applyFont="1" applyFill="1" applyBorder="1" applyAlignment="1" applyProtection="1">
      <alignment horizontal="left" vertical="center"/>
      <protection hidden="1"/>
    </xf>
    <xf numFmtId="0" fontId="16" fillId="15" borderId="110" xfId="7" applyFill="1" applyBorder="1" applyAlignment="1" applyProtection="1">
      <alignment vertical="center"/>
      <protection hidden="1"/>
    </xf>
    <xf numFmtId="0" fontId="38" fillId="15" borderId="110" xfId="7" applyFont="1" applyFill="1" applyBorder="1" applyAlignment="1" applyProtection="1">
      <alignment horizontal="right" vertical="center"/>
      <protection hidden="1"/>
    </xf>
    <xf numFmtId="0" fontId="38" fillId="15" borderId="110" xfId="7" applyFont="1" applyFill="1" applyBorder="1" applyAlignment="1" applyProtection="1">
      <alignment horizontal="center" vertical="center"/>
      <protection hidden="1"/>
    </xf>
    <xf numFmtId="4" fontId="38" fillId="15" borderId="110" xfId="7" applyNumberFormat="1" applyFont="1" applyFill="1" applyBorder="1" applyAlignment="1" applyProtection="1">
      <alignment vertical="center"/>
      <protection hidden="1"/>
    </xf>
    <xf numFmtId="0" fontId="16" fillId="15" borderId="111" xfId="7" applyFill="1" applyBorder="1" applyAlignment="1" applyProtection="1">
      <alignment vertical="center"/>
      <protection hidden="1"/>
    </xf>
    <xf numFmtId="0" fontId="39" fillId="0" borderId="112" xfId="7" applyFont="1" applyBorder="1" applyAlignment="1" applyProtection="1">
      <alignment horizontal="left" vertical="center"/>
      <protection hidden="1"/>
    </xf>
    <xf numFmtId="0" fontId="16" fillId="0" borderId="112" xfId="7" applyBorder="1" applyAlignment="1" applyProtection="1">
      <alignment vertical="center"/>
      <protection hidden="1"/>
    </xf>
    <xf numFmtId="0" fontId="30" fillId="0" borderId="113" xfId="7" applyFont="1" applyBorder="1" applyAlignment="1" applyProtection="1">
      <alignment horizontal="left" vertical="center"/>
      <protection hidden="1"/>
    </xf>
    <xf numFmtId="0" fontId="16" fillId="0" borderId="113" xfId="7" applyBorder="1" applyAlignment="1" applyProtection="1">
      <alignment vertical="center"/>
      <protection hidden="1"/>
    </xf>
    <xf numFmtId="0" fontId="30" fillId="0" borderId="113" xfId="7" applyFont="1" applyBorder="1" applyAlignment="1" applyProtection="1">
      <alignment horizontal="center" vertical="center"/>
      <protection hidden="1"/>
    </xf>
    <xf numFmtId="0" fontId="30" fillId="0" borderId="113" xfId="7" applyFont="1" applyBorder="1" applyAlignment="1" applyProtection="1">
      <alignment horizontal="right" vertical="center"/>
      <protection hidden="1"/>
    </xf>
    <xf numFmtId="0" fontId="16" fillId="0" borderId="114" xfId="7" applyBorder="1" applyAlignment="1" applyProtection="1">
      <alignment vertical="center"/>
      <protection hidden="1"/>
    </xf>
    <xf numFmtId="0" fontId="16" fillId="0" borderId="115" xfId="7" applyBorder="1" applyAlignment="1" applyProtection="1">
      <alignment vertical="center"/>
      <protection hidden="1"/>
    </xf>
    <xf numFmtId="0" fontId="16" fillId="0" borderId="105" xfId="7" applyBorder="1" applyAlignment="1" applyProtection="1">
      <alignment vertical="center"/>
      <protection hidden="1"/>
    </xf>
    <xf numFmtId="0" fontId="16" fillId="0" borderId="106" xfId="7" applyBorder="1" applyAlignment="1" applyProtection="1">
      <alignment vertical="center"/>
      <protection hidden="1"/>
    </xf>
    <xf numFmtId="0" fontId="40" fillId="15" borderId="0" xfId="7" applyFont="1" applyFill="1" applyAlignment="1" applyProtection="1">
      <alignment horizontal="left" vertical="center"/>
      <protection hidden="1"/>
    </xf>
    <xf numFmtId="0" fontId="40" fillId="15" borderId="0" xfId="7" applyFont="1" applyFill="1" applyAlignment="1" applyProtection="1">
      <alignment horizontal="right" vertical="center"/>
      <protection hidden="1"/>
    </xf>
    <xf numFmtId="0" fontId="41" fillId="0" borderId="0" xfId="7" applyFont="1" applyAlignment="1" applyProtection="1">
      <alignment horizontal="left" vertical="center"/>
      <protection hidden="1"/>
    </xf>
    <xf numFmtId="0" fontId="42" fillId="0" borderId="107" xfId="7" applyFont="1" applyBorder="1" applyAlignment="1" applyProtection="1">
      <alignment vertical="center"/>
      <protection hidden="1"/>
    </xf>
    <xf numFmtId="0" fontId="42" fillId="0" borderId="0" xfId="7" applyFont="1" applyAlignment="1" applyProtection="1">
      <alignment vertical="center"/>
      <protection hidden="1"/>
    </xf>
    <xf numFmtId="0" fontId="42" fillId="0" borderId="116" xfId="7" applyFont="1" applyBorder="1" applyAlignment="1" applyProtection="1">
      <alignment horizontal="left" vertical="center"/>
      <protection hidden="1"/>
    </xf>
    <xf numFmtId="0" fontId="42" fillId="0" borderId="116" xfId="7" applyFont="1" applyBorder="1" applyAlignment="1" applyProtection="1">
      <alignment vertical="center"/>
      <protection hidden="1"/>
    </xf>
    <xf numFmtId="4" fontId="42" fillId="0" borderId="116" xfId="7" applyNumberFormat="1" applyFont="1" applyBorder="1" applyAlignment="1" applyProtection="1">
      <alignment vertical="center"/>
      <protection hidden="1"/>
    </xf>
    <xf numFmtId="0" fontId="58" fillId="0" borderId="107" xfId="7" applyFont="1" applyBorder="1" applyAlignment="1" applyProtection="1">
      <alignment vertical="center"/>
      <protection hidden="1"/>
    </xf>
    <xf numFmtId="0" fontId="58" fillId="0" borderId="0" xfId="7" applyFont="1" applyAlignment="1" applyProtection="1">
      <alignment vertical="center"/>
      <protection hidden="1"/>
    </xf>
    <xf numFmtId="0" fontId="58" fillId="0" borderId="116" xfId="7" applyFont="1" applyBorder="1" applyAlignment="1" applyProtection="1">
      <alignment horizontal="left" vertical="center"/>
      <protection hidden="1"/>
    </xf>
    <xf numFmtId="0" fontId="58" fillId="0" borderId="116" xfId="7" applyFont="1" applyBorder="1" applyAlignment="1" applyProtection="1">
      <alignment vertical="center"/>
      <protection hidden="1"/>
    </xf>
    <xf numFmtId="4" fontId="58" fillId="0" borderId="116" xfId="7" applyNumberFormat="1" applyFont="1" applyBorder="1" applyAlignment="1" applyProtection="1">
      <alignment vertical="center"/>
      <protection hidden="1"/>
    </xf>
    <xf numFmtId="4" fontId="41" fillId="0" borderId="0" xfId="7" applyNumberFormat="1" applyFont="1" applyAlignment="1" applyProtection="1">
      <alignment vertical="center"/>
      <protection hidden="1"/>
    </xf>
    <xf numFmtId="0" fontId="43" fillId="0" borderId="0" xfId="7" applyFont="1" applyAlignment="1" applyProtection="1">
      <alignment horizontal="center" vertical="center"/>
      <protection hidden="1"/>
    </xf>
    <xf numFmtId="0" fontId="34" fillId="15" borderId="0" xfId="7" applyFont="1" applyFill="1" applyAlignment="1" applyProtection="1">
      <alignment horizontal="left" vertical="center"/>
      <protection hidden="1"/>
    </xf>
    <xf numFmtId="4" fontId="34" fillId="15" borderId="0" xfId="7" applyNumberFormat="1" applyFont="1" applyFill="1" applyAlignment="1" applyProtection="1">
      <alignment vertical="center"/>
      <protection hidden="1"/>
    </xf>
    <xf numFmtId="0" fontId="16" fillId="0" borderId="107" xfId="7" applyBorder="1" applyAlignment="1" applyProtection="1">
      <alignment horizontal="center" vertical="center" wrapText="1"/>
      <protection hidden="1"/>
    </xf>
    <xf numFmtId="0" fontId="40" fillId="15" borderId="117" xfId="7" applyFont="1" applyFill="1" applyBorder="1" applyAlignment="1" applyProtection="1">
      <alignment horizontal="center" vertical="center" wrapText="1"/>
      <protection hidden="1"/>
    </xf>
    <xf numFmtId="0" fontId="40" fillId="15" borderId="118" xfId="7" applyFont="1" applyFill="1" applyBorder="1" applyAlignment="1" applyProtection="1">
      <alignment horizontal="center" vertical="center" wrapText="1"/>
      <protection hidden="1"/>
    </xf>
    <xf numFmtId="0" fontId="40" fillId="15" borderId="119" xfId="7" applyFont="1" applyFill="1" applyBorder="1" applyAlignment="1" applyProtection="1">
      <alignment horizontal="center" vertical="center" wrapText="1"/>
      <protection hidden="1"/>
    </xf>
    <xf numFmtId="0" fontId="40" fillId="15" borderId="0" xfId="7" applyFont="1" applyFill="1" applyAlignment="1" applyProtection="1">
      <alignment horizontal="center" vertical="center" wrapText="1"/>
      <protection hidden="1"/>
    </xf>
    <xf numFmtId="0" fontId="43" fillId="0" borderId="117" xfId="7" applyFont="1" applyBorder="1" applyAlignment="1" applyProtection="1">
      <alignment horizontal="center" vertical="center" wrapText="1"/>
      <protection hidden="1"/>
    </xf>
    <xf numFmtId="0" fontId="43" fillId="0" borderId="118" xfId="7" applyFont="1" applyBorder="1" applyAlignment="1" applyProtection="1">
      <alignment horizontal="center" vertical="center" wrapText="1"/>
      <protection hidden="1"/>
    </xf>
    <xf numFmtId="0" fontId="43" fillId="0" borderId="119" xfId="7" applyFont="1" applyBorder="1" applyAlignment="1" applyProtection="1">
      <alignment horizontal="center" vertical="center" wrapText="1"/>
      <protection hidden="1"/>
    </xf>
    <xf numFmtId="0" fontId="16" fillId="0" borderId="0" xfId="7" applyAlignment="1" applyProtection="1">
      <alignment horizontal="center" vertical="center" wrapText="1"/>
      <protection hidden="1"/>
    </xf>
    <xf numFmtId="0" fontId="34" fillId="0" borderId="0" xfId="7" applyFont="1" applyAlignment="1" applyProtection="1">
      <alignment horizontal="left" vertical="center"/>
      <protection hidden="1"/>
    </xf>
    <xf numFmtId="4" fontId="34" fillId="0" borderId="0" xfId="7" applyNumberFormat="1" applyFont="1" applyProtection="1">
      <protection hidden="1"/>
    </xf>
    <xf numFmtId="0" fontId="16" fillId="0" borderId="120" xfId="7" applyBorder="1" applyAlignment="1" applyProtection="1">
      <alignment vertical="center"/>
      <protection hidden="1"/>
    </xf>
    <xf numFmtId="169" fontId="44" fillId="0" borderId="108" xfId="7" applyNumberFormat="1" applyFont="1" applyBorder="1" applyProtection="1">
      <protection hidden="1"/>
    </xf>
    <xf numFmtId="169" fontId="44" fillId="0" borderId="121" xfId="7" applyNumberFormat="1" applyFont="1" applyBorder="1" applyProtection="1">
      <protection hidden="1"/>
    </xf>
    <xf numFmtId="4" fontId="45" fillId="0" borderId="0" xfId="7" applyNumberFormat="1" applyFont="1" applyAlignment="1" applyProtection="1">
      <alignment vertical="center"/>
      <protection hidden="1"/>
    </xf>
    <xf numFmtId="0" fontId="46" fillId="0" borderId="107" xfId="7" applyFont="1" applyBorder="1" applyProtection="1">
      <protection hidden="1"/>
    </xf>
    <xf numFmtId="0" fontId="46" fillId="0" borderId="0" xfId="7" applyFont="1" applyProtection="1">
      <protection hidden="1"/>
    </xf>
    <xf numFmtId="0" fontId="46" fillId="0" borderId="0" xfId="7" applyFont="1" applyAlignment="1" applyProtection="1">
      <alignment horizontal="left"/>
      <protection hidden="1"/>
    </xf>
    <xf numFmtId="0" fontId="42" fillId="0" borderId="0" xfId="7" applyFont="1" applyAlignment="1" applyProtection="1">
      <alignment horizontal="left"/>
      <protection hidden="1"/>
    </xf>
    <xf numFmtId="4" fontId="42" fillId="0" borderId="0" xfId="7" applyNumberFormat="1" applyFont="1" applyProtection="1">
      <protection hidden="1"/>
    </xf>
    <xf numFmtId="0" fontId="46" fillId="0" borderId="122" xfId="7" applyFont="1" applyBorder="1" applyProtection="1">
      <protection hidden="1"/>
    </xf>
    <xf numFmtId="169" fontId="46" fillId="0" borderId="0" xfId="7" applyNumberFormat="1" applyFont="1" applyProtection="1">
      <protection hidden="1"/>
    </xf>
    <xf numFmtId="169" fontId="46" fillId="0" borderId="123" xfId="7" applyNumberFormat="1" applyFont="1" applyBorder="1" applyProtection="1">
      <protection hidden="1"/>
    </xf>
    <xf numFmtId="0" fontId="46" fillId="0" borderId="0" xfId="7" applyFont="1" applyAlignment="1" applyProtection="1">
      <alignment horizontal="center"/>
      <protection hidden="1"/>
    </xf>
    <xf numFmtId="4" fontId="46" fillId="0" borderId="0" xfId="7" applyNumberFormat="1" applyFont="1" applyAlignment="1" applyProtection="1">
      <alignment vertical="center"/>
      <protection hidden="1"/>
    </xf>
    <xf numFmtId="0" fontId="58" fillId="0" borderId="0" xfId="7" applyFont="1" applyAlignment="1" applyProtection="1">
      <alignment horizontal="left"/>
      <protection hidden="1"/>
    </xf>
    <xf numFmtId="4" fontId="58" fillId="0" borderId="0" xfId="7" applyNumberFormat="1" applyFont="1" applyProtection="1">
      <protection hidden="1"/>
    </xf>
    <xf numFmtId="0" fontId="40" fillId="0" borderId="124" xfId="7" applyFont="1" applyBorder="1" applyAlignment="1" applyProtection="1">
      <alignment horizontal="center" vertical="center"/>
      <protection hidden="1"/>
    </xf>
    <xf numFmtId="49" fontId="40" fillId="0" borderId="124" xfId="7" applyNumberFormat="1" applyFont="1" applyBorder="1" applyAlignment="1" applyProtection="1">
      <alignment horizontal="left" vertical="center" wrapText="1"/>
      <protection hidden="1"/>
    </xf>
    <xf numFmtId="0" fontId="40" fillId="0" borderId="124" xfId="7" applyFont="1" applyBorder="1" applyAlignment="1" applyProtection="1">
      <alignment horizontal="left" vertical="center" wrapText="1"/>
      <protection hidden="1"/>
    </xf>
    <xf numFmtId="0" fontId="40" fillId="0" borderId="124" xfId="7" applyFont="1" applyBorder="1" applyAlignment="1" applyProtection="1">
      <alignment horizontal="center" vertical="center" wrapText="1"/>
      <protection hidden="1"/>
    </xf>
    <xf numFmtId="170" fontId="40" fillId="0" borderId="124" xfId="7" applyNumberFormat="1" applyFont="1" applyBorder="1" applyAlignment="1" applyProtection="1">
      <alignment vertical="center"/>
      <protection hidden="1"/>
    </xf>
    <xf numFmtId="4" fontId="40" fillId="0" borderId="124" xfId="7" applyNumberFormat="1" applyFont="1" applyBorder="1" applyAlignment="1" applyProtection="1">
      <alignment vertical="center"/>
      <protection hidden="1"/>
    </xf>
    <xf numFmtId="0" fontId="16" fillId="0" borderId="124" xfId="7" applyBorder="1" applyAlignment="1" applyProtection="1">
      <alignment vertical="center"/>
      <protection hidden="1"/>
    </xf>
    <xf numFmtId="0" fontId="43" fillId="0" borderId="122" xfId="7" applyFont="1" applyBorder="1" applyAlignment="1" applyProtection="1">
      <alignment horizontal="left" vertical="center"/>
      <protection hidden="1"/>
    </xf>
    <xf numFmtId="169" fontId="43" fillId="0" borderId="0" xfId="7" applyNumberFormat="1" applyFont="1" applyAlignment="1" applyProtection="1">
      <alignment vertical="center"/>
      <protection hidden="1"/>
    </xf>
    <xf numFmtId="169" fontId="43" fillId="0" borderId="123" xfId="7" applyNumberFormat="1" applyFont="1" applyBorder="1" applyAlignment="1" applyProtection="1">
      <alignment vertical="center"/>
      <protection hidden="1"/>
    </xf>
    <xf numFmtId="0" fontId="40" fillId="0" borderId="0" xfId="7" applyFont="1" applyAlignment="1" applyProtection="1">
      <alignment horizontal="left" vertical="center"/>
      <protection hidden="1"/>
    </xf>
    <xf numFmtId="4" fontId="16" fillId="0" borderId="0" xfId="7" applyNumberFormat="1" applyAlignment="1" applyProtection="1">
      <alignment vertical="center"/>
      <protection hidden="1"/>
    </xf>
    <xf numFmtId="0" fontId="47" fillId="0" borderId="124" xfId="7" applyFont="1" applyBorder="1" applyAlignment="1" applyProtection="1">
      <alignment horizontal="center" vertical="center"/>
      <protection hidden="1"/>
    </xf>
    <xf numFmtId="49" fontId="47" fillId="0" borderId="124" xfId="7" applyNumberFormat="1" applyFont="1" applyBorder="1" applyAlignment="1" applyProtection="1">
      <alignment horizontal="left" vertical="center" wrapText="1"/>
      <protection hidden="1"/>
    </xf>
    <xf numFmtId="0" fontId="47" fillId="0" borderId="124" xfId="7" applyFont="1" applyBorder="1" applyAlignment="1" applyProtection="1">
      <alignment horizontal="left" vertical="center" wrapText="1"/>
      <protection hidden="1"/>
    </xf>
    <xf numFmtId="0" fontId="47" fillId="0" borderId="124" xfId="7" applyFont="1" applyBorder="1" applyAlignment="1" applyProtection="1">
      <alignment horizontal="center" vertical="center" wrapText="1"/>
      <protection hidden="1"/>
    </xf>
    <xf numFmtId="170" fontId="47" fillId="0" borderId="124" xfId="7" applyNumberFormat="1" applyFont="1" applyBorder="1" applyAlignment="1" applyProtection="1">
      <alignment vertical="center"/>
      <protection hidden="1"/>
    </xf>
    <xf numFmtId="4" fontId="47" fillId="0" borderId="124" xfId="7" applyNumberFormat="1" applyFont="1" applyBorder="1" applyAlignment="1" applyProtection="1">
      <alignment vertical="center"/>
      <protection hidden="1"/>
    </xf>
    <xf numFmtId="0" fontId="48" fillId="0" borderId="124" xfId="7" applyFont="1" applyBorder="1" applyAlignment="1" applyProtection="1">
      <alignment vertical="center"/>
      <protection hidden="1"/>
    </xf>
    <xf numFmtId="0" fontId="48" fillId="0" borderId="107" xfId="7" applyFont="1" applyBorder="1" applyAlignment="1" applyProtection="1">
      <alignment vertical="center"/>
      <protection hidden="1"/>
    </xf>
    <xf numFmtId="0" fontId="47" fillId="0" borderId="122" xfId="7" applyFont="1" applyBorder="1" applyAlignment="1" applyProtection="1">
      <alignment horizontal="left" vertical="center"/>
      <protection hidden="1"/>
    </xf>
    <xf numFmtId="0" fontId="47" fillId="0" borderId="0" xfId="7" applyFont="1" applyAlignment="1" applyProtection="1">
      <alignment horizontal="center" vertical="center"/>
      <protection hidden="1"/>
    </xf>
    <xf numFmtId="0" fontId="46" fillId="13" borderId="0" xfId="7" applyFont="1" applyFill="1" applyProtection="1">
      <protection hidden="1"/>
    </xf>
    <xf numFmtId="0" fontId="43" fillId="0" borderId="125" xfId="7" applyFont="1" applyBorder="1" applyAlignment="1" applyProtection="1">
      <alignment horizontal="left" vertical="center"/>
      <protection hidden="1"/>
    </xf>
    <xf numFmtId="0" fontId="43" fillId="0" borderId="116" xfId="7" applyFont="1" applyBorder="1" applyAlignment="1" applyProtection="1">
      <alignment horizontal="center" vertical="center"/>
      <protection hidden="1"/>
    </xf>
    <xf numFmtId="169" fontId="43" fillId="0" borderId="116" xfId="7" applyNumberFormat="1" applyFont="1" applyBorder="1" applyAlignment="1" applyProtection="1">
      <alignment vertical="center"/>
      <protection hidden="1"/>
    </xf>
    <xf numFmtId="169" fontId="43" fillId="0" borderId="126" xfId="7" applyNumberFormat="1" applyFont="1" applyBorder="1" applyAlignment="1" applyProtection="1">
      <alignment vertical="center"/>
      <protection hidden="1"/>
    </xf>
    <xf numFmtId="0" fontId="40" fillId="13" borderId="124" xfId="7" applyFont="1" applyFill="1" applyBorder="1" applyAlignment="1" applyProtection="1">
      <alignment horizontal="left" vertical="center" wrapText="1"/>
      <protection hidden="1"/>
    </xf>
    <xf numFmtId="0" fontId="40" fillId="13" borderId="124" xfId="7" applyFont="1" applyFill="1" applyBorder="1" applyAlignment="1" applyProtection="1">
      <alignment horizontal="center" vertical="center" wrapText="1"/>
      <protection hidden="1"/>
    </xf>
    <xf numFmtId="170" fontId="40" fillId="13" borderId="124" xfId="7" applyNumberFormat="1" applyFont="1" applyFill="1" applyBorder="1" applyAlignment="1" applyProtection="1">
      <alignment vertical="center"/>
      <protection hidden="1"/>
    </xf>
    <xf numFmtId="0" fontId="46" fillId="0" borderId="125" xfId="7" applyFont="1" applyBorder="1" applyProtection="1">
      <protection hidden="1"/>
    </xf>
    <xf numFmtId="0" fontId="46" fillId="0" borderId="116" xfId="7" applyFont="1" applyBorder="1" applyProtection="1">
      <protection hidden="1"/>
    </xf>
    <xf numFmtId="169" fontId="46" fillId="0" borderId="116" xfId="7" applyNumberFormat="1" applyFont="1" applyBorder="1" applyProtection="1">
      <protection hidden="1"/>
    </xf>
    <xf numFmtId="169" fontId="46" fillId="0" borderId="126" xfId="7" applyNumberFormat="1" applyFont="1" applyBorder="1" applyProtection="1">
      <protection hidden="1"/>
    </xf>
    <xf numFmtId="49" fontId="40" fillId="13" borderId="124" xfId="7" applyNumberFormat="1" applyFont="1" applyFill="1" applyBorder="1" applyAlignment="1" applyProtection="1">
      <alignment horizontal="left" vertical="center" wrapText="1"/>
      <protection hidden="1"/>
    </xf>
    <xf numFmtId="0" fontId="16" fillId="0" borderId="115" xfId="7" applyBorder="1" applyAlignment="1" applyProtection="1">
      <alignment vertical="center"/>
      <protection locked="0"/>
    </xf>
    <xf numFmtId="0" fontId="40" fillId="13" borderId="124" xfId="7" applyFont="1" applyFill="1" applyBorder="1" applyAlignment="1" applyProtection="1">
      <alignment horizontal="center" vertical="center"/>
      <protection hidden="1"/>
    </xf>
    <xf numFmtId="4" fontId="58" fillId="0" borderId="0" xfId="7" applyNumberFormat="1" applyFont="1" applyAlignment="1" applyProtection="1">
      <alignment vertical="center"/>
      <protection hidden="1"/>
    </xf>
    <xf numFmtId="0" fontId="30" fillId="0" borderId="0" xfId="7" applyFont="1" applyAlignment="1" applyProtection="1">
      <alignment horizontal="center" vertical="center"/>
      <protection hidden="1"/>
    </xf>
    <xf numFmtId="0" fontId="37" fillId="0" borderId="0" xfId="7" applyFont="1" applyAlignment="1" applyProtection="1">
      <alignment horizontal="left" vertical="center"/>
      <protection hidden="1"/>
    </xf>
    <xf numFmtId="0" fontId="27" fillId="0" borderId="0" xfId="7" applyFont="1" applyAlignment="1" applyProtection="1">
      <alignment horizontal="left" vertical="center"/>
      <protection hidden="1"/>
    </xf>
    <xf numFmtId="0" fontId="30" fillId="0" borderId="0" xfId="7" applyFont="1" applyAlignment="1" applyProtection="1">
      <alignment horizontal="left" vertical="top"/>
      <protection hidden="1"/>
    </xf>
    <xf numFmtId="0" fontId="31" fillId="0" borderId="0" xfId="7" applyFont="1" applyAlignment="1" applyProtection="1">
      <alignment horizontal="left" vertical="top"/>
      <protection hidden="1"/>
    </xf>
    <xf numFmtId="14" fontId="32" fillId="0" borderId="0" xfId="7" applyNumberFormat="1" applyFont="1" applyAlignment="1" applyProtection="1">
      <alignment horizontal="left" vertical="center"/>
      <protection hidden="1"/>
    </xf>
    <xf numFmtId="3" fontId="32" fillId="0" borderId="0" xfId="7" applyNumberFormat="1" applyFont="1" applyAlignment="1" applyProtection="1">
      <alignment horizontal="left" vertical="center"/>
      <protection hidden="1"/>
    </xf>
    <xf numFmtId="0" fontId="16" fillId="0" borderId="112" xfId="7" applyBorder="1" applyProtection="1">
      <protection hidden="1"/>
    </xf>
    <xf numFmtId="0" fontId="33" fillId="0" borderId="113" xfId="7" applyFont="1" applyBorder="1" applyAlignment="1" applyProtection="1">
      <alignment horizontal="left" vertical="center"/>
      <protection hidden="1"/>
    </xf>
    <xf numFmtId="0" fontId="30" fillId="0" borderId="107" xfId="7" applyFont="1" applyBorder="1" applyAlignment="1" applyProtection="1">
      <alignment vertical="center"/>
      <protection hidden="1"/>
    </xf>
    <xf numFmtId="0" fontId="30" fillId="0" borderId="0" xfId="7" applyFont="1" applyAlignment="1" applyProtection="1">
      <alignment vertical="center"/>
      <protection hidden="1"/>
    </xf>
    <xf numFmtId="0" fontId="36" fillId="0" borderId="0" xfId="7" applyFont="1" applyAlignment="1" applyProtection="1">
      <alignment vertical="center"/>
      <protection hidden="1"/>
    </xf>
    <xf numFmtId="0" fontId="36" fillId="0" borderId="107" xfId="7" applyFont="1" applyBorder="1" applyAlignment="1" applyProtection="1">
      <alignment vertical="center"/>
      <protection hidden="1"/>
    </xf>
    <xf numFmtId="0" fontId="16" fillId="16" borderId="0" xfId="7" applyFill="1" applyAlignment="1" applyProtection="1">
      <alignment vertical="center"/>
      <protection hidden="1"/>
    </xf>
    <xf numFmtId="0" fontId="38" fillId="16" borderId="109" xfId="7" applyFont="1" applyFill="1" applyBorder="1" applyAlignment="1" applyProtection="1">
      <alignment horizontal="left" vertical="center"/>
      <protection hidden="1"/>
    </xf>
    <xf numFmtId="0" fontId="16" fillId="16" borderId="110" xfId="7" applyFill="1" applyBorder="1" applyAlignment="1" applyProtection="1">
      <alignment vertical="center"/>
      <protection hidden="1"/>
    </xf>
    <xf numFmtId="0" fontId="38" fillId="16" borderId="110" xfId="7" applyFont="1" applyFill="1" applyBorder="1" applyAlignment="1" applyProtection="1">
      <alignment horizontal="center" vertical="center"/>
      <protection hidden="1"/>
    </xf>
    <xf numFmtId="0" fontId="32" fillId="0" borderId="0" xfId="7" applyFont="1" applyAlignment="1" applyProtection="1">
      <alignment vertical="center"/>
      <protection hidden="1"/>
    </xf>
    <xf numFmtId="0" fontId="32" fillId="0" borderId="107" xfId="7" applyFont="1" applyBorder="1" applyAlignment="1" applyProtection="1">
      <alignment vertical="center"/>
      <protection hidden="1"/>
    </xf>
    <xf numFmtId="0" fontId="31" fillId="0" borderId="0" xfId="7" applyFont="1" applyAlignment="1" applyProtection="1">
      <alignment vertical="center"/>
      <protection hidden="1"/>
    </xf>
    <xf numFmtId="0" fontId="31" fillId="0" borderId="107" xfId="7" applyFont="1" applyBorder="1" applyAlignment="1" applyProtection="1">
      <alignment vertical="center"/>
      <protection hidden="1"/>
    </xf>
    <xf numFmtId="0" fontId="31" fillId="0" borderId="0" xfId="7" applyFont="1" applyAlignment="1" applyProtection="1">
      <alignment horizontal="left" vertical="center"/>
      <protection hidden="1"/>
    </xf>
    <xf numFmtId="0" fontId="33" fillId="0" borderId="0" xfId="7" applyFont="1" applyAlignment="1" applyProtection="1">
      <alignment vertical="center"/>
      <protection hidden="1"/>
    </xf>
    <xf numFmtId="0" fontId="16" fillId="0" borderId="121" xfId="7" applyBorder="1" applyAlignment="1" applyProtection="1">
      <alignment vertical="center"/>
      <protection hidden="1"/>
    </xf>
    <xf numFmtId="0" fontId="16" fillId="0" borderId="123" xfId="7" applyBorder="1" applyAlignment="1" applyProtection="1">
      <alignment vertical="center"/>
      <protection hidden="1"/>
    </xf>
    <xf numFmtId="0" fontId="40" fillId="15" borderId="0" xfId="7" applyFont="1" applyFill="1" applyAlignment="1" applyProtection="1">
      <alignment horizontal="center" vertical="center"/>
      <protection hidden="1"/>
    </xf>
    <xf numFmtId="0" fontId="38" fillId="0" borderId="0" xfId="7" applyFont="1" applyAlignment="1" applyProtection="1">
      <alignment vertical="center"/>
      <protection hidden="1"/>
    </xf>
    <xf numFmtId="0" fontId="38" fillId="0" borderId="107" xfId="7" applyFont="1" applyBorder="1" applyAlignment="1" applyProtection="1">
      <alignment vertical="center"/>
      <protection hidden="1"/>
    </xf>
    <xf numFmtId="0" fontId="34" fillId="0" borderId="0" xfId="7" applyFont="1" applyAlignment="1" applyProtection="1">
      <alignment vertical="center"/>
      <protection hidden="1"/>
    </xf>
    <xf numFmtId="0" fontId="38" fillId="0" borderId="0" xfId="7" applyFont="1" applyAlignment="1" applyProtection="1">
      <alignment horizontal="center" vertical="center"/>
      <protection hidden="1"/>
    </xf>
    <xf numFmtId="4" fontId="51" fillId="0" borderId="122" xfId="7" applyNumberFormat="1" applyFont="1" applyBorder="1" applyAlignment="1" applyProtection="1">
      <alignment vertical="center"/>
      <protection hidden="1"/>
    </xf>
    <xf numFmtId="4" fontId="51" fillId="0" borderId="0" xfId="7" applyNumberFormat="1" applyFont="1" applyAlignment="1" applyProtection="1">
      <alignment vertical="center"/>
      <protection hidden="1"/>
    </xf>
    <xf numFmtId="169" fontId="51" fillId="0" borderId="0" xfId="7" applyNumberFormat="1" applyFont="1" applyAlignment="1" applyProtection="1">
      <alignment vertical="center"/>
      <protection hidden="1"/>
    </xf>
    <xf numFmtId="4" fontId="51" fillId="0" borderId="123" xfId="7" applyNumberFormat="1" applyFont="1" applyBorder="1" applyAlignment="1" applyProtection="1">
      <alignment vertical="center"/>
      <protection hidden="1"/>
    </xf>
    <xf numFmtId="0" fontId="38" fillId="0" borderId="0" xfId="7" applyFont="1" applyAlignment="1" applyProtection="1">
      <alignment horizontal="left" vertical="center"/>
      <protection hidden="1"/>
    </xf>
    <xf numFmtId="0" fontId="52" fillId="0" borderId="0" xfId="7" applyFont="1" applyAlignment="1" applyProtection="1">
      <alignment horizontal="left" vertical="center"/>
      <protection hidden="1"/>
    </xf>
    <xf numFmtId="0" fontId="61" fillId="0" borderId="0" xfId="9" applyFont="1" applyAlignment="1" applyProtection="1">
      <alignment horizontal="center" vertical="center"/>
      <protection hidden="1"/>
    </xf>
    <xf numFmtId="0" fontId="54" fillId="0" borderId="107" xfId="7" applyFont="1" applyBorder="1" applyAlignment="1" applyProtection="1">
      <alignment vertical="center"/>
      <protection hidden="1"/>
    </xf>
    <xf numFmtId="0" fontId="55" fillId="0" borderId="0" xfId="7" applyFont="1" applyAlignment="1" applyProtection="1">
      <alignment vertical="center"/>
      <protection hidden="1"/>
    </xf>
    <xf numFmtId="0" fontId="56" fillId="0" borderId="0" xfId="7" applyFont="1" applyAlignment="1" applyProtection="1">
      <alignment vertical="center"/>
      <protection hidden="1"/>
    </xf>
    <xf numFmtId="0" fontId="31" fillId="0" borderId="0" xfId="7" applyFont="1" applyAlignment="1" applyProtection="1">
      <alignment horizontal="center" vertical="center"/>
      <protection hidden="1"/>
    </xf>
    <xf numFmtId="4" fontId="57" fillId="0" borderId="122" xfId="7" applyNumberFormat="1" applyFont="1" applyBorder="1" applyAlignment="1" applyProtection="1">
      <alignment vertical="center"/>
      <protection hidden="1"/>
    </xf>
    <xf numFmtId="4" fontId="57" fillId="0" borderId="0" xfId="7" applyNumberFormat="1" applyFont="1" applyAlignment="1" applyProtection="1">
      <alignment vertical="center"/>
      <protection hidden="1"/>
    </xf>
    <xf numFmtId="169" fontId="57" fillId="0" borderId="0" xfId="7" applyNumberFormat="1" applyFont="1" applyAlignment="1" applyProtection="1">
      <alignment vertical="center"/>
      <protection hidden="1"/>
    </xf>
    <xf numFmtId="4" fontId="57" fillId="0" borderId="123" xfId="7" applyNumberFormat="1" applyFont="1" applyBorder="1" applyAlignment="1" applyProtection="1">
      <alignment vertical="center"/>
      <protection hidden="1"/>
    </xf>
    <xf numFmtId="0" fontId="54" fillId="0" borderId="0" xfId="7" applyFont="1" applyAlignment="1" applyProtection="1">
      <alignment vertical="center"/>
      <protection hidden="1"/>
    </xf>
    <xf numFmtId="0" fontId="54" fillId="0" borderId="0" xfId="7" applyFont="1" applyAlignment="1" applyProtection="1">
      <alignment horizontal="left" vertical="center"/>
      <protection hidden="1"/>
    </xf>
    <xf numFmtId="4" fontId="57" fillId="0" borderId="125" xfId="7" applyNumberFormat="1" applyFont="1" applyBorder="1" applyAlignment="1" applyProtection="1">
      <alignment vertical="center"/>
      <protection hidden="1"/>
    </xf>
    <xf numFmtId="4" fontId="57" fillId="0" borderId="116" xfId="7" applyNumberFormat="1" applyFont="1" applyBorder="1" applyAlignment="1" applyProtection="1">
      <alignment vertical="center"/>
      <protection hidden="1"/>
    </xf>
    <xf numFmtId="169" fontId="57" fillId="0" borderId="116" xfId="7" applyNumberFormat="1" applyFont="1" applyBorder="1" applyAlignment="1" applyProtection="1">
      <alignment vertical="center"/>
      <protection hidden="1"/>
    </xf>
    <xf numFmtId="4" fontId="57" fillId="0" borderId="126" xfId="7" applyNumberFormat="1" applyFont="1" applyBorder="1" applyAlignment="1" applyProtection="1">
      <alignment vertical="center"/>
      <protection hidden="1"/>
    </xf>
    <xf numFmtId="0" fontId="16" fillId="0" borderId="173" xfId="7" applyBorder="1" applyAlignment="1" applyProtection="1">
      <alignment vertical="center"/>
      <protection hidden="1"/>
    </xf>
    <xf numFmtId="0" fontId="14" fillId="6" borderId="47" xfId="0" applyFont="1" applyFill="1" applyBorder="1" applyAlignment="1" applyProtection="1">
      <alignment horizontal="center" vertical="center"/>
      <protection hidden="1"/>
    </xf>
    <xf numFmtId="0" fontId="14" fillId="6" borderId="23" xfId="0" applyFont="1" applyFill="1" applyBorder="1" applyAlignment="1" applyProtection="1">
      <alignment horizontal="center" vertical="center"/>
      <protection hidden="1"/>
    </xf>
    <xf numFmtId="0" fontId="14" fillId="6" borderId="48" xfId="0" applyFont="1" applyFill="1" applyBorder="1" applyAlignment="1" applyProtection="1">
      <alignment horizontal="center" vertical="center"/>
      <protection hidden="1"/>
    </xf>
    <xf numFmtId="0" fontId="14" fillId="6" borderId="57" xfId="0" applyFont="1" applyFill="1" applyBorder="1" applyAlignment="1" applyProtection="1">
      <alignment horizontal="center" vertical="center"/>
      <protection hidden="1"/>
    </xf>
    <xf numFmtId="0" fontId="14" fillId="6" borderId="58" xfId="0" applyFont="1" applyFill="1" applyBorder="1" applyAlignment="1" applyProtection="1">
      <alignment horizontal="center" vertical="center"/>
      <protection hidden="1"/>
    </xf>
    <xf numFmtId="0" fontId="14" fillId="6" borderId="56" xfId="0" applyFont="1" applyFill="1" applyBorder="1" applyAlignment="1" applyProtection="1">
      <alignment horizontal="center" vertical="center"/>
      <protection hidden="1"/>
    </xf>
    <xf numFmtId="0" fontId="0" fillId="6" borderId="32" xfId="0" applyFill="1" applyBorder="1" applyAlignment="1" applyProtection="1">
      <alignment horizontal="center" wrapText="1"/>
      <protection hidden="1"/>
    </xf>
    <xf numFmtId="0" fontId="0" fillId="6" borderId="28" xfId="0" applyFill="1" applyBorder="1" applyAlignment="1" applyProtection="1">
      <alignment horizontal="center" wrapText="1"/>
      <protection hidden="1"/>
    </xf>
    <xf numFmtId="0" fontId="2" fillId="5" borderId="33" xfId="0" applyFont="1" applyFill="1" applyBorder="1" applyAlignment="1" applyProtection="1">
      <alignment horizontal="left" vertical="center" wrapText="1"/>
      <protection hidden="1"/>
    </xf>
    <xf numFmtId="0" fontId="2" fillId="5" borderId="27" xfId="0" applyFont="1" applyFill="1" applyBorder="1" applyAlignment="1" applyProtection="1">
      <alignment horizontal="left" vertical="center" wrapText="1"/>
      <protection hidden="1"/>
    </xf>
    <xf numFmtId="0" fontId="0" fillId="5" borderId="59"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6" borderId="32" xfId="0" applyFill="1" applyBorder="1" applyAlignment="1" applyProtection="1">
      <alignment horizontal="center"/>
      <protection hidden="1"/>
    </xf>
    <xf numFmtId="0" fontId="0" fillId="6" borderId="34" xfId="0" applyFill="1" applyBorder="1" applyAlignment="1" applyProtection="1">
      <alignment horizontal="center"/>
      <protection hidden="1"/>
    </xf>
    <xf numFmtId="0" fontId="0" fillId="5" borderId="32" xfId="0" applyFill="1" applyBorder="1" applyAlignment="1" applyProtection="1">
      <alignment horizontal="center"/>
      <protection hidden="1"/>
    </xf>
    <xf numFmtId="0" fontId="0" fillId="5" borderId="34" xfId="0" applyFill="1" applyBorder="1" applyAlignment="1" applyProtection="1">
      <alignment horizontal="center"/>
      <protection hidden="1"/>
    </xf>
    <xf numFmtId="0" fontId="0" fillId="6" borderId="60" xfId="0" applyFill="1" applyBorder="1" applyAlignment="1" applyProtection="1">
      <alignment horizontal="center"/>
      <protection hidden="1"/>
    </xf>
    <xf numFmtId="0" fontId="14" fillId="9" borderId="50" xfId="0" applyFont="1" applyFill="1" applyBorder="1" applyAlignment="1" applyProtection="1">
      <alignment horizontal="center" vertical="center"/>
      <protection hidden="1"/>
    </xf>
    <xf numFmtId="0" fontId="14" fillId="9" borderId="51" xfId="0" applyFont="1" applyFill="1" applyBorder="1" applyAlignment="1" applyProtection="1">
      <alignment horizontal="center" vertical="center"/>
      <protection hidden="1"/>
    </xf>
    <xf numFmtId="0" fontId="14" fillId="9" borderId="52" xfId="0" applyFont="1" applyFill="1" applyBorder="1" applyAlignment="1" applyProtection="1">
      <alignment horizontal="center" vertical="center"/>
      <protection hidden="1"/>
    </xf>
    <xf numFmtId="0" fontId="0" fillId="9" borderId="37" xfId="0" applyFill="1" applyBorder="1" applyAlignment="1" applyProtection="1">
      <alignment horizontal="center" wrapText="1"/>
      <protection hidden="1"/>
    </xf>
    <xf numFmtId="0" fontId="0" fillId="9" borderId="28" xfId="0" applyFill="1" applyBorder="1" applyAlignment="1" applyProtection="1">
      <alignment horizontal="center" wrapText="1"/>
      <protection hidden="1"/>
    </xf>
    <xf numFmtId="0" fontId="2" fillId="8" borderId="38" xfId="0" applyFont="1" applyFill="1" applyBorder="1" applyAlignment="1" applyProtection="1">
      <alignment horizontal="left" vertical="center" wrapText="1"/>
      <protection hidden="1"/>
    </xf>
    <xf numFmtId="0" fontId="2" fillId="8" borderId="54" xfId="0" applyFont="1" applyFill="1" applyBorder="1" applyAlignment="1" applyProtection="1">
      <alignment horizontal="left" vertical="center" wrapText="1"/>
      <protection hidden="1"/>
    </xf>
    <xf numFmtId="0" fontId="2" fillId="8" borderId="27" xfId="0" applyFont="1" applyFill="1" applyBorder="1" applyAlignment="1" applyProtection="1">
      <alignment horizontal="left" vertical="center" wrapText="1"/>
      <protection hidden="1"/>
    </xf>
    <xf numFmtId="0" fontId="2" fillId="8" borderId="41" xfId="0" applyFont="1" applyFill="1" applyBorder="1" applyAlignment="1" applyProtection="1">
      <alignment horizontal="left" vertical="center" wrapText="1"/>
      <protection hidden="1"/>
    </xf>
    <xf numFmtId="0" fontId="0" fillId="9" borderId="32" xfId="0" applyFill="1" applyBorder="1" applyAlignment="1" applyProtection="1">
      <alignment horizontal="center" wrapText="1"/>
      <protection hidden="1"/>
    </xf>
    <xf numFmtId="0" fontId="0" fillId="9" borderId="34" xfId="0" applyFill="1" applyBorder="1" applyAlignment="1" applyProtection="1">
      <alignment horizontal="center" wrapText="1"/>
      <protection hidden="1"/>
    </xf>
    <xf numFmtId="0" fontId="0" fillId="8" borderId="32" xfId="0" applyFill="1" applyBorder="1" applyAlignment="1" applyProtection="1">
      <alignment horizontal="center" wrapText="1"/>
      <protection hidden="1"/>
    </xf>
    <xf numFmtId="0" fontId="0" fillId="8" borderId="34" xfId="0" applyFill="1" applyBorder="1" applyAlignment="1" applyProtection="1">
      <alignment horizontal="center" wrapText="1"/>
      <protection hidden="1"/>
    </xf>
    <xf numFmtId="0" fontId="0" fillId="9" borderId="46" xfId="0" applyFill="1" applyBorder="1" applyAlignment="1" applyProtection="1">
      <alignment horizontal="center"/>
      <protection hidden="1"/>
    </xf>
    <xf numFmtId="0" fontId="0" fillId="9" borderId="39" xfId="0" applyFill="1" applyBorder="1" applyAlignment="1" applyProtection="1">
      <alignment horizontal="center"/>
      <protection hidden="1"/>
    </xf>
    <xf numFmtId="0" fontId="14" fillId="10" borderId="43" xfId="0" applyFont="1" applyFill="1" applyBorder="1" applyAlignment="1" applyProtection="1">
      <alignment horizontal="center" vertical="center"/>
      <protection hidden="1"/>
    </xf>
    <xf numFmtId="0" fontId="14" fillId="10" borderId="1" xfId="0" applyFont="1" applyFill="1" applyBorder="1" applyAlignment="1" applyProtection="1">
      <alignment horizontal="center" vertical="center"/>
      <protection hidden="1"/>
    </xf>
    <xf numFmtId="0" fontId="14" fillId="10" borderId="42" xfId="0" applyFont="1" applyFill="1" applyBorder="1" applyAlignment="1" applyProtection="1">
      <alignment horizontal="center" vertical="center"/>
      <protection hidden="1"/>
    </xf>
    <xf numFmtId="0" fontId="0" fillId="10" borderId="32" xfId="0" applyFill="1" applyBorder="1" applyAlignment="1" applyProtection="1">
      <alignment horizontal="center" wrapText="1"/>
      <protection hidden="1"/>
    </xf>
    <xf numFmtId="0" fontId="0" fillId="10" borderId="28" xfId="0" applyFill="1" applyBorder="1" applyAlignment="1" applyProtection="1">
      <alignment horizontal="center" wrapText="1"/>
      <protection hidden="1"/>
    </xf>
    <xf numFmtId="0" fontId="2" fillId="11" borderId="33" xfId="0" applyFont="1" applyFill="1" applyBorder="1" applyAlignment="1" applyProtection="1">
      <alignment horizontal="left" vertical="center" wrapText="1"/>
      <protection hidden="1"/>
    </xf>
    <xf numFmtId="0" fontId="2" fillId="11" borderId="59" xfId="0" applyFont="1" applyFill="1" applyBorder="1" applyAlignment="1" applyProtection="1">
      <alignment horizontal="left" vertical="center" wrapText="1"/>
      <protection hidden="1"/>
    </xf>
    <xf numFmtId="0" fontId="2" fillId="11" borderId="27" xfId="0" applyFont="1" applyFill="1" applyBorder="1" applyAlignment="1" applyProtection="1">
      <alignment horizontal="left" vertical="center" wrapText="1"/>
      <protection hidden="1"/>
    </xf>
    <xf numFmtId="0" fontId="2" fillId="11" borderId="41" xfId="0" applyFont="1" applyFill="1" applyBorder="1" applyAlignment="1" applyProtection="1">
      <alignment horizontal="left" vertical="center" wrapText="1"/>
      <protection hidden="1"/>
    </xf>
    <xf numFmtId="0" fontId="0" fillId="10" borderId="34" xfId="0" applyFill="1" applyBorder="1" applyAlignment="1" applyProtection="1">
      <alignment horizontal="center" wrapText="1"/>
      <protection hidden="1"/>
    </xf>
    <xf numFmtId="0" fontId="0" fillId="11" borderId="32" xfId="0" applyFill="1" applyBorder="1" applyAlignment="1" applyProtection="1">
      <alignment horizontal="center" wrapText="1"/>
      <protection hidden="1"/>
    </xf>
    <xf numFmtId="0" fontId="0" fillId="11" borderId="34" xfId="0" applyFill="1" applyBorder="1" applyAlignment="1" applyProtection="1">
      <alignment horizontal="center" wrapText="1"/>
      <protection hidden="1"/>
    </xf>
    <xf numFmtId="0" fontId="0" fillId="10" borderId="60" xfId="0" applyFill="1" applyBorder="1" applyAlignment="1" applyProtection="1">
      <alignment horizontal="center"/>
      <protection hidden="1"/>
    </xf>
    <xf numFmtId="0" fontId="0" fillId="10" borderId="34" xfId="0" applyFill="1" applyBorder="1" applyAlignment="1" applyProtection="1">
      <alignment horizontal="center"/>
      <protection hidden="1"/>
    </xf>
    <xf numFmtId="44" fontId="12" fillId="13" borderId="179" xfId="5" applyFont="1" applyFill="1" applyBorder="1" applyAlignment="1" applyProtection="1">
      <alignment horizontal="center" vertical="center" wrapText="1"/>
      <protection hidden="1"/>
    </xf>
    <xf numFmtId="44" fontId="12" fillId="13" borderId="138" xfId="5" applyFont="1" applyFill="1" applyBorder="1" applyAlignment="1" applyProtection="1">
      <alignment horizontal="center" vertical="center" wrapText="1"/>
      <protection hidden="1"/>
    </xf>
    <xf numFmtId="44" fontId="12" fillId="13" borderId="139" xfId="5" applyFont="1" applyFill="1" applyBorder="1" applyAlignment="1" applyProtection="1">
      <alignment horizontal="center" vertical="center" wrapText="1"/>
      <protection hidden="1"/>
    </xf>
    <xf numFmtId="0" fontId="12" fillId="0" borderId="179" xfId="2" applyFont="1" applyFill="1" applyBorder="1" applyAlignment="1" applyProtection="1">
      <alignment horizontal="center" vertical="center" wrapText="1"/>
      <protection hidden="1"/>
    </xf>
    <xf numFmtId="0" fontId="12" fillId="0" borderId="138" xfId="2" applyFont="1" applyFill="1" applyBorder="1" applyAlignment="1" applyProtection="1">
      <alignment horizontal="center" vertical="center" wrapText="1"/>
      <protection hidden="1"/>
    </xf>
    <xf numFmtId="0" fontId="12" fillId="0" borderId="139" xfId="2" applyFont="1" applyFill="1" applyBorder="1" applyAlignment="1" applyProtection="1">
      <alignment horizontal="center" vertical="center" wrapText="1"/>
      <protection hidden="1"/>
    </xf>
    <xf numFmtId="0" fontId="0" fillId="0" borderId="1" xfId="0" applyBorder="1" applyAlignment="1" applyProtection="1">
      <alignment horizontal="center"/>
      <protection hidden="1"/>
    </xf>
    <xf numFmtId="2" fontId="15" fillId="0" borderId="103" xfId="2" applyNumberFormat="1" applyFont="1" applyFill="1" applyBorder="1" applyAlignment="1" applyProtection="1">
      <alignment horizontal="center" vertical="center" wrapText="1"/>
      <protection hidden="1"/>
    </xf>
    <xf numFmtId="164" fontId="11" fillId="0" borderId="103" xfId="2" applyNumberFormat="1" applyFont="1" applyFill="1" applyBorder="1" applyAlignment="1" applyProtection="1">
      <alignment horizontal="center" vertical="center" wrapText="1"/>
      <protection hidden="1"/>
    </xf>
    <xf numFmtId="164" fontId="11" fillId="0" borderId="104" xfId="2" applyNumberFormat="1" applyFont="1" applyFill="1" applyBorder="1" applyAlignment="1" applyProtection="1">
      <alignment horizontal="center" vertical="center" wrapText="1"/>
      <protection hidden="1"/>
    </xf>
    <xf numFmtId="0" fontId="13" fillId="0" borderId="70" xfId="2" applyFont="1" applyFill="1" applyBorder="1" applyAlignment="1" applyProtection="1">
      <alignment horizontal="left"/>
      <protection hidden="1"/>
    </xf>
    <xf numFmtId="0" fontId="13" fillId="0" borderId="67" xfId="2" applyFont="1" applyFill="1" applyBorder="1" applyAlignment="1" applyProtection="1">
      <alignment horizontal="left"/>
      <protection hidden="1"/>
    </xf>
    <xf numFmtId="0" fontId="13" fillId="0" borderId="87" xfId="2" applyFont="1" applyFill="1" applyBorder="1" applyAlignment="1" applyProtection="1">
      <alignment horizontal="left"/>
      <protection hidden="1"/>
    </xf>
    <xf numFmtId="0" fontId="12" fillId="0" borderId="171" xfId="2" applyFont="1" applyFill="1" applyBorder="1" applyAlignment="1" applyProtection="1">
      <alignment horizontal="center" vertical="center" wrapText="1"/>
      <protection hidden="1"/>
    </xf>
    <xf numFmtId="0" fontId="12" fillId="0" borderId="172" xfId="2" applyFont="1" applyFill="1" applyBorder="1" applyAlignment="1" applyProtection="1">
      <alignment horizontal="center" vertical="center" wrapText="1"/>
      <protection hidden="1"/>
    </xf>
    <xf numFmtId="164" fontId="11" fillId="0" borderId="171" xfId="2" applyNumberFormat="1" applyFont="1" applyFill="1" applyBorder="1" applyAlignment="1" applyProtection="1">
      <alignment horizontal="center" vertical="center" wrapText="1"/>
      <protection hidden="1"/>
    </xf>
    <xf numFmtId="164" fontId="11" fillId="0" borderId="172" xfId="2" applyNumberFormat="1" applyFont="1" applyFill="1" applyBorder="1" applyAlignment="1" applyProtection="1">
      <alignment horizontal="center" vertical="center" wrapText="1"/>
      <protection hidden="1"/>
    </xf>
    <xf numFmtId="0" fontId="11" fillId="5" borderId="7" xfId="2" applyFont="1" applyFill="1" applyBorder="1" applyAlignment="1" applyProtection="1">
      <alignment horizontal="left"/>
      <protection locked="0"/>
    </xf>
    <xf numFmtId="0" fontId="11" fillId="5" borderId="12" xfId="2" applyFont="1" applyFill="1" applyBorder="1" applyAlignment="1" applyProtection="1">
      <alignment horizontal="left"/>
      <protection locked="0"/>
    </xf>
    <xf numFmtId="0" fontId="11" fillId="5" borderId="8" xfId="2" applyFont="1" applyFill="1" applyBorder="1" applyAlignment="1" applyProtection="1">
      <alignment horizontal="left"/>
      <protection locked="0"/>
    </xf>
    <xf numFmtId="0" fontId="11" fillId="5" borderId="13" xfId="2" applyFont="1" applyFill="1" applyBorder="1" applyAlignment="1" applyProtection="1">
      <alignment horizontal="left"/>
      <protection locked="0"/>
    </xf>
    <xf numFmtId="0" fontId="11" fillId="5" borderId="85" xfId="2" applyFont="1" applyFill="1" applyBorder="1" applyAlignment="1" applyProtection="1">
      <alignment horizontal="center"/>
      <protection locked="0"/>
    </xf>
    <xf numFmtId="0" fontId="11" fillId="5" borderId="1" xfId="2" applyFont="1" applyFill="1" applyBorder="1" applyAlignment="1" applyProtection="1">
      <alignment horizontal="center"/>
      <protection locked="0"/>
    </xf>
    <xf numFmtId="0" fontId="11" fillId="5" borderId="42" xfId="2" applyFont="1" applyFill="1" applyBorder="1" applyAlignment="1" applyProtection="1">
      <alignment horizontal="center"/>
      <protection locked="0"/>
    </xf>
    <xf numFmtId="0" fontId="11" fillId="5" borderId="88" xfId="2" applyFont="1" applyFill="1" applyBorder="1" applyAlignment="1" applyProtection="1">
      <alignment horizontal="center"/>
      <protection locked="0"/>
    </xf>
    <xf numFmtId="0" fontId="11" fillId="5" borderId="67" xfId="2" applyFont="1" applyFill="1" applyBorder="1" applyAlignment="1" applyProtection="1">
      <alignment horizontal="center"/>
      <protection locked="0"/>
    </xf>
    <xf numFmtId="0" fontId="11" fillId="5" borderId="75" xfId="2" applyFont="1" applyFill="1" applyBorder="1" applyAlignment="1" applyProtection="1">
      <alignment horizontal="center"/>
      <protection locked="0"/>
    </xf>
    <xf numFmtId="0" fontId="12" fillId="0" borderId="103" xfId="2" applyFont="1" applyFill="1" applyBorder="1" applyAlignment="1" applyProtection="1">
      <alignment horizontal="center" vertical="center" wrapText="1"/>
      <protection hidden="1"/>
    </xf>
    <xf numFmtId="0" fontId="12" fillId="0" borderId="104" xfId="2" applyFont="1" applyFill="1" applyBorder="1" applyAlignment="1" applyProtection="1">
      <alignment horizontal="center" vertical="center" wrapText="1"/>
      <protection hidden="1"/>
    </xf>
    <xf numFmtId="0" fontId="13" fillId="0" borderId="68" xfId="2" applyFont="1" applyFill="1" applyBorder="1" applyAlignment="1" applyProtection="1">
      <alignment horizontal="left"/>
      <protection hidden="1"/>
    </xf>
    <xf numFmtId="0" fontId="13" fillId="0" borderId="26" xfId="2" applyFont="1" applyFill="1" applyBorder="1" applyAlignment="1" applyProtection="1">
      <alignment horizontal="left"/>
      <protection hidden="1"/>
    </xf>
    <xf numFmtId="0" fontId="13" fillId="0" borderId="69" xfId="2" applyFont="1" applyFill="1" applyBorder="1" applyAlignment="1" applyProtection="1">
      <alignment horizontal="left"/>
      <protection hidden="1"/>
    </xf>
    <xf numFmtId="0" fontId="11" fillId="5" borderId="89" xfId="0" applyFont="1" applyFill="1" applyBorder="1" applyAlignment="1" applyProtection="1">
      <alignment horizontal="center" wrapText="1"/>
      <protection locked="0"/>
    </xf>
    <xf numFmtId="0" fontId="12" fillId="0" borderId="28" xfId="2" applyFont="1" applyFill="1" applyBorder="1" applyAlignment="1" applyProtection="1">
      <alignment horizontal="center" wrapText="1"/>
      <protection hidden="1"/>
    </xf>
    <xf numFmtId="0" fontId="12" fillId="0" borderId="27" xfId="2" applyFont="1" applyFill="1" applyBorder="1" applyAlignment="1" applyProtection="1">
      <alignment horizontal="center" wrapText="1"/>
      <protection hidden="1"/>
    </xf>
    <xf numFmtId="0" fontId="12" fillId="0" borderId="29" xfId="2" applyFont="1" applyFill="1" applyBorder="1" applyAlignment="1" applyProtection="1">
      <alignment horizontal="center" wrapText="1"/>
      <protection hidden="1"/>
    </xf>
    <xf numFmtId="2" fontId="12" fillId="0" borderId="27" xfId="2" applyNumberFormat="1" applyFont="1" applyFill="1" applyBorder="1" applyAlignment="1" applyProtection="1">
      <alignment horizontal="center" vertical="center" wrapText="1"/>
      <protection hidden="1"/>
    </xf>
    <xf numFmtId="2" fontId="12" fillId="0" borderId="29" xfId="2" applyNumberFormat="1" applyFont="1" applyFill="1" applyBorder="1" applyAlignment="1" applyProtection="1">
      <alignment horizontal="center" vertical="center" wrapText="1"/>
      <protection hidden="1"/>
    </xf>
    <xf numFmtId="164" fontId="11" fillId="0" borderId="28" xfId="2" applyNumberFormat="1" applyFont="1" applyFill="1" applyBorder="1" applyAlignment="1" applyProtection="1">
      <alignment horizontal="center" wrapText="1"/>
      <protection hidden="1"/>
    </xf>
    <xf numFmtId="164" fontId="11" fillId="0" borderId="27" xfId="2" applyNumberFormat="1" applyFont="1" applyFill="1" applyBorder="1" applyAlignment="1" applyProtection="1">
      <alignment horizontal="center" wrapText="1"/>
      <protection hidden="1"/>
    </xf>
    <xf numFmtId="164" fontId="12" fillId="0" borderId="27" xfId="2" applyNumberFormat="1" applyFont="1" applyFill="1" applyBorder="1" applyAlignment="1" applyProtection="1">
      <alignment horizontal="center" vertical="center" wrapText="1"/>
      <protection hidden="1"/>
    </xf>
    <xf numFmtId="164" fontId="12" fillId="0" borderId="29" xfId="2" applyNumberFormat="1" applyFont="1" applyFill="1" applyBorder="1" applyAlignment="1" applyProtection="1">
      <alignment horizontal="center" vertical="center" wrapText="1"/>
      <protection hidden="1"/>
    </xf>
    <xf numFmtId="0" fontId="2" fillId="0" borderId="82"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78" xfId="0" applyFont="1" applyBorder="1" applyAlignment="1" applyProtection="1">
      <alignment horizontal="center" vertical="center"/>
      <protection hidden="1"/>
    </xf>
    <xf numFmtId="0" fontId="11" fillId="0" borderId="71" xfId="2" applyFont="1" applyFill="1" applyBorder="1" applyAlignment="1" applyProtection="1">
      <alignment horizontal="left" vertical="center" wrapText="1"/>
      <protection hidden="1"/>
    </xf>
    <xf numFmtId="0" fontId="11" fillId="0" borderId="72" xfId="2" applyFont="1" applyFill="1" applyBorder="1" applyAlignment="1" applyProtection="1">
      <alignment horizontal="left" vertical="center" wrapText="1"/>
      <protection hidden="1"/>
    </xf>
    <xf numFmtId="0" fontId="11" fillId="0" borderId="77" xfId="2" applyFont="1" applyFill="1" applyBorder="1" applyAlignment="1" applyProtection="1">
      <alignment horizontal="left" vertical="center" wrapText="1"/>
      <protection hidden="1"/>
    </xf>
    <xf numFmtId="0" fontId="12" fillId="0" borderId="82" xfId="2" applyFont="1" applyFill="1" applyBorder="1" applyAlignment="1" applyProtection="1">
      <alignment horizontal="center" vertical="center" wrapText="1"/>
      <protection hidden="1"/>
    </xf>
    <xf numFmtId="0" fontId="12" fillId="0" borderId="0" xfId="2" applyFont="1" applyFill="1" applyBorder="1" applyAlignment="1" applyProtection="1">
      <alignment horizontal="center" vertical="center" wrapText="1"/>
      <protection hidden="1"/>
    </xf>
    <xf numFmtId="0" fontId="12" fillId="0" borderId="86" xfId="2" applyFont="1" applyFill="1" applyBorder="1" applyAlignment="1" applyProtection="1">
      <alignment horizontal="center" vertical="center" wrapText="1"/>
      <protection hidden="1"/>
    </xf>
    <xf numFmtId="49" fontId="0" fillId="0" borderId="151" xfId="0" applyNumberFormat="1" applyBorder="1" applyAlignment="1" applyProtection="1">
      <alignment horizontal="center"/>
      <protection hidden="1"/>
    </xf>
    <xf numFmtId="0" fontId="0" fillId="0" borderId="78" xfId="0" applyBorder="1" applyAlignment="1" applyProtection="1">
      <alignment horizontal="center"/>
      <protection hidden="1"/>
    </xf>
    <xf numFmtId="2" fontId="12" fillId="0" borderId="100" xfId="2" applyNumberFormat="1" applyFont="1" applyFill="1" applyBorder="1" applyAlignment="1" applyProtection="1">
      <alignment horizontal="center"/>
      <protection hidden="1"/>
    </xf>
    <xf numFmtId="2" fontId="12" fillId="0" borderId="101" xfId="2" applyNumberFormat="1" applyFont="1" applyFill="1" applyBorder="1" applyAlignment="1" applyProtection="1">
      <alignment horizontal="center"/>
      <protection hidden="1"/>
    </xf>
    <xf numFmtId="2" fontId="12" fillId="0" borderId="41" xfId="2" applyNumberFormat="1" applyFont="1" applyFill="1" applyBorder="1" applyAlignment="1" applyProtection="1">
      <alignment horizontal="center" vertical="center" wrapText="1"/>
      <protection hidden="1"/>
    </xf>
    <xf numFmtId="2" fontId="12" fillId="0" borderId="40" xfId="2" applyNumberFormat="1" applyFont="1" applyFill="1" applyBorder="1" applyAlignment="1" applyProtection="1">
      <alignment horizontal="center" vertical="center" wrapText="1"/>
      <protection hidden="1"/>
    </xf>
    <xf numFmtId="164" fontId="11" fillId="0" borderId="27" xfId="2" applyNumberFormat="1" applyFont="1" applyFill="1" applyBorder="1" applyAlignment="1" applyProtection="1">
      <alignment horizontal="center" vertical="center" wrapText="1"/>
      <protection hidden="1"/>
    </xf>
    <xf numFmtId="2" fontId="59" fillId="0" borderId="163" xfId="2" applyNumberFormat="1" applyFont="1" applyFill="1" applyBorder="1" applyAlignment="1" applyProtection="1">
      <alignment horizontal="center" wrapText="1"/>
      <protection hidden="1"/>
    </xf>
    <xf numFmtId="2" fontId="59" fillId="0" borderId="164" xfId="2" applyNumberFormat="1" applyFont="1" applyFill="1" applyBorder="1" applyAlignment="1" applyProtection="1">
      <alignment horizontal="center" wrapText="1"/>
      <protection hidden="1"/>
    </xf>
    <xf numFmtId="2" fontId="59" fillId="0" borderId="165" xfId="2" applyNumberFormat="1" applyFont="1" applyFill="1" applyBorder="1" applyAlignment="1" applyProtection="1">
      <alignment horizontal="center" wrapText="1"/>
      <protection hidden="1"/>
    </xf>
    <xf numFmtId="0" fontId="12" fillId="0" borderId="97" xfId="2" applyFont="1" applyFill="1" applyBorder="1" applyAlignment="1" applyProtection="1">
      <alignment horizontal="center"/>
      <protection hidden="1"/>
    </xf>
    <xf numFmtId="0" fontId="12" fillId="0" borderId="98" xfId="2" applyFont="1" applyFill="1" applyBorder="1" applyAlignment="1" applyProtection="1">
      <alignment horizontal="center"/>
      <protection hidden="1"/>
    </xf>
    <xf numFmtId="0" fontId="9" fillId="0" borderId="127" xfId="2" applyFont="1" applyFill="1" applyBorder="1" applyAlignment="1" applyProtection="1">
      <alignment horizontal="center" vertical="center" wrapText="1"/>
      <protection hidden="1"/>
    </xf>
    <xf numFmtId="0" fontId="9" fillId="0" borderId="128" xfId="2" applyFont="1" applyFill="1" applyBorder="1" applyAlignment="1" applyProtection="1">
      <alignment horizontal="center" vertical="center" wrapText="1"/>
      <protection hidden="1"/>
    </xf>
    <xf numFmtId="0" fontId="9" fillId="0" borderId="129" xfId="2" applyFont="1" applyFill="1" applyBorder="1" applyAlignment="1" applyProtection="1">
      <alignment horizontal="center" vertical="center" wrapText="1"/>
      <protection hidden="1"/>
    </xf>
    <xf numFmtId="0" fontId="12" fillId="5" borderId="95" xfId="2" applyFont="1" applyFill="1" applyBorder="1" applyAlignment="1" applyProtection="1">
      <alignment horizontal="center" wrapText="1"/>
      <protection locked="0"/>
    </xf>
    <xf numFmtId="0" fontId="12" fillId="5" borderId="94" xfId="2" applyFont="1" applyFill="1" applyBorder="1" applyAlignment="1" applyProtection="1">
      <alignment horizontal="center" wrapText="1"/>
      <protection locked="0"/>
    </xf>
    <xf numFmtId="0" fontId="12" fillId="0" borderId="169" xfId="2" applyFont="1" applyFill="1" applyBorder="1" applyAlignment="1" applyProtection="1">
      <alignment horizontal="center" vertical="center"/>
      <protection hidden="1"/>
    </xf>
    <xf numFmtId="0" fontId="12" fillId="0" borderId="170" xfId="2" applyFont="1" applyFill="1" applyBorder="1" applyAlignment="1" applyProtection="1">
      <alignment horizontal="center" vertical="center"/>
      <protection hidden="1"/>
    </xf>
    <xf numFmtId="0" fontId="11" fillId="0" borderId="166" xfId="2" applyFont="1" applyFill="1" applyBorder="1" applyAlignment="1" applyProtection="1">
      <alignment horizontal="center" vertical="center" wrapText="1"/>
      <protection hidden="1"/>
    </xf>
    <xf numFmtId="0" fontId="11" fillId="0" borderId="167" xfId="2" applyFont="1" applyFill="1" applyBorder="1" applyAlignment="1" applyProtection="1">
      <alignment horizontal="center" vertical="center" wrapText="1"/>
      <protection hidden="1"/>
    </xf>
    <xf numFmtId="0" fontId="11" fillId="0" borderId="168" xfId="2" applyFont="1" applyFill="1" applyBorder="1" applyAlignment="1" applyProtection="1">
      <alignment horizontal="center" vertical="center" wrapText="1"/>
      <protection hidden="1"/>
    </xf>
    <xf numFmtId="0" fontId="11" fillId="5" borderId="150" xfId="0" applyFont="1" applyFill="1" applyBorder="1" applyAlignment="1" applyProtection="1">
      <alignment horizontal="center" wrapText="1"/>
      <protection locked="0"/>
    </xf>
    <xf numFmtId="0" fontId="12" fillId="5" borderId="150" xfId="2" applyFont="1" applyFill="1" applyBorder="1" applyAlignment="1" applyProtection="1">
      <alignment horizontal="center" wrapText="1"/>
      <protection locked="0"/>
    </xf>
    <xf numFmtId="0" fontId="12" fillId="5" borderId="149" xfId="2" applyFont="1" applyFill="1" applyBorder="1" applyAlignment="1" applyProtection="1">
      <alignment horizontal="center" wrapText="1"/>
      <protection locked="0"/>
    </xf>
    <xf numFmtId="0" fontId="9" fillId="0" borderId="83" xfId="2" applyFont="1" applyFill="1" applyBorder="1" applyAlignment="1" applyProtection="1">
      <alignment horizontal="center" vertical="center" wrapText="1"/>
      <protection hidden="1"/>
    </xf>
    <xf numFmtId="0" fontId="9" fillId="0" borderId="92" xfId="2" applyFont="1" applyFill="1" applyBorder="1" applyAlignment="1" applyProtection="1">
      <alignment horizontal="center" vertical="center" wrapText="1"/>
      <protection hidden="1"/>
    </xf>
    <xf numFmtId="0" fontId="9" fillId="0" borderId="93" xfId="2" applyFont="1" applyFill="1" applyBorder="1" applyAlignment="1" applyProtection="1">
      <alignment horizontal="center" vertical="center" wrapText="1"/>
      <protection hidden="1"/>
    </xf>
    <xf numFmtId="0" fontId="12" fillId="0" borderId="96" xfId="2" applyFont="1" applyFill="1" applyBorder="1" applyAlignment="1" applyProtection="1">
      <alignment horizontal="center"/>
      <protection hidden="1"/>
    </xf>
    <xf numFmtId="0" fontId="23" fillId="0" borderId="19" xfId="2" applyFont="1" applyFill="1" applyBorder="1" applyAlignment="1" applyProtection="1">
      <alignment horizontal="center" vertical="center" wrapText="1"/>
      <protection hidden="1"/>
    </xf>
    <xf numFmtId="0" fontId="23" fillId="0" borderId="20" xfId="2" applyFont="1" applyFill="1" applyBorder="1" applyAlignment="1" applyProtection="1">
      <alignment horizontal="center" vertical="center" wrapText="1"/>
      <protection hidden="1"/>
    </xf>
    <xf numFmtId="0" fontId="23" fillId="0" borderId="21" xfId="2" applyFont="1" applyFill="1" applyBorder="1" applyAlignment="1" applyProtection="1">
      <alignment horizontal="center" vertical="center" wrapText="1"/>
      <protection hidden="1"/>
    </xf>
    <xf numFmtId="2" fontId="12" fillId="0" borderId="99" xfId="2" applyNumberFormat="1" applyFont="1" applyFill="1" applyBorder="1" applyAlignment="1" applyProtection="1">
      <alignment horizontal="center" wrapText="1"/>
      <protection hidden="1"/>
    </xf>
    <xf numFmtId="2" fontId="12" fillId="0" borderId="100" xfId="2" applyNumberFormat="1" applyFont="1" applyFill="1" applyBorder="1" applyAlignment="1" applyProtection="1">
      <alignment horizontal="center" wrapText="1"/>
      <protection hidden="1"/>
    </xf>
    <xf numFmtId="49" fontId="0" fillId="5" borderId="55" xfId="0" applyNumberFormat="1" applyFill="1" applyBorder="1" applyAlignment="1" applyProtection="1">
      <alignment horizontal="center" vertical="center"/>
      <protection locked="0"/>
    </xf>
    <xf numFmtId="49" fontId="0" fillId="5" borderId="175" xfId="0" applyNumberFormat="1" applyFill="1" applyBorder="1" applyAlignment="1" applyProtection="1">
      <alignment horizontal="center" vertical="center"/>
      <protection locked="0"/>
    </xf>
    <xf numFmtId="0" fontId="12" fillId="13" borderId="174" xfId="2" applyFont="1" applyFill="1" applyBorder="1" applyAlignment="1" applyProtection="1">
      <alignment horizontal="left" vertical="center" wrapText="1"/>
      <protection hidden="1"/>
    </xf>
    <xf numFmtId="0" fontId="12" fillId="13" borderId="62" xfId="2" applyFont="1" applyFill="1" applyBorder="1" applyAlignment="1" applyProtection="1">
      <alignment horizontal="left" vertical="center" wrapText="1"/>
      <protection hidden="1"/>
    </xf>
    <xf numFmtId="0" fontId="19" fillId="0" borderId="83" xfId="2" applyFont="1" applyFill="1" applyBorder="1" applyAlignment="1" applyProtection="1">
      <alignment horizontal="center" vertical="center" wrapText="1"/>
      <protection hidden="1"/>
    </xf>
    <xf numFmtId="0" fontId="19" fillId="0" borderId="84" xfId="2" applyFont="1" applyFill="1" applyBorder="1" applyAlignment="1" applyProtection="1">
      <alignment horizontal="center" vertical="center" wrapText="1"/>
      <protection hidden="1"/>
    </xf>
    <xf numFmtId="0" fontId="19" fillId="0" borderId="40" xfId="2" applyFont="1" applyFill="1" applyBorder="1" applyAlignment="1" applyProtection="1">
      <alignment horizontal="center" vertical="center" wrapText="1"/>
      <protection hidden="1"/>
    </xf>
    <xf numFmtId="3" fontId="13" fillId="5" borderId="89" xfId="2" applyNumberFormat="1" applyFont="1" applyFill="1" applyBorder="1" applyAlignment="1" applyProtection="1">
      <alignment horizontal="center" vertical="center"/>
      <protection locked="0"/>
    </xf>
    <xf numFmtId="3" fontId="13" fillId="5" borderId="90" xfId="2" applyNumberFormat="1" applyFont="1" applyFill="1" applyBorder="1" applyAlignment="1" applyProtection="1">
      <alignment horizontal="center" vertical="center"/>
      <protection locked="0"/>
    </xf>
    <xf numFmtId="0" fontId="12" fillId="0" borderId="169" xfId="2" applyFont="1" applyFill="1" applyBorder="1" applyAlignment="1" applyProtection="1">
      <alignment horizontal="center" vertical="center" wrapText="1"/>
      <protection hidden="1"/>
    </xf>
    <xf numFmtId="0" fontId="9" fillId="0" borderId="19" xfId="2" applyFont="1" applyFill="1" applyBorder="1" applyAlignment="1" applyProtection="1">
      <alignment horizontal="center" vertical="center" wrapText="1"/>
      <protection hidden="1"/>
    </xf>
    <xf numFmtId="0" fontId="9" fillId="0" borderId="20" xfId="2" applyFont="1" applyFill="1" applyBorder="1" applyAlignment="1" applyProtection="1">
      <alignment horizontal="center" vertical="center" wrapText="1"/>
      <protection hidden="1"/>
    </xf>
    <xf numFmtId="0" fontId="9" fillId="0" borderId="21" xfId="2" applyFont="1" applyFill="1" applyBorder="1" applyAlignment="1" applyProtection="1">
      <alignment horizontal="center" vertical="center" wrapText="1"/>
      <protection hidden="1"/>
    </xf>
    <xf numFmtId="0" fontId="12" fillId="0" borderId="89" xfId="2" applyFont="1" applyFill="1" applyBorder="1" applyAlignment="1" applyProtection="1">
      <alignment horizontal="center" vertical="center"/>
      <protection hidden="1"/>
    </xf>
    <xf numFmtId="1" fontId="12" fillId="0" borderId="89" xfId="2" applyNumberFormat="1" applyFont="1" applyFill="1" applyBorder="1" applyAlignment="1" applyProtection="1">
      <alignment horizontal="center" vertical="center"/>
      <protection hidden="1"/>
    </xf>
    <xf numFmtId="2" fontId="12" fillId="0" borderId="82" xfId="2" applyNumberFormat="1" applyFont="1" applyFill="1" applyBorder="1" applyAlignment="1" applyProtection="1">
      <alignment horizontal="center" vertical="center" wrapText="1"/>
      <protection hidden="1"/>
    </xf>
    <xf numFmtId="2" fontId="12" fillId="0" borderId="0" xfId="2" applyNumberFormat="1" applyFont="1" applyFill="1" applyBorder="1" applyAlignment="1" applyProtection="1">
      <alignment horizontal="center" vertical="center"/>
      <protection hidden="1"/>
    </xf>
    <xf numFmtId="2" fontId="12" fillId="0" borderId="78" xfId="2" applyNumberFormat="1" applyFont="1" applyFill="1" applyBorder="1" applyAlignment="1" applyProtection="1">
      <alignment horizontal="center" vertical="center"/>
      <protection hidden="1"/>
    </xf>
    <xf numFmtId="0" fontId="9" fillId="0" borderId="7" xfId="2" applyFont="1" applyFill="1" applyBorder="1" applyAlignment="1" applyProtection="1">
      <alignment horizontal="center" vertical="center" wrapText="1"/>
      <protection hidden="1"/>
    </xf>
    <xf numFmtId="0" fontId="10" fillId="0" borderId="8" xfId="2" applyFont="1" applyFill="1" applyBorder="1" applyAlignment="1" applyProtection="1">
      <alignment horizontal="center" vertical="center" wrapText="1"/>
      <protection hidden="1"/>
    </xf>
    <xf numFmtId="0" fontId="10" fillId="0" borderId="73" xfId="2" applyFont="1" applyFill="1" applyBorder="1" applyAlignment="1" applyProtection="1">
      <alignment horizontal="center" vertical="center" wrapText="1"/>
      <protection hidden="1"/>
    </xf>
    <xf numFmtId="0" fontId="10" fillId="0" borderId="9" xfId="2" applyFont="1" applyFill="1" applyBorder="1" applyAlignment="1" applyProtection="1">
      <alignment horizontal="center" vertical="center" wrapText="1"/>
      <protection hidden="1"/>
    </xf>
    <xf numFmtId="165" fontId="13" fillId="0" borderId="134" xfId="2" applyNumberFormat="1" applyFont="1" applyFill="1" applyBorder="1" applyAlignment="1" applyProtection="1">
      <alignment horizontal="center" vertical="center"/>
      <protection hidden="1"/>
    </xf>
    <xf numFmtId="165" fontId="13" fillId="0" borderId="136" xfId="2" applyNumberFormat="1" applyFont="1" applyFill="1" applyBorder="1" applyAlignment="1" applyProtection="1">
      <alignment horizontal="center" vertical="center"/>
      <protection hidden="1"/>
    </xf>
    <xf numFmtId="165" fontId="13" fillId="0" borderId="137" xfId="2" applyNumberFormat="1" applyFont="1" applyFill="1" applyBorder="1" applyAlignment="1" applyProtection="1">
      <alignment horizontal="center" vertical="center"/>
      <protection hidden="1"/>
    </xf>
    <xf numFmtId="0" fontId="11" fillId="0" borderId="82" xfId="2" applyFont="1" applyFill="1" applyBorder="1" applyAlignment="1" applyProtection="1">
      <alignment horizontal="center" vertical="center" wrapText="1"/>
      <protection hidden="1"/>
    </xf>
    <xf numFmtId="0" fontId="11" fillId="0" borderId="0" xfId="2" applyFont="1" applyFill="1" applyBorder="1" applyAlignment="1" applyProtection="1">
      <alignment horizontal="center" vertical="center" wrapText="1"/>
      <protection hidden="1"/>
    </xf>
    <xf numFmtId="0" fontId="11" fillId="0" borderId="78" xfId="2" applyFont="1" applyFill="1" applyBorder="1" applyAlignment="1" applyProtection="1">
      <alignment horizontal="center" vertical="center" wrapText="1"/>
      <protection hidden="1"/>
    </xf>
    <xf numFmtId="49" fontId="0" fillId="5" borderId="41" xfId="0" applyNumberFormat="1" applyFill="1" applyBorder="1" applyAlignment="1" applyProtection="1">
      <alignment horizontal="center" vertical="center"/>
      <protection locked="0"/>
    </xf>
    <xf numFmtId="49" fontId="0" fillId="5" borderId="84" xfId="0" applyNumberFormat="1" applyFill="1" applyBorder="1" applyAlignment="1" applyProtection="1">
      <alignment horizontal="center" vertical="center"/>
      <protection locked="0"/>
    </xf>
    <xf numFmtId="49" fontId="0" fillId="5" borderId="40" xfId="0" applyNumberFormat="1" applyFill="1" applyBorder="1" applyAlignment="1" applyProtection="1">
      <alignment horizontal="center" vertical="center"/>
      <protection locked="0"/>
    </xf>
    <xf numFmtId="0" fontId="12" fillId="0" borderId="145" xfId="2" applyFont="1" applyFill="1" applyBorder="1" applyAlignment="1" applyProtection="1">
      <alignment horizontal="center" vertical="center" wrapText="1"/>
      <protection hidden="1"/>
    </xf>
    <xf numFmtId="0" fontId="12" fillId="0" borderId="146" xfId="2" applyFont="1" applyFill="1" applyBorder="1" applyAlignment="1" applyProtection="1">
      <alignment horizontal="center" vertical="center" wrapText="1"/>
      <protection hidden="1"/>
    </xf>
    <xf numFmtId="0" fontId="12" fillId="0" borderId="147" xfId="2" applyFont="1" applyFill="1" applyBorder="1" applyAlignment="1" applyProtection="1">
      <alignment horizontal="center" vertical="center" wrapText="1"/>
      <protection hidden="1"/>
    </xf>
    <xf numFmtId="0" fontId="19" fillId="0" borderId="148" xfId="2" applyFont="1" applyFill="1" applyBorder="1" applyAlignment="1" applyProtection="1">
      <alignment horizontal="left" vertical="center" wrapText="1"/>
      <protection hidden="1"/>
    </xf>
    <xf numFmtId="0" fontId="19" fillId="0" borderId="143" xfId="2" applyFont="1" applyFill="1" applyBorder="1" applyAlignment="1" applyProtection="1">
      <alignment horizontal="left" vertical="center" wrapText="1"/>
      <protection hidden="1"/>
    </xf>
    <xf numFmtId="0" fontId="19" fillId="0" borderId="144" xfId="2" applyFont="1" applyFill="1" applyBorder="1" applyAlignment="1" applyProtection="1">
      <alignment horizontal="left" vertical="center" wrapText="1"/>
      <protection hidden="1"/>
    </xf>
    <xf numFmtId="0" fontId="19" fillId="0" borderId="139" xfId="2" applyFont="1" applyFill="1" applyBorder="1" applyAlignment="1" applyProtection="1">
      <alignment horizontal="left" vertical="center" wrapText="1"/>
      <protection hidden="1"/>
    </xf>
    <xf numFmtId="0" fontId="19" fillId="0" borderId="89" xfId="2" applyFont="1" applyFill="1" applyBorder="1" applyAlignment="1" applyProtection="1">
      <alignment horizontal="left" vertical="center" wrapText="1"/>
      <protection hidden="1"/>
    </xf>
    <xf numFmtId="0" fontId="19" fillId="0" borderId="90" xfId="2" applyFont="1" applyFill="1" applyBorder="1" applyAlignment="1" applyProtection="1">
      <alignment horizontal="left" vertical="center" wrapText="1"/>
      <protection hidden="1"/>
    </xf>
    <xf numFmtId="0" fontId="12" fillId="0" borderId="90" xfId="2" applyFont="1" applyFill="1" applyBorder="1" applyAlignment="1" applyProtection="1">
      <alignment horizontal="center" vertical="center"/>
      <protection hidden="1"/>
    </xf>
    <xf numFmtId="0" fontId="19" fillId="0" borderId="176" xfId="2" applyFont="1" applyFill="1" applyBorder="1" applyAlignment="1" applyProtection="1">
      <alignment horizontal="center" vertical="center" wrapText="1"/>
      <protection hidden="1"/>
    </xf>
    <xf numFmtId="0" fontId="19" fillId="0" borderId="174" xfId="2" applyFont="1" applyFill="1" applyBorder="1" applyAlignment="1" applyProtection="1">
      <alignment horizontal="center" vertical="center" wrapText="1"/>
      <protection hidden="1"/>
    </xf>
    <xf numFmtId="0" fontId="19" fillId="0" borderId="175" xfId="2" applyFont="1" applyFill="1" applyBorder="1" applyAlignment="1" applyProtection="1">
      <alignment horizontal="center" vertical="center" wrapText="1"/>
      <protection hidden="1"/>
    </xf>
    <xf numFmtId="0" fontId="11" fillId="0" borderId="163" xfId="2" applyFont="1" applyFill="1" applyBorder="1" applyAlignment="1" applyProtection="1">
      <alignment horizontal="center" vertical="center" wrapText="1"/>
      <protection hidden="1"/>
    </xf>
    <xf numFmtId="0" fontId="11" fillId="0" borderId="164" xfId="2" applyFont="1" applyFill="1" applyBorder="1" applyAlignment="1" applyProtection="1">
      <alignment horizontal="center" vertical="center" wrapText="1"/>
      <protection hidden="1"/>
    </xf>
    <xf numFmtId="0" fontId="11" fillId="0" borderId="177" xfId="2" applyFont="1" applyFill="1" applyBorder="1" applyAlignment="1" applyProtection="1">
      <alignment horizontal="center" vertical="center" wrapText="1"/>
      <protection hidden="1"/>
    </xf>
    <xf numFmtId="0" fontId="11" fillId="0" borderId="132" xfId="2" applyFont="1" applyFill="1" applyBorder="1" applyAlignment="1" applyProtection="1">
      <alignment horizontal="center" vertical="center" wrapText="1"/>
      <protection hidden="1"/>
    </xf>
    <xf numFmtId="0" fontId="11" fillId="0" borderId="136" xfId="2" applyFont="1" applyFill="1" applyBorder="1" applyAlignment="1" applyProtection="1">
      <alignment horizontal="center" vertical="center" wrapText="1"/>
      <protection hidden="1"/>
    </xf>
    <xf numFmtId="0" fontId="11" fillId="0" borderId="133" xfId="2" applyFont="1" applyFill="1" applyBorder="1" applyAlignment="1" applyProtection="1">
      <alignment horizontal="center" vertical="center" wrapText="1"/>
      <protection hidden="1"/>
    </xf>
    <xf numFmtId="0" fontId="12" fillId="0" borderId="71" xfId="2" applyFont="1" applyFill="1" applyBorder="1" applyAlignment="1" applyProtection="1">
      <alignment horizontal="center" wrapText="1"/>
      <protection hidden="1"/>
    </xf>
    <xf numFmtId="0" fontId="12" fillId="0" borderId="72" xfId="2" applyFont="1" applyFill="1" applyBorder="1" applyAlignment="1" applyProtection="1">
      <alignment horizontal="center" wrapText="1"/>
      <protection hidden="1"/>
    </xf>
    <xf numFmtId="0" fontId="12" fillId="0" borderId="178" xfId="2" applyFont="1" applyFill="1" applyBorder="1" applyAlignment="1" applyProtection="1">
      <alignment horizontal="center" wrapText="1"/>
      <protection hidden="1"/>
    </xf>
    <xf numFmtId="0" fontId="12" fillId="0" borderId="15" xfId="2" applyFont="1" applyFill="1" applyBorder="1" applyAlignment="1" applyProtection="1">
      <alignment horizontal="center" vertical="center" wrapText="1"/>
      <protection hidden="1"/>
    </xf>
    <xf numFmtId="0" fontId="12" fillId="0" borderId="18" xfId="2" applyFont="1" applyFill="1" applyBorder="1" applyAlignment="1" applyProtection="1">
      <alignment horizontal="center" vertical="center" wrapText="1"/>
      <protection hidden="1"/>
    </xf>
    <xf numFmtId="0" fontId="12" fillId="0" borderId="76" xfId="2" applyFont="1" applyFill="1" applyBorder="1" applyAlignment="1" applyProtection="1">
      <alignment horizontal="center" vertical="center" wrapText="1"/>
      <protection hidden="1"/>
    </xf>
    <xf numFmtId="165" fontId="11" fillId="0" borderId="131" xfId="2" applyNumberFormat="1" applyFont="1" applyFill="1" applyBorder="1" applyAlignment="1" applyProtection="1">
      <alignment horizontal="center" vertical="center"/>
      <protection hidden="1"/>
    </xf>
    <xf numFmtId="165" fontId="11" fillId="0" borderId="130" xfId="2" applyNumberFormat="1" applyFont="1" applyFill="1" applyBorder="1" applyAlignment="1" applyProtection="1">
      <alignment horizontal="center" vertical="center"/>
      <protection hidden="1"/>
    </xf>
    <xf numFmtId="165" fontId="13" fillId="0" borderId="131" xfId="2" applyNumberFormat="1" applyFont="1" applyFill="1" applyBorder="1" applyAlignment="1" applyProtection="1">
      <alignment horizontal="center" vertical="center"/>
      <protection hidden="1"/>
    </xf>
    <xf numFmtId="165" fontId="13" fillId="0" borderId="0" xfId="2" applyNumberFormat="1" applyFont="1" applyFill="1" applyBorder="1" applyAlignment="1" applyProtection="1">
      <alignment horizontal="center" vertical="center"/>
      <protection hidden="1"/>
    </xf>
    <xf numFmtId="165" fontId="13" fillId="0" borderId="78" xfId="2" applyNumberFormat="1" applyFont="1" applyFill="1" applyBorder="1" applyAlignment="1" applyProtection="1">
      <alignment horizontal="center" vertical="center"/>
      <protection hidden="1"/>
    </xf>
    <xf numFmtId="0" fontId="4" fillId="0" borderId="0" xfId="1" applyFill="1" applyBorder="1" applyAlignment="1" applyProtection="1">
      <alignment horizontal="center"/>
      <protection hidden="1"/>
    </xf>
    <xf numFmtId="0" fontId="22" fillId="0" borderId="3" xfId="2" applyFont="1" applyFill="1" applyBorder="1" applyAlignment="1" applyProtection="1">
      <alignment horizontal="center" vertical="center" wrapText="1"/>
      <protection hidden="1"/>
    </xf>
    <xf numFmtId="0" fontId="22" fillId="0" borderId="4" xfId="2" applyFont="1" applyFill="1" applyBorder="1" applyAlignment="1" applyProtection="1">
      <alignment horizontal="center" vertical="center" wrapText="1"/>
      <protection hidden="1"/>
    </xf>
    <xf numFmtId="0" fontId="22" fillId="0" borderId="22" xfId="2" applyFont="1" applyFill="1" applyBorder="1" applyAlignment="1" applyProtection="1">
      <alignment horizontal="center" vertical="center" wrapText="1"/>
      <protection hidden="1"/>
    </xf>
    <xf numFmtId="0" fontId="22" fillId="0" borderId="5" xfId="2" applyFont="1" applyFill="1" applyBorder="1" applyAlignment="1" applyProtection="1">
      <alignment horizontal="center" vertical="center" wrapText="1"/>
      <protection hidden="1"/>
    </xf>
    <xf numFmtId="0" fontId="3" fillId="0" borderId="6" xfId="2" applyFont="1" applyFill="1" applyBorder="1" applyAlignment="1" applyProtection="1">
      <alignment horizontal="center"/>
      <protection hidden="1"/>
    </xf>
    <xf numFmtId="0" fontId="0" fillId="5" borderId="8" xfId="3" applyFont="1" applyFill="1" applyBorder="1" applyAlignment="1" applyProtection="1">
      <alignment horizontal="left" vertical="center" wrapText="1"/>
      <protection locked="0"/>
    </xf>
    <xf numFmtId="0" fontId="1" fillId="5" borderId="8" xfId="3" applyFill="1" applyBorder="1" applyAlignment="1" applyProtection="1">
      <alignment horizontal="left" vertical="center" wrapText="1"/>
      <protection locked="0"/>
    </xf>
    <xf numFmtId="0" fontId="1" fillId="5" borderId="73" xfId="3" applyFill="1" applyBorder="1" applyAlignment="1" applyProtection="1">
      <alignment horizontal="left" vertical="center" wrapText="1"/>
      <protection locked="0"/>
    </xf>
    <xf numFmtId="0" fontId="1" fillId="5" borderId="9" xfId="3" applyFill="1" applyBorder="1" applyAlignment="1" applyProtection="1">
      <alignment horizontal="left" vertical="center" wrapText="1"/>
      <protection locked="0"/>
    </xf>
    <xf numFmtId="49" fontId="1" fillId="5" borderId="2" xfId="3" applyNumberFormat="1" applyFill="1" applyBorder="1" applyAlignment="1" applyProtection="1">
      <alignment horizontal="left" vertical="center" wrapText="1"/>
      <protection locked="0"/>
    </xf>
    <xf numFmtId="49" fontId="1" fillId="5" borderId="15" xfId="3" applyNumberFormat="1" applyFill="1" applyBorder="1" applyAlignment="1" applyProtection="1">
      <alignment horizontal="left" vertical="center" wrapText="1"/>
      <protection locked="0"/>
    </xf>
    <xf numFmtId="49" fontId="1" fillId="5" borderId="11" xfId="3" applyNumberFormat="1" applyFill="1" applyBorder="1" applyAlignment="1" applyProtection="1">
      <alignment horizontal="left" vertical="center" wrapText="1"/>
      <protection locked="0"/>
    </xf>
    <xf numFmtId="0" fontId="1" fillId="5" borderId="2" xfId="3" applyFill="1" applyBorder="1" applyAlignment="1" applyProtection="1">
      <alignment horizontal="left" vertical="center" wrapText="1"/>
      <protection locked="0"/>
    </xf>
    <xf numFmtId="0" fontId="1" fillId="5" borderId="15" xfId="3" applyFill="1" applyBorder="1" applyAlignment="1" applyProtection="1">
      <alignment horizontal="left" vertical="center" wrapText="1"/>
      <protection locked="0"/>
    </xf>
    <xf numFmtId="0" fontId="1" fillId="5" borderId="11" xfId="3" applyFill="1" applyBorder="1" applyAlignment="1" applyProtection="1">
      <alignment horizontal="left" vertical="center" wrapText="1"/>
      <protection locked="0"/>
    </xf>
    <xf numFmtId="0" fontId="0" fillId="5" borderId="15" xfId="3" applyFont="1" applyFill="1" applyBorder="1" applyAlignment="1" applyProtection="1">
      <alignment horizontal="left" vertical="center" wrapText="1"/>
      <protection locked="0"/>
    </xf>
    <xf numFmtId="0" fontId="0" fillId="5" borderId="18" xfId="3" applyFont="1" applyFill="1" applyBorder="1" applyAlignment="1" applyProtection="1">
      <alignment horizontal="left" vertical="center" wrapText="1"/>
      <protection locked="0"/>
    </xf>
    <xf numFmtId="0" fontId="0" fillId="5" borderId="76" xfId="3" applyFont="1" applyFill="1" applyBorder="1" applyAlignment="1" applyProtection="1">
      <alignment horizontal="left" vertical="center" wrapText="1"/>
      <protection locked="0"/>
    </xf>
    <xf numFmtId="0" fontId="12" fillId="0" borderId="16" xfId="2" applyFont="1" applyFill="1" applyBorder="1" applyAlignment="1" applyProtection="1">
      <alignment horizontal="center" vertical="center" wrapText="1"/>
      <protection hidden="1"/>
    </xf>
    <xf numFmtId="0" fontId="1" fillId="5" borderId="15" xfId="3" applyFill="1" applyBorder="1" applyAlignment="1" applyProtection="1">
      <alignment horizontal="left" vertical="top" wrapText="1"/>
      <protection locked="0"/>
    </xf>
    <xf numFmtId="0" fontId="1" fillId="5" borderId="18" xfId="3" applyFill="1" applyBorder="1" applyAlignment="1" applyProtection="1">
      <alignment horizontal="left" vertical="top" wrapText="1"/>
      <protection locked="0"/>
    </xf>
    <xf numFmtId="0" fontId="1" fillId="5" borderId="76" xfId="3" applyFill="1" applyBorder="1" applyAlignment="1" applyProtection="1">
      <alignment horizontal="left" vertical="top" wrapText="1"/>
      <protection locked="0"/>
    </xf>
    <xf numFmtId="0" fontId="0" fillId="5" borderId="13" xfId="3" applyFont="1" applyFill="1" applyBorder="1" applyAlignment="1" applyProtection="1">
      <alignment vertical="center" wrapText="1"/>
      <protection locked="0"/>
    </xf>
    <xf numFmtId="0" fontId="1" fillId="5" borderId="13" xfId="3" applyFill="1" applyBorder="1" applyAlignment="1" applyProtection="1">
      <alignment vertical="center" wrapText="1"/>
      <protection locked="0"/>
    </xf>
    <xf numFmtId="0" fontId="11" fillId="0" borderId="68" xfId="2" applyFont="1" applyFill="1" applyBorder="1" applyAlignment="1" applyProtection="1">
      <alignment horizontal="center" vertical="center" wrapText="1"/>
      <protection hidden="1"/>
    </xf>
    <xf numFmtId="0" fontId="11" fillId="0" borderId="26" xfId="2" applyFont="1" applyFill="1" applyBorder="1" applyAlignment="1" applyProtection="1">
      <alignment horizontal="center" vertical="center" wrapText="1"/>
      <protection hidden="1"/>
    </xf>
    <xf numFmtId="0" fontId="11" fillId="0" borderId="69" xfId="2" applyFont="1" applyFill="1" applyBorder="1" applyAlignment="1" applyProtection="1">
      <alignment horizontal="center" vertical="center" wrapText="1"/>
      <protection hidden="1"/>
    </xf>
    <xf numFmtId="0" fontId="0" fillId="0" borderId="23" xfId="0" applyBorder="1" applyAlignment="1" applyProtection="1">
      <alignment horizontal="center"/>
      <protection hidden="1"/>
    </xf>
    <xf numFmtId="0" fontId="24" fillId="0" borderId="20" xfId="2" applyFont="1" applyFill="1" applyBorder="1" applyAlignment="1" applyProtection="1">
      <alignment horizontal="center" vertical="center" wrapText="1"/>
      <protection hidden="1"/>
    </xf>
    <xf numFmtId="0" fontId="24" fillId="0" borderId="21" xfId="2" applyFont="1" applyFill="1" applyBorder="1" applyAlignment="1" applyProtection="1">
      <alignment horizontal="center" vertical="center" wrapText="1"/>
      <protection hidden="1"/>
    </xf>
    <xf numFmtId="0" fontId="12" fillId="0" borderId="17" xfId="2" applyFont="1" applyFill="1" applyBorder="1" applyAlignment="1" applyProtection="1">
      <alignment horizontal="center" vertical="center" wrapText="1"/>
      <protection hidden="1"/>
    </xf>
    <xf numFmtId="0" fontId="11" fillId="0" borderId="17" xfId="2" applyFont="1" applyFill="1" applyBorder="1" applyAlignment="1" applyProtection="1">
      <alignment horizontal="center" vertical="center" wrapText="1"/>
      <protection hidden="1"/>
    </xf>
    <xf numFmtId="0" fontId="11" fillId="0" borderId="18" xfId="2" applyFont="1" applyFill="1" applyBorder="1" applyAlignment="1" applyProtection="1">
      <alignment horizontal="center" vertical="center" wrapText="1"/>
      <protection hidden="1"/>
    </xf>
    <xf numFmtId="0" fontId="11" fillId="0" borderId="16" xfId="2" applyFont="1" applyFill="1" applyBorder="1" applyAlignment="1" applyProtection="1">
      <alignment horizontal="center" vertical="center" wrapText="1"/>
      <protection hidden="1"/>
    </xf>
    <xf numFmtId="0" fontId="11" fillId="0" borderId="71" xfId="2" applyFont="1" applyFill="1" applyBorder="1" applyAlignment="1" applyProtection="1">
      <alignment horizontal="center" vertical="center" wrapText="1"/>
      <protection hidden="1"/>
    </xf>
    <xf numFmtId="0" fontId="11" fillId="0" borderId="72" xfId="2" applyFont="1" applyFill="1" applyBorder="1" applyAlignment="1" applyProtection="1">
      <alignment horizontal="center" vertical="center" wrapText="1"/>
      <protection hidden="1"/>
    </xf>
    <xf numFmtId="0" fontId="11" fillId="0" borderId="77" xfId="2" applyFont="1" applyFill="1" applyBorder="1" applyAlignment="1" applyProtection="1">
      <alignment horizontal="center" vertical="center" wrapText="1"/>
      <protection hidden="1"/>
    </xf>
    <xf numFmtId="0" fontId="0" fillId="5" borderId="41" xfId="0" applyFill="1" applyBorder="1" applyAlignment="1" applyProtection="1">
      <alignment horizontal="center" vertical="center"/>
      <protection locked="0"/>
    </xf>
    <xf numFmtId="0" fontId="0" fillId="5" borderId="61" xfId="0" applyFill="1" applyBorder="1" applyAlignment="1" applyProtection="1">
      <alignment horizontal="center" vertical="center"/>
      <protection locked="0"/>
    </xf>
    <xf numFmtId="0" fontId="12" fillId="0" borderId="41" xfId="2" applyFont="1" applyFill="1" applyBorder="1" applyAlignment="1" applyProtection="1">
      <alignment horizontal="center" vertical="center" wrapText="1"/>
      <protection hidden="1"/>
    </xf>
    <xf numFmtId="0" fontId="12" fillId="0" borderId="40" xfId="2" applyFont="1" applyFill="1" applyBorder="1" applyAlignment="1" applyProtection="1">
      <alignment horizontal="center" vertical="center" wrapText="1"/>
      <protection hidden="1"/>
    </xf>
    <xf numFmtId="0" fontId="3" fillId="0" borderId="13" xfId="2" applyFont="1" applyFill="1" applyBorder="1" applyAlignment="1" applyProtection="1">
      <alignment horizontal="center" vertical="center" wrapText="1"/>
      <protection hidden="1"/>
    </xf>
    <xf numFmtId="0" fontId="3" fillId="0" borderId="25" xfId="2" applyFont="1" applyFill="1" applyBorder="1" applyAlignment="1" applyProtection="1">
      <alignment horizontal="center" vertical="center" wrapText="1"/>
      <protection hidden="1"/>
    </xf>
    <xf numFmtId="0" fontId="3" fillId="0" borderId="14" xfId="2" applyFont="1" applyFill="1" applyBorder="1" applyAlignment="1" applyProtection="1">
      <alignment horizontal="center" vertical="center" wrapText="1"/>
      <protection hidden="1"/>
    </xf>
    <xf numFmtId="0" fontId="23" fillId="0" borderId="7" xfId="2" applyFont="1" applyFill="1" applyBorder="1" applyAlignment="1" applyProtection="1">
      <alignment horizontal="center" vertical="center" wrapText="1"/>
      <protection hidden="1"/>
    </xf>
    <xf numFmtId="0" fontId="24" fillId="0" borderId="8" xfId="2" applyFont="1" applyFill="1" applyBorder="1" applyAlignment="1" applyProtection="1">
      <alignment horizontal="center" vertical="center" wrapText="1"/>
      <protection hidden="1"/>
    </xf>
    <xf numFmtId="0" fontId="24" fillId="0" borderId="73" xfId="2" applyFont="1" applyFill="1" applyBorder="1" applyAlignment="1" applyProtection="1">
      <alignment horizontal="center" vertical="center" wrapText="1"/>
      <protection hidden="1"/>
    </xf>
    <xf numFmtId="0" fontId="24" fillId="0" borderId="9" xfId="2" applyFont="1" applyFill="1" applyBorder="1" applyAlignment="1" applyProtection="1">
      <alignment horizontal="center" vertical="center" wrapText="1"/>
      <protection hidden="1"/>
    </xf>
    <xf numFmtId="0" fontId="12" fillId="0" borderId="68" xfId="2" applyFont="1" applyFill="1" applyBorder="1" applyAlignment="1" applyProtection="1">
      <alignment horizontal="center" vertical="center" wrapText="1"/>
      <protection hidden="1"/>
    </xf>
    <xf numFmtId="0" fontId="12" fillId="0" borderId="26" xfId="2" applyFont="1" applyFill="1" applyBorder="1" applyAlignment="1" applyProtection="1">
      <alignment horizontal="center" vertical="center" wrapText="1"/>
      <protection hidden="1"/>
    </xf>
    <xf numFmtId="0" fontId="12" fillId="0" borderId="78" xfId="2" applyFont="1" applyFill="1" applyBorder="1" applyAlignment="1" applyProtection="1">
      <alignment horizontal="center" vertical="center" wrapText="1"/>
      <protection hidden="1"/>
    </xf>
    <xf numFmtId="0" fontId="9" fillId="0" borderId="79" xfId="2" applyFont="1" applyFill="1" applyBorder="1" applyAlignment="1" applyProtection="1">
      <alignment horizontal="center" vertical="center" wrapText="1"/>
      <protection hidden="1"/>
    </xf>
    <xf numFmtId="0" fontId="9" fillId="0" borderId="80" xfId="2" applyFont="1" applyFill="1" applyBorder="1" applyAlignment="1" applyProtection="1">
      <alignment horizontal="center" vertical="center" wrapText="1"/>
      <protection hidden="1"/>
    </xf>
    <xf numFmtId="0" fontId="9" fillId="0" borderId="81" xfId="2" applyFont="1" applyFill="1" applyBorder="1" applyAlignment="1" applyProtection="1">
      <alignment horizontal="center" vertical="center" wrapText="1"/>
      <protection hidden="1"/>
    </xf>
    <xf numFmtId="0" fontId="12" fillId="0" borderId="66" xfId="2" applyFont="1" applyFill="1" applyBorder="1" applyAlignment="1" applyProtection="1">
      <alignment horizontal="center" vertical="center" wrapText="1"/>
      <protection hidden="1"/>
    </xf>
    <xf numFmtId="0" fontId="12" fillId="0" borderId="65" xfId="2" applyFont="1" applyFill="1" applyBorder="1" applyAlignment="1" applyProtection="1">
      <alignment horizontal="center" vertical="center" wrapText="1"/>
      <protection hidden="1"/>
    </xf>
    <xf numFmtId="165" fontId="11" fillId="0" borderId="134" xfId="2" applyNumberFormat="1" applyFont="1" applyFill="1" applyBorder="1" applyAlignment="1" applyProtection="1">
      <alignment horizontal="center" vertical="center"/>
      <protection hidden="1"/>
    </xf>
    <xf numFmtId="165" fontId="11" fillId="0" borderId="133" xfId="2" applyNumberFormat="1" applyFont="1" applyFill="1" applyBorder="1" applyAlignment="1" applyProtection="1">
      <alignment horizontal="center" vertical="center"/>
      <protection hidden="1"/>
    </xf>
    <xf numFmtId="1" fontId="17" fillId="5" borderId="169" xfId="0" applyNumberFormat="1" applyFont="1" applyFill="1" applyBorder="1" applyAlignment="1" applyProtection="1">
      <alignment horizontal="center" vertical="center"/>
      <protection locked="0"/>
    </xf>
    <xf numFmtId="1" fontId="17" fillId="5" borderId="170" xfId="0" applyNumberFormat="1" applyFont="1" applyFill="1" applyBorder="1" applyAlignment="1" applyProtection="1">
      <alignment horizontal="center" vertical="center"/>
      <protection locked="0"/>
    </xf>
    <xf numFmtId="0" fontId="12" fillId="0" borderId="89" xfId="2" applyFont="1" applyFill="1" applyBorder="1" applyAlignment="1" applyProtection="1">
      <alignment horizontal="center" vertical="center" wrapText="1"/>
      <protection hidden="1"/>
    </xf>
    <xf numFmtId="1" fontId="17" fillId="5" borderId="89" xfId="0" applyNumberFormat="1" applyFont="1" applyFill="1" applyBorder="1" applyAlignment="1" applyProtection="1">
      <alignment horizontal="center" vertical="center"/>
      <protection locked="0"/>
    </xf>
    <xf numFmtId="1" fontId="17" fillId="5" borderId="90" xfId="0" applyNumberFormat="1" applyFont="1" applyFill="1" applyBorder="1" applyAlignment="1" applyProtection="1">
      <alignment horizontal="center" vertical="center"/>
      <protection locked="0"/>
    </xf>
    <xf numFmtId="44" fontId="11" fillId="13" borderId="179" xfId="5" applyFont="1" applyFill="1" applyBorder="1" applyAlignment="1" applyProtection="1">
      <alignment horizontal="center" vertical="center"/>
      <protection hidden="1"/>
    </xf>
    <xf numFmtId="44" fontId="11" fillId="13" borderId="138" xfId="5" applyFont="1" applyFill="1" applyBorder="1" applyAlignment="1" applyProtection="1">
      <alignment horizontal="center" vertical="center"/>
      <protection hidden="1"/>
    </xf>
    <xf numFmtId="44" fontId="11" fillId="13" borderId="139" xfId="5" applyFont="1" applyFill="1" applyBorder="1" applyAlignment="1" applyProtection="1">
      <alignment horizontal="center" vertical="center"/>
      <protection hidden="1"/>
    </xf>
    <xf numFmtId="0" fontId="12" fillId="0" borderId="180" xfId="2" applyFont="1" applyFill="1" applyBorder="1" applyAlignment="1" applyProtection="1">
      <alignment horizontal="center" vertical="center" wrapText="1"/>
      <protection hidden="1"/>
    </xf>
    <xf numFmtId="0" fontId="12" fillId="0" borderId="181" xfId="2" applyFont="1" applyFill="1" applyBorder="1" applyAlignment="1" applyProtection="1">
      <alignment horizontal="center" vertical="center" wrapText="1"/>
      <protection hidden="1"/>
    </xf>
    <xf numFmtId="0" fontId="12" fillId="0" borderId="182" xfId="2" applyFont="1" applyFill="1" applyBorder="1" applyAlignment="1" applyProtection="1">
      <alignment horizontal="center" vertical="center" wrapText="1"/>
      <protection hidden="1"/>
    </xf>
    <xf numFmtId="44" fontId="12" fillId="13" borderId="180" xfId="5" applyFont="1" applyFill="1" applyBorder="1" applyAlignment="1" applyProtection="1">
      <alignment horizontal="center" vertical="center" wrapText="1"/>
      <protection hidden="1"/>
    </xf>
    <xf numFmtId="44" fontId="12" fillId="13" borderId="181" xfId="5" applyFont="1" applyFill="1" applyBorder="1" applyAlignment="1" applyProtection="1">
      <alignment horizontal="center" vertical="center" wrapText="1"/>
      <protection hidden="1"/>
    </xf>
    <xf numFmtId="44" fontId="12" fillId="13" borderId="182" xfId="5" applyFont="1" applyFill="1" applyBorder="1" applyAlignment="1" applyProtection="1">
      <alignment horizontal="center" vertical="center" wrapText="1"/>
      <protection hidden="1"/>
    </xf>
    <xf numFmtId="0" fontId="11" fillId="5" borderId="91" xfId="0" applyFont="1" applyFill="1" applyBorder="1" applyAlignment="1" applyProtection="1">
      <alignment horizontal="center" wrapText="1"/>
      <protection locked="0"/>
    </xf>
    <xf numFmtId="0" fontId="11" fillId="5" borderId="138" xfId="0" applyFont="1" applyFill="1" applyBorder="1" applyAlignment="1" applyProtection="1">
      <alignment horizontal="center" wrapText="1"/>
      <protection locked="0"/>
    </xf>
    <xf numFmtId="0" fontId="11" fillId="5" borderId="139" xfId="0" applyFont="1" applyFill="1" applyBorder="1" applyAlignment="1" applyProtection="1">
      <alignment horizontal="center" wrapText="1"/>
      <protection locked="0"/>
    </xf>
    <xf numFmtId="2" fontId="0" fillId="0" borderId="151" xfId="0" applyNumberFormat="1" applyBorder="1" applyAlignment="1" applyProtection="1">
      <alignment horizontal="center"/>
      <protection hidden="1"/>
    </xf>
    <xf numFmtId="2" fontId="0" fillId="0" borderId="152" xfId="0" applyNumberFormat="1" applyBorder="1" applyAlignment="1" applyProtection="1">
      <alignment horizontal="center"/>
      <protection hidden="1"/>
    </xf>
    <xf numFmtId="2" fontId="11" fillId="0" borderId="159" xfId="2" applyNumberFormat="1" applyFont="1" applyFill="1" applyBorder="1" applyAlignment="1" applyProtection="1">
      <alignment horizontal="center" vertical="center" wrapText="1"/>
      <protection hidden="1"/>
    </xf>
    <xf numFmtId="2" fontId="11" fillId="0" borderId="160" xfId="2" applyNumberFormat="1" applyFont="1" applyFill="1" applyBorder="1" applyAlignment="1" applyProtection="1">
      <alignment horizontal="center" vertical="center" wrapText="1"/>
      <protection hidden="1"/>
    </xf>
    <xf numFmtId="2" fontId="11" fillId="0" borderId="161" xfId="2" applyNumberFormat="1" applyFont="1" applyFill="1" applyBorder="1" applyAlignment="1" applyProtection="1">
      <alignment horizontal="center" vertical="center" wrapText="1"/>
      <protection hidden="1"/>
    </xf>
    <xf numFmtId="2" fontId="11" fillId="0" borderId="162" xfId="2" applyNumberFormat="1" applyFont="1" applyFill="1" applyBorder="1" applyAlignment="1" applyProtection="1">
      <alignment horizontal="center" vertical="center" wrapText="1"/>
      <protection hidden="1"/>
    </xf>
    <xf numFmtId="0" fontId="12" fillId="0" borderId="157" xfId="2" applyFont="1" applyFill="1" applyBorder="1" applyAlignment="1" applyProtection="1">
      <alignment horizontal="center" vertical="center" wrapText="1"/>
      <protection hidden="1"/>
    </xf>
    <xf numFmtId="0" fontId="12" fillId="0" borderId="158" xfId="2" applyFont="1" applyFill="1" applyBorder="1" applyAlignment="1" applyProtection="1">
      <alignment horizontal="center" vertical="center" wrapText="1"/>
      <protection hidden="1"/>
    </xf>
    <xf numFmtId="0" fontId="11" fillId="0" borderId="140" xfId="2" applyFont="1" applyFill="1" applyBorder="1" applyAlignment="1" applyProtection="1">
      <alignment horizontal="center" wrapText="1"/>
      <protection hidden="1"/>
    </xf>
    <xf numFmtId="0" fontId="11" fillId="0" borderId="141" xfId="2" applyFont="1" applyFill="1" applyBorder="1" applyAlignment="1" applyProtection="1">
      <alignment horizontal="center" wrapText="1"/>
      <protection hidden="1"/>
    </xf>
    <xf numFmtId="0" fontId="11" fillId="0" borderId="142" xfId="2" applyFont="1" applyFill="1" applyBorder="1" applyAlignment="1" applyProtection="1">
      <alignment horizontal="center" wrapText="1"/>
      <protection hidden="1"/>
    </xf>
    <xf numFmtId="0" fontId="27" fillId="14" borderId="0" xfId="7" applyFont="1" applyFill="1" applyAlignment="1">
      <alignment horizontal="center" vertical="center"/>
    </xf>
    <xf numFmtId="0" fontId="16" fillId="0" borderId="0" xfId="7"/>
    <xf numFmtId="0" fontId="32" fillId="0" borderId="0" xfId="7" applyFont="1" applyAlignment="1">
      <alignment horizontal="left" vertical="center"/>
    </xf>
    <xf numFmtId="0" fontId="31" fillId="0" borderId="0" xfId="7" applyFont="1" applyAlignment="1">
      <alignment horizontal="left" vertical="top" wrapText="1"/>
    </xf>
    <xf numFmtId="0" fontId="32" fillId="0" borderId="0" xfId="7" applyFont="1" applyAlignment="1">
      <alignment horizontal="left" vertical="center" wrapText="1"/>
    </xf>
    <xf numFmtId="4" fontId="32" fillId="0" borderId="0" xfId="7" applyNumberFormat="1" applyFont="1" applyAlignment="1">
      <alignment vertical="center"/>
    </xf>
    <xf numFmtId="168" fontId="30" fillId="0" borderId="0" xfId="7" applyNumberFormat="1" applyFont="1" applyAlignment="1">
      <alignment horizontal="left" vertical="center"/>
    </xf>
    <xf numFmtId="0" fontId="30" fillId="0" borderId="0" xfId="7" applyFont="1" applyAlignment="1">
      <alignment vertical="center"/>
    </xf>
    <xf numFmtId="4" fontId="50" fillId="0" borderId="0" xfId="7" applyNumberFormat="1" applyFont="1" applyAlignment="1">
      <alignment vertical="center"/>
    </xf>
    <xf numFmtId="0" fontId="62" fillId="0" borderId="0" xfId="0" applyFont="1" applyAlignment="1">
      <alignment horizontal="left" vertical="center"/>
    </xf>
    <xf numFmtId="4" fontId="33" fillId="0" borderId="113" xfId="7" applyNumberFormat="1" applyFont="1" applyBorder="1" applyAlignment="1">
      <alignment vertical="center"/>
    </xf>
    <xf numFmtId="0" fontId="16" fillId="0" borderId="113" xfId="7" applyBorder="1" applyAlignment="1">
      <alignment vertical="center"/>
    </xf>
    <xf numFmtId="0" fontId="30" fillId="0" borderId="0" xfId="7" applyFont="1" applyAlignment="1">
      <alignment horizontal="right" vertical="center"/>
    </xf>
    <xf numFmtId="168" fontId="36" fillId="0" borderId="0" xfId="7" applyNumberFormat="1" applyFont="1" applyAlignment="1">
      <alignment horizontal="left" vertical="center"/>
    </xf>
    <xf numFmtId="0" fontId="36" fillId="0" borderId="0" xfId="7" applyFont="1" applyAlignment="1">
      <alignment vertical="center"/>
    </xf>
    <xf numFmtId="4" fontId="49" fillId="0" borderId="0" xfId="7" applyNumberFormat="1" applyFont="1" applyAlignment="1">
      <alignment vertical="center"/>
    </xf>
    <xf numFmtId="0" fontId="38" fillId="16" borderId="110" xfId="7" applyFont="1" applyFill="1" applyBorder="1" applyAlignment="1">
      <alignment horizontal="left" vertical="center"/>
    </xf>
    <xf numFmtId="0" fontId="16" fillId="16" borderId="110" xfId="7" applyFill="1" applyBorder="1" applyAlignment="1">
      <alignment vertical="center"/>
    </xf>
    <xf numFmtId="4" fontId="38" fillId="16" borderId="110" xfId="7" applyNumberFormat="1" applyFont="1" applyFill="1" applyBorder="1" applyAlignment="1">
      <alignment vertical="center"/>
    </xf>
    <xf numFmtId="0" fontId="16" fillId="16" borderId="111" xfId="7" applyFill="1" applyBorder="1" applyAlignment="1">
      <alignment vertical="center"/>
    </xf>
    <xf numFmtId="0" fontId="31" fillId="0" borderId="0" xfId="7" applyFont="1" applyAlignment="1">
      <alignment horizontal="left" vertical="center" wrapText="1"/>
    </xf>
    <xf numFmtId="0" fontId="31" fillId="0" borderId="0" xfId="7" applyFont="1" applyAlignment="1">
      <alignment vertical="center"/>
    </xf>
    <xf numFmtId="167" fontId="32" fillId="0" borderId="0" xfId="7" applyNumberFormat="1" applyFont="1" applyAlignment="1">
      <alignment horizontal="left" vertical="center"/>
    </xf>
    <xf numFmtId="0" fontId="32" fillId="0" borderId="0" xfId="7" applyFont="1" applyAlignment="1">
      <alignment vertical="center" wrapText="1"/>
    </xf>
    <xf numFmtId="0" fontId="32" fillId="0" borderId="0" xfId="7" applyFont="1" applyAlignment="1">
      <alignment vertical="center"/>
    </xf>
    <xf numFmtId="0" fontId="51" fillId="0" borderId="120" xfId="7" applyFont="1" applyBorder="1" applyAlignment="1">
      <alignment horizontal="center" vertical="center"/>
    </xf>
    <xf numFmtId="0" fontId="51" fillId="0" borderId="108" xfId="7" applyFont="1" applyBorder="1" applyAlignment="1">
      <alignment horizontal="left" vertical="center"/>
    </xf>
    <xf numFmtId="0" fontId="35" fillId="0" borderId="122" xfId="7" applyFont="1" applyBorder="1" applyAlignment="1">
      <alignment horizontal="left" vertical="center"/>
    </xf>
    <xf numFmtId="0" fontId="35" fillId="0" borderId="0" xfId="7" applyFont="1" applyAlignment="1">
      <alignment horizontal="left" vertical="center"/>
    </xf>
    <xf numFmtId="0" fontId="55" fillId="0" borderId="0" xfId="7" applyFont="1" applyAlignment="1">
      <alignment horizontal="left" vertical="center" wrapText="1"/>
    </xf>
    <xf numFmtId="4" fontId="56" fillId="0" borderId="0" xfId="7" applyNumberFormat="1" applyFont="1" applyAlignment="1">
      <alignment vertical="center"/>
    </xf>
    <xf numFmtId="0" fontId="56" fillId="0" borderId="0" xfId="7" applyFont="1" applyAlignment="1">
      <alignment vertical="center"/>
    </xf>
    <xf numFmtId="0" fontId="40" fillId="15" borderId="109" xfId="7" applyFont="1" applyFill="1" applyBorder="1" applyAlignment="1">
      <alignment horizontal="center" vertical="center"/>
    </xf>
    <xf numFmtId="0" fontId="40" fillId="15" borderId="110" xfId="7" applyFont="1" applyFill="1" applyBorder="1" applyAlignment="1">
      <alignment horizontal="left" vertical="center"/>
    </xf>
    <xf numFmtId="0" fontId="40" fillId="15" borderId="110" xfId="7" applyFont="1" applyFill="1" applyBorder="1" applyAlignment="1">
      <alignment horizontal="center" vertical="center"/>
    </xf>
    <xf numFmtId="0" fontId="40" fillId="15" borderId="110" xfId="7" applyFont="1" applyFill="1" applyBorder="1" applyAlignment="1">
      <alignment horizontal="right" vertical="center"/>
    </xf>
    <xf numFmtId="0" fontId="40" fillId="15" borderId="111" xfId="7" applyFont="1" applyFill="1" applyBorder="1" applyAlignment="1">
      <alignment horizontal="left" vertical="center"/>
    </xf>
    <xf numFmtId="4" fontId="34" fillId="0" borderId="0" xfId="7" applyNumberFormat="1" applyFont="1" applyAlignment="1">
      <alignment horizontal="right" vertical="center"/>
    </xf>
    <xf numFmtId="4" fontId="34" fillId="0" borderId="0" xfId="7" applyNumberFormat="1" applyFont="1" applyAlignment="1">
      <alignment vertical="center"/>
    </xf>
    <xf numFmtId="4" fontId="34" fillId="15" borderId="0" xfId="7" applyNumberFormat="1" applyFont="1" applyFill="1" applyAlignment="1">
      <alignment vertical="center"/>
    </xf>
    <xf numFmtId="0" fontId="16" fillId="0" borderId="0" xfId="7" applyAlignment="1">
      <alignment vertical="center"/>
    </xf>
    <xf numFmtId="0" fontId="30" fillId="0" borderId="0" xfId="7" applyFont="1" applyAlignment="1">
      <alignment horizontal="left" vertical="center" wrapText="1"/>
    </xf>
    <xf numFmtId="0" fontId="30" fillId="0" borderId="0" xfId="7" applyFont="1" applyAlignment="1">
      <alignment horizontal="left" vertical="center"/>
    </xf>
    <xf numFmtId="0" fontId="31" fillId="0" borderId="0" xfId="7" applyFont="1" applyAlignment="1" applyProtection="1">
      <alignment horizontal="left" vertical="center" wrapText="1"/>
      <protection hidden="1"/>
    </xf>
    <xf numFmtId="0" fontId="16" fillId="0" borderId="0" xfId="7" applyAlignment="1" applyProtection="1">
      <alignment vertical="center"/>
      <protection hidden="1"/>
    </xf>
    <xf numFmtId="0" fontId="30" fillId="0" borderId="0" xfId="7" applyFont="1" applyAlignment="1" applyProtection="1">
      <alignment horizontal="left" vertical="center" wrapText="1"/>
      <protection hidden="1"/>
    </xf>
    <xf numFmtId="0" fontId="30" fillId="0" borderId="0" xfId="7" applyFont="1" applyAlignment="1" applyProtection="1">
      <alignment horizontal="left" vertical="center"/>
      <protection hidden="1"/>
    </xf>
    <xf numFmtId="0" fontId="27" fillId="14" borderId="0" xfId="7" applyFont="1" applyFill="1" applyAlignment="1" applyProtection="1">
      <alignment horizontal="center" vertical="center"/>
      <protection hidden="1"/>
    </xf>
    <xf numFmtId="0" fontId="16" fillId="0" borderId="0" xfId="7" applyProtection="1">
      <protection hidden="1"/>
    </xf>
    <xf numFmtId="0" fontId="32" fillId="0" borderId="0" xfId="7" applyFont="1" applyAlignment="1" applyProtection="1">
      <alignment horizontal="left" vertical="center"/>
      <protection hidden="1"/>
    </xf>
    <xf numFmtId="0" fontId="32" fillId="0" borderId="0" xfId="7" applyFont="1" applyAlignment="1" applyProtection="1">
      <alignment horizontal="left" vertical="center" wrapText="1"/>
      <protection hidden="1"/>
    </xf>
    <xf numFmtId="0" fontId="58" fillId="0" borderId="0" xfId="7" applyFont="1" applyAlignment="1" applyProtection="1">
      <alignment horizontal="left" vertical="center"/>
      <protection hidden="1"/>
    </xf>
    <xf numFmtId="4" fontId="32" fillId="0" borderId="0" xfId="7" applyNumberFormat="1" applyFont="1" applyAlignment="1" applyProtection="1">
      <alignment vertical="center"/>
      <protection hidden="1"/>
    </xf>
    <xf numFmtId="0" fontId="31" fillId="0" borderId="0" xfId="7" applyFont="1" applyAlignment="1" applyProtection="1">
      <alignment horizontal="left" vertical="top" wrapText="1"/>
      <protection hidden="1"/>
    </xf>
    <xf numFmtId="4" fontId="33" fillId="0" borderId="113" xfId="7" applyNumberFormat="1" applyFont="1" applyBorder="1" applyAlignment="1" applyProtection="1">
      <alignment vertical="center"/>
      <protection hidden="1"/>
    </xf>
    <xf numFmtId="0" fontId="16" fillId="0" borderId="113" xfId="7" applyBorder="1" applyAlignment="1" applyProtection="1">
      <alignment vertical="center"/>
      <protection hidden="1"/>
    </xf>
    <xf numFmtId="0" fontId="30" fillId="0" borderId="0" xfId="7" applyFont="1" applyAlignment="1" applyProtection="1">
      <alignment horizontal="right" vertical="center"/>
      <protection hidden="1"/>
    </xf>
    <xf numFmtId="168" fontId="36" fillId="0" borderId="0" xfId="7" applyNumberFormat="1" applyFont="1" applyAlignment="1" applyProtection="1">
      <alignment horizontal="left" vertical="center"/>
      <protection hidden="1"/>
    </xf>
    <xf numFmtId="0" fontId="36" fillId="0" borderId="0" xfId="7" applyFont="1" applyAlignment="1" applyProtection="1">
      <alignment vertical="center"/>
      <protection hidden="1"/>
    </xf>
    <xf numFmtId="4" fontId="49" fillId="0" borderId="0" xfId="7" applyNumberFormat="1" applyFont="1" applyAlignment="1" applyProtection="1">
      <alignment vertical="center"/>
      <protection hidden="1"/>
    </xf>
    <xf numFmtId="168" fontId="30" fillId="0" borderId="0" xfId="7" applyNumberFormat="1" applyFont="1" applyAlignment="1" applyProtection="1">
      <alignment horizontal="left" vertical="center"/>
      <protection hidden="1"/>
    </xf>
    <xf numFmtId="0" fontId="30" fillId="0" borderId="0" xfId="7" applyFont="1" applyAlignment="1" applyProtection="1">
      <alignment vertical="center"/>
      <protection hidden="1"/>
    </xf>
    <xf numFmtId="4" fontId="50" fillId="0" borderId="0" xfId="7" applyNumberFormat="1" applyFont="1" applyAlignment="1" applyProtection="1">
      <alignment vertical="center"/>
      <protection hidden="1"/>
    </xf>
    <xf numFmtId="0" fontId="51" fillId="0" borderId="120" xfId="7" applyFont="1" applyBorder="1" applyAlignment="1" applyProtection="1">
      <alignment horizontal="center" vertical="center"/>
      <protection hidden="1"/>
    </xf>
    <xf numFmtId="0" fontId="51" fillId="0" borderId="108" xfId="7" applyFont="1" applyBorder="1" applyAlignment="1" applyProtection="1">
      <alignment horizontal="left" vertical="center"/>
      <protection hidden="1"/>
    </xf>
    <xf numFmtId="0" fontId="35" fillId="0" borderId="122" xfId="7" applyFont="1" applyBorder="1" applyAlignment="1" applyProtection="1">
      <alignment horizontal="left" vertical="center"/>
      <protection hidden="1"/>
    </xf>
    <xf numFmtId="0" fontId="35" fillId="0" borderId="0" xfId="7" applyFont="1" applyAlignment="1" applyProtection="1">
      <alignment horizontal="left" vertical="center"/>
      <protection hidden="1"/>
    </xf>
    <xf numFmtId="0" fontId="32" fillId="0" borderId="0" xfId="7" applyFont="1" applyAlignment="1" applyProtection="1">
      <alignment vertical="center" wrapText="1"/>
      <protection hidden="1"/>
    </xf>
    <xf numFmtId="0" fontId="32" fillId="0" borderId="0" xfId="7" applyFont="1" applyAlignment="1" applyProtection="1">
      <alignment vertical="center"/>
      <protection hidden="1"/>
    </xf>
    <xf numFmtId="0" fontId="38" fillId="16" borderId="110" xfId="7" applyFont="1" applyFill="1" applyBorder="1" applyAlignment="1" applyProtection="1">
      <alignment horizontal="left" vertical="center"/>
      <protection hidden="1"/>
    </xf>
    <xf numFmtId="0" fontId="16" fillId="16" borderId="110" xfId="7" applyFill="1" applyBorder="1" applyAlignment="1" applyProtection="1">
      <alignment vertical="center"/>
      <protection hidden="1"/>
    </xf>
    <xf numFmtId="4" fontId="38" fillId="16" borderId="110" xfId="7" applyNumberFormat="1" applyFont="1" applyFill="1" applyBorder="1" applyAlignment="1" applyProtection="1">
      <alignment vertical="center"/>
      <protection hidden="1"/>
    </xf>
    <xf numFmtId="0" fontId="16" fillId="16" borderId="111" xfId="7" applyFill="1" applyBorder="1" applyAlignment="1" applyProtection="1">
      <alignment vertical="center"/>
      <protection hidden="1"/>
    </xf>
    <xf numFmtId="0" fontId="31" fillId="0" borderId="0" xfId="7" applyFont="1" applyAlignment="1" applyProtection="1">
      <alignment vertical="center"/>
      <protection hidden="1"/>
    </xf>
    <xf numFmtId="167" fontId="32" fillId="0" borderId="0" xfId="7" applyNumberFormat="1" applyFont="1" applyAlignment="1" applyProtection="1">
      <alignment horizontal="left" vertical="center"/>
      <protection hidden="1"/>
    </xf>
    <xf numFmtId="0" fontId="40" fillId="15" borderId="109" xfId="7" applyFont="1" applyFill="1" applyBorder="1" applyAlignment="1" applyProtection="1">
      <alignment horizontal="center" vertical="center"/>
      <protection hidden="1"/>
    </xf>
    <xf numFmtId="0" fontId="40" fillId="15" borderId="110" xfId="7" applyFont="1" applyFill="1" applyBorder="1" applyAlignment="1" applyProtection="1">
      <alignment horizontal="left" vertical="center"/>
      <protection hidden="1"/>
    </xf>
    <xf numFmtId="0" fontId="40" fillId="15" borderId="110" xfId="7" applyFont="1" applyFill="1" applyBorder="1" applyAlignment="1" applyProtection="1">
      <alignment horizontal="center" vertical="center"/>
      <protection hidden="1"/>
    </xf>
    <xf numFmtId="0" fontId="40" fillId="15" borderId="110" xfId="7" applyFont="1" applyFill="1" applyBorder="1" applyAlignment="1" applyProtection="1">
      <alignment horizontal="right" vertical="center"/>
      <protection hidden="1"/>
    </xf>
    <xf numFmtId="0" fontId="40" fillId="15" borderId="111" xfId="7" applyFont="1" applyFill="1" applyBorder="1" applyAlignment="1" applyProtection="1">
      <alignment horizontal="left" vertical="center"/>
      <protection hidden="1"/>
    </xf>
    <xf numFmtId="4" fontId="34" fillId="0" borderId="0" xfId="7" applyNumberFormat="1" applyFont="1" applyAlignment="1" applyProtection="1">
      <alignment horizontal="right" vertical="center"/>
      <protection hidden="1"/>
    </xf>
    <xf numFmtId="4" fontId="34" fillId="0" borderId="0" xfId="7" applyNumberFormat="1" applyFont="1" applyAlignment="1" applyProtection="1">
      <alignment vertical="center"/>
      <protection hidden="1"/>
    </xf>
    <xf numFmtId="0" fontId="55" fillId="0" borderId="0" xfId="7" applyFont="1" applyAlignment="1" applyProtection="1">
      <alignment horizontal="left" vertical="center" wrapText="1"/>
      <protection hidden="1"/>
    </xf>
    <xf numFmtId="4" fontId="56" fillId="0" borderId="0" xfId="7" applyNumberFormat="1" applyFont="1" applyAlignment="1" applyProtection="1">
      <alignment vertical="center"/>
      <protection hidden="1"/>
    </xf>
    <xf numFmtId="0" fontId="56" fillId="0" borderId="0" xfId="7" applyFont="1" applyAlignment="1" applyProtection="1">
      <alignment vertical="center"/>
      <protection hidden="1"/>
    </xf>
    <xf numFmtId="4" fontId="34" fillId="15" borderId="0" xfId="7" applyNumberFormat="1" applyFont="1" applyFill="1" applyAlignment="1" applyProtection="1">
      <alignment vertical="center"/>
      <protection hidden="1"/>
    </xf>
    <xf numFmtId="0" fontId="40" fillId="13" borderId="124" xfId="0" applyFont="1" applyFill="1" applyBorder="1" applyAlignment="1" applyProtection="1">
      <alignment horizontal="center" vertical="center"/>
      <protection locked="0"/>
    </xf>
    <xf numFmtId="49" fontId="40" fillId="13" borderId="124" xfId="0" applyNumberFormat="1" applyFont="1" applyFill="1" applyBorder="1" applyAlignment="1" applyProtection="1">
      <alignment horizontal="left" vertical="center" wrapText="1"/>
      <protection locked="0"/>
    </xf>
    <xf numFmtId="0" fontId="40" fillId="13" borderId="124" xfId="0" applyFont="1" applyFill="1" applyBorder="1" applyAlignment="1" applyProtection="1">
      <alignment horizontal="left" vertical="center" wrapText="1"/>
      <protection locked="0"/>
    </xf>
    <xf numFmtId="0" fontId="40" fillId="13" borderId="124" xfId="0" applyFont="1" applyFill="1" applyBorder="1" applyAlignment="1" applyProtection="1">
      <alignment horizontal="center" vertical="center" wrapText="1"/>
      <protection locked="0"/>
    </xf>
    <xf numFmtId="170" fontId="40" fillId="13" borderId="124" xfId="0" applyNumberFormat="1" applyFont="1" applyFill="1" applyBorder="1" applyAlignment="1" applyProtection="1">
      <alignment vertical="center"/>
      <protection locked="0"/>
    </xf>
    <xf numFmtId="170" fontId="47" fillId="13" borderId="124" xfId="0" applyNumberFormat="1" applyFont="1" applyFill="1" applyBorder="1" applyAlignment="1" applyProtection="1">
      <alignment vertical="center"/>
      <protection locked="0"/>
    </xf>
    <xf numFmtId="170" fontId="47" fillId="13" borderId="124" xfId="7" applyNumberFormat="1" applyFont="1" applyFill="1" applyBorder="1" applyAlignment="1" applyProtection="1">
      <alignment vertical="center"/>
      <protection hidden="1"/>
    </xf>
  </cellXfs>
  <cellStyles count="11">
    <cellStyle name="20 % - zvýraznenie3" xfId="3" builtinId="38"/>
    <cellStyle name="Čiarka" xfId="4" builtinId="3"/>
    <cellStyle name="Hypertextové prepojenie" xfId="9" builtinId="8"/>
    <cellStyle name="Hypertextové prepojenie 2" xfId="10" xr:uid="{603F1187-251A-4FEE-8778-BFB48963F26C}"/>
    <cellStyle name="Mena" xfId="5" builtinId="4"/>
    <cellStyle name="Normálna" xfId="0" builtinId="0"/>
    <cellStyle name="Normálna 2" xfId="7" xr:uid="{378CCFB6-3897-4B6D-AB7F-57D8B00E10ED}"/>
    <cellStyle name="Normálna 3" xfId="8" xr:uid="{549E91FC-733F-412B-9A4A-D2B7BFFEA159}"/>
    <cellStyle name="Percentá" xfId="6" builtinId="5"/>
    <cellStyle name="Poznámka" xfId="2" builtinId="10"/>
    <cellStyle name="Zlá" xfId="1" builtinId="27"/>
  </cellStyles>
  <dxfs count="20">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ill>
        <patternFill>
          <bgColor theme="4" tint="0.79998168889431442"/>
        </patternFill>
      </fill>
      <border>
        <left style="hair">
          <color auto="1"/>
        </left>
        <right style="thin">
          <color auto="1"/>
        </right>
        <top style="hair">
          <color auto="1"/>
        </top>
        <bottom style="thin">
          <color auto="1"/>
        </bottom>
        <vertical/>
        <horizontal/>
      </border>
    </dxf>
    <dxf>
      <fill>
        <patternFill>
          <bgColor theme="4" tint="0.79998168889431442"/>
        </patternFill>
      </fill>
      <border>
        <left style="hair">
          <color auto="1"/>
        </left>
        <right style="thin">
          <color auto="1"/>
        </right>
        <top style="hair">
          <color auto="1"/>
        </top>
        <bottom style="hair">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b/>
        <i val="0"/>
        <color rgb="FF00B050"/>
      </font>
      <fill>
        <patternFill patternType="none">
          <bgColor auto="1"/>
        </patternFill>
      </fill>
    </dxf>
    <dxf>
      <font>
        <b/>
        <i val="0"/>
        <color rgb="FFFF0000"/>
      </font>
    </dxf>
    <dxf>
      <fill>
        <patternFill>
          <bgColor theme="4" tint="0.79998168889431442"/>
        </patternFill>
      </fill>
      <border>
        <left style="hair">
          <color auto="1"/>
        </left>
        <right style="hair">
          <color auto="1"/>
        </right>
        <top style="hair">
          <color auto="1"/>
        </top>
        <bottom style="thin">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thin">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font>
    </dxf>
  </dxfs>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eetMetadata" Target="metadata.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13</xdr:row>
          <xdr:rowOff>0</xdr:rowOff>
        </xdr:from>
        <xdr:to>
          <xdr:col>9</xdr:col>
          <xdr:colOff>952500</xdr:colOff>
          <xdr:row>14</xdr:row>
          <xdr:rowOff>38100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1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0</xdr:rowOff>
        </xdr:from>
        <xdr:to>
          <xdr:col>10</xdr:col>
          <xdr:colOff>171450</xdr:colOff>
          <xdr:row>14</xdr:row>
          <xdr:rowOff>561975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1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171450</xdr:colOff>
          <xdr:row>15</xdr:row>
          <xdr:rowOff>561975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1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19</xdr:col>
          <xdr:colOff>38100</xdr:colOff>
          <xdr:row>16</xdr:row>
          <xdr:rowOff>561975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1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11</xdr:row>
          <xdr:rowOff>266700</xdr:rowOff>
        </xdr:from>
        <xdr:to>
          <xdr:col>9</xdr:col>
          <xdr:colOff>800100</xdr:colOff>
          <xdr:row>13</xdr:row>
          <xdr:rowOff>104775</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1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Pavlák Peter, Ing." id="{645AE125-3642-48A2-B43E-8291706915C1}" userId="S::peter.pavlak@bratislava.sk::748dd763-e324-405a-9677-6ff5676f04f5" providerId="AD"/>
</personList>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6" dT="2025-01-30T08:28:59.90" personId="{645AE125-3642-48A2-B43E-8291706915C1}" id="{3F12AEA8-377A-4461-92A9-2A4DC2C7CADE}">
    <text>Zmeniť na 500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B8F6-6016-4D02-871F-3AAB1E6F9D0C}">
  <sheetPr codeName="Hárok1"/>
  <dimension ref="B1:K86"/>
  <sheetViews>
    <sheetView workbookViewId="0"/>
  </sheetViews>
  <sheetFormatPr defaultColWidth="9.140625" defaultRowHeight="15" x14ac:dyDescent="0.25"/>
  <cols>
    <col min="1" max="1" width="3" style="14" customWidth="1"/>
    <col min="2" max="2" width="4.7109375" style="14" customWidth="1"/>
    <col min="3" max="3" width="38" style="15" customWidth="1"/>
    <col min="4" max="4" width="19" style="15" customWidth="1"/>
    <col min="5" max="5" width="15.7109375" style="15" customWidth="1"/>
    <col min="6" max="6" width="14.85546875" style="15" customWidth="1"/>
    <col min="7" max="7" width="19.85546875" style="15" customWidth="1"/>
    <col min="8" max="8" width="18.7109375" style="15" customWidth="1"/>
    <col min="9" max="9" width="14" style="14" customWidth="1"/>
    <col min="10" max="10" width="14.7109375" style="14" customWidth="1"/>
    <col min="11" max="11" width="12.85546875" style="14" bestFit="1" customWidth="1"/>
    <col min="12" max="12" width="15" style="14" bestFit="1" customWidth="1"/>
    <col min="13" max="13" width="16.85546875" style="14" customWidth="1"/>
    <col min="14" max="14" width="12.28515625" style="14" customWidth="1"/>
    <col min="15" max="15" width="15.42578125" style="14" bestFit="1" customWidth="1"/>
    <col min="16" max="16" width="12.7109375" style="14" customWidth="1"/>
    <col min="17" max="17" width="15.42578125" style="14" bestFit="1" customWidth="1"/>
    <col min="18" max="18" width="12.28515625" style="14" bestFit="1" customWidth="1"/>
    <col min="19" max="19" width="15" style="14" bestFit="1" customWidth="1"/>
    <col min="20" max="20" width="12.85546875" style="14" bestFit="1" customWidth="1"/>
    <col min="21" max="21" width="15" style="14" bestFit="1" customWidth="1"/>
    <col min="22" max="16384" width="9.140625" style="14"/>
  </cols>
  <sheetData>
    <row r="1" spans="2:11" ht="15.75" thickBot="1" x14ac:dyDescent="0.3"/>
    <row r="2" spans="2:11" ht="36.75" customHeight="1" thickBot="1" x14ac:dyDescent="0.3">
      <c r="B2" s="535" t="s">
        <v>0</v>
      </c>
      <c r="C2" s="536"/>
      <c r="D2" s="536"/>
      <c r="E2" s="536"/>
      <c r="F2" s="536"/>
      <c r="G2" s="536"/>
      <c r="H2" s="536"/>
      <c r="I2" s="536"/>
      <c r="J2" s="536"/>
      <c r="K2" s="537"/>
    </row>
    <row r="3" spans="2:11" ht="45.75" thickBot="1" x14ac:dyDescent="0.3">
      <c r="B3" s="16" t="s">
        <v>1</v>
      </c>
      <c r="C3" s="17" t="s">
        <v>2</v>
      </c>
      <c r="D3" s="18" t="s">
        <v>3</v>
      </c>
      <c r="E3" s="18" t="s">
        <v>4</v>
      </c>
      <c r="F3" s="18" t="s">
        <v>5</v>
      </c>
      <c r="G3" s="18" t="s">
        <v>6</v>
      </c>
      <c r="H3" s="19" t="s">
        <v>7</v>
      </c>
      <c r="I3" s="20" t="s">
        <v>8</v>
      </c>
      <c r="J3" s="21" t="s">
        <v>9</v>
      </c>
      <c r="K3" s="21" t="s">
        <v>10</v>
      </c>
    </row>
    <row r="4" spans="2:11" x14ac:dyDescent="0.25">
      <c r="B4" s="22">
        <v>1</v>
      </c>
      <c r="C4" s="23" t="s">
        <v>71</v>
      </c>
      <c r="D4" s="24" t="s">
        <v>68</v>
      </c>
      <c r="E4" s="25">
        <v>6625456</v>
      </c>
      <c r="F4" s="25">
        <v>0</v>
      </c>
      <c r="G4" s="26" t="s">
        <v>11</v>
      </c>
      <c r="H4" s="27">
        <v>6625456</v>
      </c>
      <c r="I4" s="28">
        <f>H4/H$14*100</f>
        <v>82.044357618938179</v>
      </c>
      <c r="J4" s="29">
        <f t="shared" ref="J4:J6" si="0">IF(I4=0,0,(E4-F4)/I4)</f>
        <v>80754.559999999998</v>
      </c>
      <c r="K4" s="30">
        <f t="shared" ref="K4:K5" si="1">IF((E4-F4)=0,0,H4/(E4-F4))</f>
        <v>1</v>
      </c>
    </row>
    <row r="5" spans="2:11" x14ac:dyDescent="0.25">
      <c r="B5" s="22">
        <v>2</v>
      </c>
      <c r="C5" s="31" t="s">
        <v>138</v>
      </c>
      <c r="D5" s="32" t="s">
        <v>139</v>
      </c>
      <c r="E5" s="33">
        <v>60</v>
      </c>
      <c r="F5" s="33">
        <v>0</v>
      </c>
      <c r="G5" s="26" t="s">
        <v>70</v>
      </c>
      <c r="H5" s="34">
        <v>350000</v>
      </c>
      <c r="I5" s="35">
        <f t="shared" ref="I5:I13" si="2">H5/H$14*100</f>
        <v>4.3341205747390612</v>
      </c>
      <c r="J5" s="29">
        <f t="shared" si="0"/>
        <v>13.843638857142857</v>
      </c>
      <c r="K5" s="30">
        <f t="shared" si="1"/>
        <v>5833.333333333333</v>
      </c>
    </row>
    <row r="6" spans="2:11" x14ac:dyDescent="0.25">
      <c r="B6" s="22">
        <v>3</v>
      </c>
      <c r="C6" s="31" t="s">
        <v>140</v>
      </c>
      <c r="D6" s="32" t="s">
        <v>141</v>
      </c>
      <c r="E6" s="33">
        <v>10000</v>
      </c>
      <c r="F6" s="33">
        <v>0</v>
      </c>
      <c r="G6" s="26" t="s">
        <v>70</v>
      </c>
      <c r="H6" s="34">
        <v>700000</v>
      </c>
      <c r="I6" s="35">
        <f t="shared" si="2"/>
        <v>8.6682411494781224</v>
      </c>
      <c r="J6" s="29">
        <f t="shared" si="0"/>
        <v>1153.6365714285714</v>
      </c>
      <c r="K6" s="30">
        <f>IF((E6-F6)=0,0,H6/(E6-F6))</f>
        <v>70</v>
      </c>
    </row>
    <row r="7" spans="2:11" x14ac:dyDescent="0.25">
      <c r="B7" s="22">
        <v>4</v>
      </c>
      <c r="C7" s="31" t="s">
        <v>157</v>
      </c>
      <c r="D7" s="32" t="s">
        <v>142</v>
      </c>
      <c r="E7" s="33">
        <v>25</v>
      </c>
      <c r="F7" s="33">
        <v>0</v>
      </c>
      <c r="G7" s="26" t="s">
        <v>70</v>
      </c>
      <c r="H7" s="34">
        <v>0</v>
      </c>
      <c r="I7" s="35">
        <f t="shared" si="2"/>
        <v>0</v>
      </c>
      <c r="J7" s="29">
        <f>IF(I7=0,0,(E7-F7)/I7)</f>
        <v>0</v>
      </c>
      <c r="K7" s="30">
        <f>IF((E7-F7)=0,0,H7/(E7-F7))</f>
        <v>0</v>
      </c>
    </row>
    <row r="8" spans="2:11" x14ac:dyDescent="0.25">
      <c r="B8" s="22">
        <v>5</v>
      </c>
      <c r="C8" s="36" t="s">
        <v>158</v>
      </c>
      <c r="D8" s="37" t="s">
        <v>142</v>
      </c>
      <c r="E8" s="38">
        <v>25</v>
      </c>
      <c r="F8" s="33">
        <v>0</v>
      </c>
      <c r="G8" s="26" t="s">
        <v>70</v>
      </c>
      <c r="H8" s="39"/>
      <c r="I8" s="35">
        <f t="shared" si="2"/>
        <v>0</v>
      </c>
      <c r="J8" s="29">
        <f>IF(I8=0,0,(E8-F8)/I8)</f>
        <v>0</v>
      </c>
      <c r="K8" s="30">
        <f>IF((E8-F8)=0,0,H8/(E8-F8))</f>
        <v>0</v>
      </c>
    </row>
    <row r="9" spans="2:11" x14ac:dyDescent="0.25">
      <c r="B9" s="22">
        <v>6</v>
      </c>
      <c r="C9" s="36" t="s">
        <v>163</v>
      </c>
      <c r="D9" s="37" t="s">
        <v>142</v>
      </c>
      <c r="E9" s="38">
        <v>25</v>
      </c>
      <c r="F9" s="33">
        <v>0</v>
      </c>
      <c r="G9" s="26" t="s">
        <v>70</v>
      </c>
      <c r="H9" s="39">
        <v>0</v>
      </c>
      <c r="I9" s="35">
        <f t="shared" si="2"/>
        <v>0</v>
      </c>
      <c r="J9" s="29">
        <f t="shared" ref="J9:J13" si="3">IF(I9=0,0,(E9-F9)/I9)</f>
        <v>0</v>
      </c>
      <c r="K9" s="30">
        <f t="shared" ref="K9:K13" si="4">IF((E9-F9)=0,0,H9/(E9-F9))</f>
        <v>0</v>
      </c>
    </row>
    <row r="10" spans="2:11" x14ac:dyDescent="0.25">
      <c r="B10" s="22">
        <v>7</v>
      </c>
      <c r="C10" s="36" t="s">
        <v>299</v>
      </c>
      <c r="D10" s="37" t="s">
        <v>297</v>
      </c>
      <c r="E10" s="38">
        <v>2000</v>
      </c>
      <c r="F10" s="33">
        <v>0</v>
      </c>
      <c r="G10" s="26" t="s">
        <v>70</v>
      </c>
      <c r="H10" s="39">
        <v>200000</v>
      </c>
      <c r="I10" s="35">
        <f t="shared" si="2"/>
        <v>2.4766403284223206</v>
      </c>
      <c r="J10" s="29">
        <f t="shared" si="3"/>
        <v>807.54560000000004</v>
      </c>
      <c r="K10" s="30">
        <f t="shared" si="4"/>
        <v>100</v>
      </c>
    </row>
    <row r="11" spans="2:11" x14ac:dyDescent="0.25">
      <c r="B11" s="22">
        <v>8</v>
      </c>
      <c r="C11" s="36" t="s">
        <v>300</v>
      </c>
      <c r="D11" s="37" t="s">
        <v>298</v>
      </c>
      <c r="E11" s="38">
        <v>10</v>
      </c>
      <c r="F11" s="33">
        <v>0</v>
      </c>
      <c r="G11" s="26" t="s">
        <v>70</v>
      </c>
      <c r="H11" s="39">
        <v>200000</v>
      </c>
      <c r="I11" s="35">
        <f t="shared" si="2"/>
        <v>2.4766403284223206</v>
      </c>
      <c r="J11" s="29">
        <f t="shared" si="3"/>
        <v>4.0377280000000004</v>
      </c>
      <c r="K11" s="30">
        <f t="shared" si="4"/>
        <v>20000</v>
      </c>
    </row>
    <row r="12" spans="2:11" x14ac:dyDescent="0.25">
      <c r="B12" s="22">
        <v>9</v>
      </c>
      <c r="C12" s="36" t="s">
        <v>12</v>
      </c>
      <c r="D12" s="37" t="s">
        <v>12</v>
      </c>
      <c r="E12" s="38">
        <v>0</v>
      </c>
      <c r="F12" s="33">
        <v>0</v>
      </c>
      <c r="G12" s="26" t="s">
        <v>69</v>
      </c>
      <c r="H12" s="39">
        <v>0</v>
      </c>
      <c r="I12" s="35">
        <f t="shared" si="2"/>
        <v>0</v>
      </c>
      <c r="J12" s="29">
        <f t="shared" si="3"/>
        <v>0</v>
      </c>
      <c r="K12" s="30">
        <f t="shared" si="4"/>
        <v>0</v>
      </c>
    </row>
    <row r="13" spans="2:11" x14ac:dyDescent="0.25">
      <c r="B13" s="22">
        <v>10</v>
      </c>
      <c r="C13" s="36" t="s">
        <v>12</v>
      </c>
      <c r="D13" s="37" t="s">
        <v>12</v>
      </c>
      <c r="E13" s="38">
        <v>0</v>
      </c>
      <c r="F13" s="33">
        <v>0</v>
      </c>
      <c r="G13" s="26" t="s">
        <v>69</v>
      </c>
      <c r="H13" s="39">
        <v>0</v>
      </c>
      <c r="I13" s="35">
        <f t="shared" si="2"/>
        <v>0</v>
      </c>
      <c r="J13" s="29">
        <f t="shared" si="3"/>
        <v>0</v>
      </c>
      <c r="K13" s="30">
        <f t="shared" si="4"/>
        <v>0</v>
      </c>
    </row>
    <row r="14" spans="2:11" ht="15.75" customHeight="1" thickBot="1" x14ac:dyDescent="0.3">
      <c r="B14" s="40"/>
      <c r="C14" s="41" t="s">
        <v>13</v>
      </c>
      <c r="D14" s="42"/>
      <c r="E14" s="42"/>
      <c r="F14" s="42"/>
      <c r="G14" s="42"/>
      <c r="H14" s="43">
        <f>SUM(H4:H13)</f>
        <v>8075456</v>
      </c>
      <c r="I14" s="44">
        <f>SUM(I4:I13)</f>
        <v>100</v>
      </c>
      <c r="J14" s="45"/>
      <c r="K14" s="46"/>
    </row>
    <row r="15" spans="2:11" ht="15.75" thickBot="1" x14ac:dyDescent="0.3"/>
    <row r="16" spans="2:11" ht="35.25" customHeight="1" thickBot="1" x14ac:dyDescent="0.3">
      <c r="B16" s="538" t="s">
        <v>14</v>
      </c>
      <c r="C16" s="539"/>
      <c r="D16" s="539"/>
      <c r="E16" s="539"/>
      <c r="F16" s="539"/>
      <c r="G16" s="539"/>
      <c r="H16" s="539"/>
      <c r="I16" s="539"/>
      <c r="J16" s="540"/>
    </row>
    <row r="17" spans="2:10" x14ac:dyDescent="0.25">
      <c r="B17" s="541" t="s">
        <v>1</v>
      </c>
      <c r="C17" s="543" t="s">
        <v>2</v>
      </c>
      <c r="D17" s="545" t="s">
        <v>15</v>
      </c>
      <c r="E17" s="547" t="s">
        <v>16</v>
      </c>
      <c r="F17" s="548"/>
      <c r="G17" s="549" t="s">
        <v>17</v>
      </c>
      <c r="H17" s="550"/>
      <c r="I17" s="551" t="s">
        <v>18</v>
      </c>
      <c r="J17" s="548"/>
    </row>
    <row r="18" spans="2:10" x14ac:dyDescent="0.25">
      <c r="B18" s="542"/>
      <c r="C18" s="544"/>
      <c r="D18" s="546"/>
      <c r="E18" s="47" t="s">
        <v>16</v>
      </c>
      <c r="F18" s="48" t="s">
        <v>19</v>
      </c>
      <c r="G18" s="49" t="s">
        <v>17</v>
      </c>
      <c r="H18" s="50" t="s">
        <v>20</v>
      </c>
      <c r="I18" s="51" t="s">
        <v>18</v>
      </c>
      <c r="J18" s="48" t="s">
        <v>21</v>
      </c>
    </row>
    <row r="19" spans="2:10" x14ac:dyDescent="0.25">
      <c r="B19" s="47" cm="1">
        <f t="array" ref="B19:B28">B4:B13</f>
        <v>1</v>
      </c>
      <c r="C19" s="52" t="str" cm="1">
        <f t="array" ref="C19:C28">C4:C13</f>
        <v>Cena celkom</v>
      </c>
      <c r="D19" s="53" cm="1">
        <f t="array" ref="D19:D28">I4:I13</f>
        <v>82.044357618938179</v>
      </c>
      <c r="E19" s="54">
        <v>30000</v>
      </c>
      <c r="F19" s="55">
        <f>IF(I4=100,"0",IF((E4-F4)=0,0,(IF(G4="čím menej, tým lepšie",(I4*(E4-E19)/(E4-F4)),(I4*(E19-F4)/(E4-F4))))))</f>
        <v>81.672861569674822</v>
      </c>
      <c r="G19" s="54">
        <v>15000</v>
      </c>
      <c r="H19" s="56">
        <f>IF(I4=100,"0",IF((E4-F4)=0,0,IF(G4="čím menej, tým lepšie",(I4*(E4-G19)/(E4-F4)),(I4*(G19-F4)/(E4-F4)))))</f>
        <v>81.858609594306515</v>
      </c>
      <c r="I19" s="54">
        <v>1000</v>
      </c>
      <c r="J19" s="55">
        <f>IF(I4=100,"0",IF((E4-F4)=0,0,IF(G4="čím menej, tým lepšie",(I4*(E4-I19)/(E4-F4)),(I4*(I19-F4)/(E4-F4)))))</f>
        <v>82.03197441729607</v>
      </c>
    </row>
    <row r="20" spans="2:10" ht="15" customHeight="1" x14ac:dyDescent="0.25">
      <c r="B20" s="47">
        <v>2</v>
      </c>
      <c r="C20" s="52" t="str">
        <v>Záruka navyše</v>
      </c>
      <c r="D20" s="53">
        <v>4.3341205747390612</v>
      </c>
      <c r="E20" s="54">
        <v>36</v>
      </c>
      <c r="F20" s="55">
        <f>IF(I5=100,"0",IF((E5-F5)=0,0,(IF(G5="čím menej, tým lepšie",(I5*(E5-E20)/(E5-F5)),(I5*(E20-F5)/(E5-F5))))))</f>
        <v>2.6004723448434368</v>
      </c>
      <c r="G20" s="54">
        <v>18</v>
      </c>
      <c r="H20" s="56">
        <f t="shared" ref="H20:H28" si="5">IF(I5=100,"0",IF((E5-F5)=0,0,IF(G5="čím menej, tým lepšie",(I5*(E5-G20)/(E5-F5)),(I5*(G20-F5)/(E5-F5)))))</f>
        <v>1.3002361724217184</v>
      </c>
      <c r="I20" s="54">
        <v>0</v>
      </c>
      <c r="J20" s="55">
        <f t="shared" ref="J20:J28" si="6">IF(I5=100,"0",IF((E5-F5)=0,0,IF(G5="čím menej, tým lepšie",(I5*(E5-I20)/(E5-F5)),(I5*(I20-F5)/(E5-F5)))))</f>
        <v>0</v>
      </c>
    </row>
    <row r="21" spans="2:10" ht="15.75" customHeight="1" x14ac:dyDescent="0.25">
      <c r="B21" s="47">
        <v>3</v>
      </c>
      <c r="C21" s="52" t="str">
        <v>skúsenosti dĺžka</v>
      </c>
      <c r="D21" s="53">
        <v>8.6682411494781224</v>
      </c>
      <c r="E21" s="54">
        <v>0</v>
      </c>
      <c r="F21" s="55">
        <f>IF(I6=100,"0",IF((E6-F6)=0,0,(IF(G6="čím menej, tým lepšie",(I6*(E6-E21)/(E6-F6)),(I6*(E21-F6)/(E6-F6))))))</f>
        <v>0</v>
      </c>
      <c r="G21" s="54">
        <v>0</v>
      </c>
      <c r="H21" s="56">
        <f t="shared" si="5"/>
        <v>0</v>
      </c>
      <c r="I21" s="54">
        <v>0</v>
      </c>
      <c r="J21" s="55">
        <f t="shared" si="6"/>
        <v>0</v>
      </c>
    </row>
    <row r="22" spans="2:10" x14ac:dyDescent="0.25">
      <c r="B22" s="47">
        <v>4</v>
      </c>
      <c r="C22" s="52" t="str">
        <v>Recyklácia betón</v>
      </c>
      <c r="D22" s="53">
        <v>0</v>
      </c>
      <c r="E22" s="54">
        <v>0</v>
      </c>
      <c r="F22" s="55">
        <f>IF(I7=100,"0",IF((E7-F7)=0,0,(IF(G7="čím menej, tým lepšie",(I7*(E7-E22)/(E7-F7)),(I7*(E22-F7)/(E7-F7))))))</f>
        <v>0</v>
      </c>
      <c r="G22" s="54">
        <v>0</v>
      </c>
      <c r="H22" s="56">
        <f t="shared" si="5"/>
        <v>0</v>
      </c>
      <c r="I22" s="54">
        <v>0</v>
      </c>
      <c r="J22" s="55">
        <f t="shared" si="6"/>
        <v>0</v>
      </c>
    </row>
    <row r="23" spans="2:10" x14ac:dyDescent="0.25">
      <c r="B23" s="47">
        <v>5</v>
      </c>
      <c r="C23" s="52" t="str">
        <v>Recyklácia asfalt</v>
      </c>
      <c r="D23" s="53">
        <v>0</v>
      </c>
      <c r="E23" s="54">
        <v>0</v>
      </c>
      <c r="F23" s="55">
        <f>IF(I8=100,"0",IF((E8-F8)=0,0,(IF(G8="čím menej, tým lepšie",(I8*(E8-E23)/(E8-F8)),(I8*(E23-F8)/(E8-F8))))))</f>
        <v>0</v>
      </c>
      <c r="G23" s="54">
        <v>0</v>
      </c>
      <c r="H23" s="56">
        <f t="shared" si="5"/>
        <v>0</v>
      </c>
      <c r="I23" s="54">
        <v>0</v>
      </c>
      <c r="J23" s="55">
        <f t="shared" si="6"/>
        <v>0</v>
      </c>
    </row>
    <row r="24" spans="2:10" x14ac:dyDescent="0.25">
      <c r="B24" s="47">
        <v>6</v>
      </c>
      <c r="C24" s="52" t="str">
        <v>Recyklácia štrkopiesok</v>
      </c>
      <c r="D24" s="53">
        <v>0</v>
      </c>
      <c r="E24" s="54">
        <v>0</v>
      </c>
      <c r="F24" s="55">
        <f t="shared" ref="F24:F28" si="7">IF(I9=100,"0",IF((E9-F9)=0,0,(IF(G9="čím menej, tým lepšie",(I9*(E9-E24)/(E9-F9)),(I9*(E24-F9)/(E9-F9))))))</f>
        <v>0</v>
      </c>
      <c r="G24" s="54">
        <v>0</v>
      </c>
      <c r="H24" s="56">
        <f t="shared" si="5"/>
        <v>0</v>
      </c>
      <c r="I24" s="54">
        <v>0</v>
      </c>
      <c r="J24" s="55">
        <f t="shared" si="6"/>
        <v>0</v>
      </c>
    </row>
    <row r="25" spans="2:10" x14ac:dyDescent="0.25">
      <c r="B25" s="47">
        <v>7</v>
      </c>
      <c r="C25" s="52" t="str">
        <v>geotechnik dĺžka</v>
      </c>
      <c r="D25" s="53">
        <v>2.4766403284223206</v>
      </c>
      <c r="E25" s="54">
        <v>0</v>
      </c>
      <c r="F25" s="55">
        <f t="shared" si="7"/>
        <v>0</v>
      </c>
      <c r="G25" s="54">
        <v>0</v>
      </c>
      <c r="H25" s="56">
        <f t="shared" si="5"/>
        <v>0</v>
      </c>
      <c r="I25" s="54">
        <v>0</v>
      </c>
      <c r="J25" s="55">
        <f t="shared" si="6"/>
        <v>0</v>
      </c>
    </row>
    <row r="26" spans="2:10" x14ac:dyDescent="0.25">
      <c r="B26" s="47">
        <v>8</v>
      </c>
      <c r="C26" s="52" t="str">
        <v>geotechnik zákazky</v>
      </c>
      <c r="D26" s="53">
        <v>2.4766403284223206</v>
      </c>
      <c r="E26" s="54">
        <v>0</v>
      </c>
      <c r="F26" s="55">
        <f t="shared" si="7"/>
        <v>0</v>
      </c>
      <c r="G26" s="54">
        <v>0</v>
      </c>
      <c r="H26" s="56">
        <f t="shared" si="5"/>
        <v>0</v>
      </c>
      <c r="I26" s="54">
        <v>0</v>
      </c>
      <c r="J26" s="55">
        <f t="shared" si="6"/>
        <v>0</v>
      </c>
    </row>
    <row r="27" spans="2:10" x14ac:dyDescent="0.25">
      <c r="B27" s="47">
        <v>9</v>
      </c>
      <c r="C27" s="52" t="str">
        <v>...</v>
      </c>
      <c r="D27" s="53">
        <v>0</v>
      </c>
      <c r="E27" s="54">
        <v>0</v>
      </c>
      <c r="F27" s="55">
        <f t="shared" si="7"/>
        <v>0</v>
      </c>
      <c r="G27" s="54">
        <v>0</v>
      </c>
      <c r="H27" s="56">
        <f t="shared" si="5"/>
        <v>0</v>
      </c>
      <c r="I27" s="54">
        <v>0</v>
      </c>
      <c r="J27" s="55">
        <f t="shared" si="6"/>
        <v>0</v>
      </c>
    </row>
    <row r="28" spans="2:10" ht="15.75" thickBot="1" x14ac:dyDescent="0.3">
      <c r="B28" s="57">
        <v>10</v>
      </c>
      <c r="C28" s="58" t="str">
        <v>...</v>
      </c>
      <c r="D28" s="59">
        <v>0</v>
      </c>
      <c r="E28" s="54">
        <v>0</v>
      </c>
      <c r="F28" s="55">
        <f t="shared" si="7"/>
        <v>0</v>
      </c>
      <c r="G28" s="54">
        <v>0</v>
      </c>
      <c r="H28" s="56">
        <f t="shared" si="5"/>
        <v>0</v>
      </c>
      <c r="I28" s="54">
        <v>0</v>
      </c>
      <c r="J28" s="55">
        <f t="shared" si="6"/>
        <v>0</v>
      </c>
    </row>
    <row r="29" spans="2:10" ht="15.75" thickBot="1" x14ac:dyDescent="0.3">
      <c r="B29" s="60"/>
      <c r="C29" s="61" t="s">
        <v>22</v>
      </c>
      <c r="D29" s="62">
        <f>SUM(_xlfn.ANCHORARRAY(D19))</f>
        <v>100</v>
      </c>
      <c r="E29" s="61"/>
      <c r="F29" s="63">
        <f>SUM(F19:F28)</f>
        <v>84.273333914518261</v>
      </c>
      <c r="G29" s="64"/>
      <c r="H29" s="63">
        <f t="shared" ref="H29:J29" si="8">SUM(H19:H28)</f>
        <v>83.158845766728234</v>
      </c>
      <c r="I29" s="64"/>
      <c r="J29" s="65">
        <f t="shared" si="8"/>
        <v>82.03197441729607</v>
      </c>
    </row>
    <row r="31" spans="2:10" ht="36.75" customHeight="1" thickBot="1" x14ac:dyDescent="0.3">
      <c r="B31" s="552" t="s">
        <v>23</v>
      </c>
      <c r="C31" s="553"/>
      <c r="D31" s="553"/>
      <c r="E31" s="553"/>
      <c r="F31" s="553"/>
      <c r="G31" s="553"/>
      <c r="H31" s="553"/>
      <c r="I31" s="553"/>
      <c r="J31" s="554"/>
    </row>
    <row r="32" spans="2:10" x14ac:dyDescent="0.25">
      <c r="B32" s="555" t="s">
        <v>1</v>
      </c>
      <c r="C32" s="557" t="s">
        <v>2</v>
      </c>
      <c r="D32" s="558"/>
      <c r="E32" s="561" t="s">
        <v>16</v>
      </c>
      <c r="F32" s="562"/>
      <c r="G32" s="563" t="s">
        <v>17</v>
      </c>
      <c r="H32" s="564"/>
      <c r="I32" s="565" t="s">
        <v>18</v>
      </c>
      <c r="J32" s="566"/>
    </row>
    <row r="33" spans="2:10" x14ac:dyDescent="0.25">
      <c r="B33" s="556"/>
      <c r="C33" s="559"/>
      <c r="D33" s="560"/>
      <c r="E33" s="66" t="s">
        <v>16</v>
      </c>
      <c r="F33" s="67" t="s">
        <v>24</v>
      </c>
      <c r="G33" s="68" t="s">
        <v>17</v>
      </c>
      <c r="H33" s="69" t="s">
        <v>25</v>
      </c>
      <c r="I33" s="70" t="s">
        <v>18</v>
      </c>
      <c r="J33" s="71" t="s">
        <v>21</v>
      </c>
    </row>
    <row r="34" spans="2:10" x14ac:dyDescent="0.25">
      <c r="B34" s="72" cm="1">
        <f t="array" ref="B34:B43">B19:B28</f>
        <v>1</v>
      </c>
      <c r="C34" s="73" t="str" cm="1">
        <f t="array" ref="C34:C43">C19:C28</f>
        <v>Cena celkom</v>
      </c>
      <c r="D34" s="74"/>
      <c r="E34" s="75">
        <f>E19</f>
        <v>30000</v>
      </c>
      <c r="F34" s="76">
        <f>E34</f>
        <v>30000</v>
      </c>
      <c r="G34" s="75">
        <f>G19</f>
        <v>15000</v>
      </c>
      <c r="H34" s="77">
        <f>G34</f>
        <v>15000</v>
      </c>
      <c r="I34" s="75">
        <f>I19</f>
        <v>1000</v>
      </c>
      <c r="J34" s="78">
        <f>I34</f>
        <v>1000</v>
      </c>
    </row>
    <row r="35" spans="2:10" x14ac:dyDescent="0.25">
      <c r="B35" s="72">
        <v>2</v>
      </c>
      <c r="C35" s="73" t="str">
        <v>Záruka navyše</v>
      </c>
      <c r="D35" s="74"/>
      <c r="E35" s="75">
        <f>E20</f>
        <v>36</v>
      </c>
      <c r="F35" s="76">
        <f>IF(I5=100,"0",IF((E5-F5)=0,0,IF(G5="čím menej, tým lepšie",(-(E5-E35)*(H5/(E5-F5))),-(E35-F5)*(H5/(E5-F5)))))</f>
        <v>-210000</v>
      </c>
      <c r="G35" s="75">
        <f t="shared" ref="G35:G43" si="9">G20</f>
        <v>18</v>
      </c>
      <c r="H35" s="77">
        <f>IF(I5=100,"0",IF((E5-F5)=0,0,IF(G5="čím menej, tým lepšie",(-(E5-G35)*(H5/(E5-F5))),-(G35-F5)*(H5/(E5-F5)))))</f>
        <v>-105000</v>
      </c>
      <c r="I35" s="75">
        <f t="shared" ref="I35:I43" si="10">I20</f>
        <v>0</v>
      </c>
      <c r="J35" s="78">
        <f>IF(I5=100,"0",IF((E5-F5)=0,0,IF(G5="čím menej, tým lepšie",(-(E5-I35)*(H5/(E5-F5))),-(I35-F5)*(H5/(E5-F5)))))</f>
        <v>0</v>
      </c>
    </row>
    <row r="36" spans="2:10" x14ac:dyDescent="0.25">
      <c r="B36" s="72">
        <v>3</v>
      </c>
      <c r="C36" s="73" t="str">
        <v>skúsenosti dĺžka</v>
      </c>
      <c r="D36" s="74"/>
      <c r="E36" s="75">
        <f t="shared" ref="E36:E43" si="11">E21</f>
        <v>0</v>
      </c>
      <c r="F36" s="76">
        <f t="shared" ref="F36:F43" si="12">IF(I6=100,"0",IF((E6-F6)=0,0,IF(G6="čím menej, tým lepšie",(-(E6-E36)*(H6/(E6-F6))),-(E36-F6)*(H6/(E6-F6)))))</f>
        <v>0</v>
      </c>
      <c r="G36" s="75">
        <f t="shared" si="9"/>
        <v>0</v>
      </c>
      <c r="H36" s="77">
        <f t="shared" ref="H36:H43" si="13">IF(I6=100,"0",IF((E6-F6)=0,0,IF(G6="čím menej, tým lepšie",(-(E6-G36)*(H6/(E6-F6))),-(G36-F6)*(H6/(E6-F6)))))</f>
        <v>0</v>
      </c>
      <c r="I36" s="75">
        <f>I21</f>
        <v>0</v>
      </c>
      <c r="J36" s="78">
        <f t="shared" ref="J36:J43" si="14">IF(I6=100,"0",IF((E6-F6)=0,0,IF(G6="čím menej, tým lepšie",(-(E6-I36)*(H6/(E6-F6))),-(I36-F6)*(H6/(E6-F6)))))</f>
        <v>0</v>
      </c>
    </row>
    <row r="37" spans="2:10" x14ac:dyDescent="0.25">
      <c r="B37" s="72">
        <v>4</v>
      </c>
      <c r="C37" s="73" t="str">
        <v>Recyklácia betón</v>
      </c>
      <c r="D37" s="74"/>
      <c r="E37" s="75">
        <f t="shared" si="11"/>
        <v>0</v>
      </c>
      <c r="F37" s="76">
        <f t="shared" si="12"/>
        <v>0</v>
      </c>
      <c r="G37" s="75">
        <f t="shared" si="9"/>
        <v>0</v>
      </c>
      <c r="H37" s="77">
        <f t="shared" si="13"/>
        <v>0</v>
      </c>
      <c r="I37" s="75">
        <f t="shared" si="10"/>
        <v>0</v>
      </c>
      <c r="J37" s="78">
        <f t="shared" si="14"/>
        <v>0</v>
      </c>
    </row>
    <row r="38" spans="2:10" x14ac:dyDescent="0.25">
      <c r="B38" s="72">
        <v>5</v>
      </c>
      <c r="C38" s="73" t="str">
        <v>Recyklácia asfalt</v>
      </c>
      <c r="D38" s="74"/>
      <c r="E38" s="75">
        <f t="shared" si="11"/>
        <v>0</v>
      </c>
      <c r="F38" s="76">
        <f t="shared" si="12"/>
        <v>0</v>
      </c>
      <c r="G38" s="75">
        <f t="shared" si="9"/>
        <v>0</v>
      </c>
      <c r="H38" s="77">
        <f t="shared" si="13"/>
        <v>0</v>
      </c>
      <c r="I38" s="75">
        <f t="shared" si="10"/>
        <v>0</v>
      </c>
      <c r="J38" s="78">
        <f t="shared" si="14"/>
        <v>0</v>
      </c>
    </row>
    <row r="39" spans="2:10" x14ac:dyDescent="0.25">
      <c r="B39" s="72">
        <v>6</v>
      </c>
      <c r="C39" s="73" t="str">
        <v>Recyklácia štrkopiesok</v>
      </c>
      <c r="D39" s="74"/>
      <c r="E39" s="75">
        <f t="shared" si="11"/>
        <v>0</v>
      </c>
      <c r="F39" s="76">
        <f t="shared" si="12"/>
        <v>0</v>
      </c>
      <c r="G39" s="75">
        <f t="shared" si="9"/>
        <v>0</v>
      </c>
      <c r="H39" s="77">
        <f t="shared" si="13"/>
        <v>0</v>
      </c>
      <c r="I39" s="75">
        <f t="shared" si="10"/>
        <v>0</v>
      </c>
      <c r="J39" s="78">
        <f t="shared" si="14"/>
        <v>0</v>
      </c>
    </row>
    <row r="40" spans="2:10" x14ac:dyDescent="0.25">
      <c r="B40" s="72">
        <v>7</v>
      </c>
      <c r="C40" s="73" t="str">
        <v>geotechnik dĺžka</v>
      </c>
      <c r="D40" s="74"/>
      <c r="E40" s="75">
        <f t="shared" si="11"/>
        <v>0</v>
      </c>
      <c r="F40" s="76">
        <f t="shared" si="12"/>
        <v>0</v>
      </c>
      <c r="G40" s="75">
        <f t="shared" si="9"/>
        <v>0</v>
      </c>
      <c r="H40" s="77">
        <f t="shared" si="13"/>
        <v>0</v>
      </c>
      <c r="I40" s="75">
        <f t="shared" si="10"/>
        <v>0</v>
      </c>
      <c r="J40" s="78">
        <f t="shared" si="14"/>
        <v>0</v>
      </c>
    </row>
    <row r="41" spans="2:10" ht="15.75" customHeight="1" x14ac:dyDescent="0.25">
      <c r="B41" s="72">
        <v>8</v>
      </c>
      <c r="C41" s="73" t="str">
        <v>geotechnik zákazky</v>
      </c>
      <c r="D41" s="74"/>
      <c r="E41" s="75">
        <f t="shared" si="11"/>
        <v>0</v>
      </c>
      <c r="F41" s="76">
        <f t="shared" si="12"/>
        <v>0</v>
      </c>
      <c r="G41" s="75">
        <f t="shared" si="9"/>
        <v>0</v>
      </c>
      <c r="H41" s="77">
        <f t="shared" si="13"/>
        <v>0</v>
      </c>
      <c r="I41" s="75">
        <f t="shared" si="10"/>
        <v>0</v>
      </c>
      <c r="J41" s="78">
        <f t="shared" si="14"/>
        <v>0</v>
      </c>
    </row>
    <row r="42" spans="2:10" x14ac:dyDescent="0.25">
      <c r="B42" s="72">
        <v>9</v>
      </c>
      <c r="C42" s="73" t="str">
        <v>...</v>
      </c>
      <c r="D42" s="74"/>
      <c r="E42" s="75">
        <f t="shared" si="11"/>
        <v>0</v>
      </c>
      <c r="F42" s="76">
        <f t="shared" si="12"/>
        <v>0</v>
      </c>
      <c r="G42" s="75">
        <f t="shared" si="9"/>
        <v>0</v>
      </c>
      <c r="H42" s="77">
        <f t="shared" si="13"/>
        <v>0</v>
      </c>
      <c r="I42" s="75">
        <f t="shared" si="10"/>
        <v>0</v>
      </c>
      <c r="J42" s="78">
        <f t="shared" si="14"/>
        <v>0</v>
      </c>
    </row>
    <row r="43" spans="2:10" ht="15.75" thickBot="1" x14ac:dyDescent="0.3">
      <c r="B43" s="79">
        <v>10</v>
      </c>
      <c r="C43" s="80" t="str">
        <v>...</v>
      </c>
      <c r="D43" s="81"/>
      <c r="E43" s="75">
        <f t="shared" si="11"/>
        <v>0</v>
      </c>
      <c r="F43" s="76">
        <f t="shared" si="12"/>
        <v>0</v>
      </c>
      <c r="G43" s="75">
        <f t="shared" si="9"/>
        <v>0</v>
      </c>
      <c r="H43" s="77">
        <f t="shared" si="13"/>
        <v>0</v>
      </c>
      <c r="I43" s="75">
        <f t="shared" si="10"/>
        <v>0</v>
      </c>
      <c r="J43" s="78">
        <f t="shared" si="14"/>
        <v>0</v>
      </c>
    </row>
    <row r="44" spans="2:10" ht="15.75" thickBot="1" x14ac:dyDescent="0.3">
      <c r="B44" s="82"/>
      <c r="C44" s="83" t="s">
        <v>22</v>
      </c>
      <c r="D44" s="83"/>
      <c r="E44" s="83"/>
      <c r="F44" s="84">
        <f>SUM(F34:F43)</f>
        <v>-180000</v>
      </c>
      <c r="G44" s="84"/>
      <c r="H44" s="84">
        <f t="shared" ref="H44:J44" si="15">SUM(H34:H43)</f>
        <v>-90000</v>
      </c>
      <c r="I44" s="84"/>
      <c r="J44" s="85">
        <f t="shared" si="15"/>
        <v>1000</v>
      </c>
    </row>
    <row r="45" spans="2:10" ht="15.75" thickBot="1" x14ac:dyDescent="0.3"/>
    <row r="46" spans="2:10" ht="36" customHeight="1" thickBot="1" x14ac:dyDescent="0.3">
      <c r="B46" s="567" t="s">
        <v>67</v>
      </c>
      <c r="C46" s="568"/>
      <c r="D46" s="568"/>
      <c r="E46" s="568"/>
      <c r="F46" s="568"/>
      <c r="G46" s="568"/>
      <c r="H46" s="568"/>
      <c r="I46" s="568"/>
      <c r="J46" s="569"/>
    </row>
    <row r="47" spans="2:10" ht="15.75" customHeight="1" x14ac:dyDescent="0.25">
      <c r="B47" s="570" t="s">
        <v>1</v>
      </c>
      <c r="C47" s="572" t="s">
        <v>2</v>
      </c>
      <c r="D47" s="573"/>
      <c r="E47" s="570" t="s">
        <v>16</v>
      </c>
      <c r="F47" s="576"/>
      <c r="G47" s="577" t="s">
        <v>17</v>
      </c>
      <c r="H47" s="578"/>
      <c r="I47" s="579" t="s">
        <v>18</v>
      </c>
      <c r="J47" s="580"/>
    </row>
    <row r="48" spans="2:10" x14ac:dyDescent="0.25">
      <c r="B48" s="571"/>
      <c r="C48" s="574"/>
      <c r="D48" s="575"/>
      <c r="E48" s="86" t="s">
        <v>16</v>
      </c>
      <c r="F48" s="87" t="s">
        <v>24</v>
      </c>
      <c r="G48" s="88" t="s">
        <v>17</v>
      </c>
      <c r="H48" s="89" t="s">
        <v>25</v>
      </c>
      <c r="I48" s="90" t="s">
        <v>18</v>
      </c>
      <c r="J48" s="91" t="s">
        <v>21</v>
      </c>
    </row>
    <row r="49" spans="2:10" x14ac:dyDescent="0.25">
      <c r="B49" s="92" cm="1">
        <f t="array" ref="B49:B58">B34:B43</f>
        <v>1</v>
      </c>
      <c r="C49" s="93" t="str" cm="1">
        <f t="array" ref="C49:C58">C34:C43</f>
        <v>Cena celkom</v>
      </c>
      <c r="D49" s="94"/>
      <c r="E49" s="75">
        <f>E19</f>
        <v>30000</v>
      </c>
      <c r="F49" s="95">
        <f>E49</f>
        <v>30000</v>
      </c>
      <c r="G49" s="75">
        <f>G19</f>
        <v>15000</v>
      </c>
      <c r="H49" s="96">
        <f>G49</f>
        <v>15000</v>
      </c>
      <c r="I49" s="75">
        <f>I19</f>
        <v>1000</v>
      </c>
      <c r="J49" s="97">
        <f>I49</f>
        <v>1000</v>
      </c>
    </row>
    <row r="50" spans="2:10" x14ac:dyDescent="0.25">
      <c r="B50" s="92">
        <v>2</v>
      </c>
      <c r="C50" s="93" t="str">
        <v>Záruka navyše</v>
      </c>
      <c r="D50" s="94"/>
      <c r="E50" s="75">
        <f t="shared" ref="E50:E58" si="16">E20</f>
        <v>36</v>
      </c>
      <c r="F50" s="95">
        <f>IF(I5=100,"0",IF((E5-F5)=0,0,IF(G5="čím menej, tým lepšie",((E50-F5)*H5/(E5-F5)),(E5-E50)*(H5/(E5-F5)))))</f>
        <v>140000</v>
      </c>
      <c r="G50" s="75">
        <f t="shared" ref="G50:G58" si="17">G20</f>
        <v>18</v>
      </c>
      <c r="H50" s="96">
        <f>IF(I5=100,"0",IF((E5-F5)=0,0,IF(G5="čím menej, tým lepšie",((G50-F5)*H5/(E5-F5)),(E5-G50)*(H5/(E5-F5)))))</f>
        <v>245000</v>
      </c>
      <c r="I50" s="75">
        <f t="shared" ref="I50:I58" si="18">I20</f>
        <v>0</v>
      </c>
      <c r="J50" s="97">
        <f>IF(I5=100,"0",IF((E5-F5)=0,0,IF(G5="čím menej, tým lepšie",((I50-F5)*H5/(E5-F5)),(E5-I50)*(H5/(E5-F5)))))</f>
        <v>350000</v>
      </c>
    </row>
    <row r="51" spans="2:10" x14ac:dyDescent="0.25">
      <c r="B51" s="92">
        <v>3</v>
      </c>
      <c r="C51" s="93" t="str">
        <v>skúsenosti dĺžka</v>
      </c>
      <c r="D51" s="94"/>
      <c r="E51" s="75">
        <f t="shared" si="16"/>
        <v>0</v>
      </c>
      <c r="F51" s="95">
        <f t="shared" ref="F51:F58" si="19">IF(I6=100,"0",IF((E6-F6)=0,0,IF(G6="čím menej, tým lepšie",((E51-F6)*H6/(E6-F6)),(E6-E51)*(H6/(E6-F6)))))</f>
        <v>700000</v>
      </c>
      <c r="G51" s="75">
        <f t="shared" si="17"/>
        <v>0</v>
      </c>
      <c r="H51" s="96">
        <f t="shared" ref="H51:H58" si="20">IF(I6=100,"0",IF((E6-F6)=0,0,IF(G6="čím menej, tým lepšie",((G51-F6)*H6/(E6-F6)),(E6-G51)*(H6/(E6-F6)))))</f>
        <v>700000</v>
      </c>
      <c r="I51" s="75">
        <f t="shared" si="18"/>
        <v>0</v>
      </c>
      <c r="J51" s="97">
        <f t="shared" ref="J51:J58" si="21">IF(I6=100,"0",IF((E6-F6)=0,0,IF(G6="čím menej, tým lepšie",((I51-F6)*H6/(E6-F6)),(E6-I51)*(H6/(E6-F6)))))</f>
        <v>700000</v>
      </c>
    </row>
    <row r="52" spans="2:10" ht="15.75" customHeight="1" x14ac:dyDescent="0.25">
      <c r="B52" s="92">
        <v>4</v>
      </c>
      <c r="C52" s="93" t="str">
        <v>Recyklácia betón</v>
      </c>
      <c r="D52" s="94"/>
      <c r="E52" s="75">
        <f t="shared" si="16"/>
        <v>0</v>
      </c>
      <c r="F52" s="95">
        <f t="shared" si="19"/>
        <v>0</v>
      </c>
      <c r="G52" s="75">
        <f t="shared" si="17"/>
        <v>0</v>
      </c>
      <c r="H52" s="96">
        <f t="shared" si="20"/>
        <v>0</v>
      </c>
      <c r="I52" s="75">
        <f t="shared" si="18"/>
        <v>0</v>
      </c>
      <c r="J52" s="97">
        <f t="shared" si="21"/>
        <v>0</v>
      </c>
    </row>
    <row r="53" spans="2:10" x14ac:dyDescent="0.25">
      <c r="B53" s="92">
        <v>5</v>
      </c>
      <c r="C53" s="93" t="str">
        <v>Recyklácia asfalt</v>
      </c>
      <c r="D53" s="94"/>
      <c r="E53" s="75">
        <f t="shared" si="16"/>
        <v>0</v>
      </c>
      <c r="F53" s="95">
        <f t="shared" si="19"/>
        <v>0</v>
      </c>
      <c r="G53" s="75">
        <f t="shared" si="17"/>
        <v>0</v>
      </c>
      <c r="H53" s="96">
        <f t="shared" si="20"/>
        <v>0</v>
      </c>
      <c r="I53" s="75">
        <f t="shared" si="18"/>
        <v>0</v>
      </c>
      <c r="J53" s="97">
        <f t="shared" si="21"/>
        <v>0</v>
      </c>
    </row>
    <row r="54" spans="2:10" x14ac:dyDescent="0.25">
      <c r="B54" s="92">
        <v>6</v>
      </c>
      <c r="C54" s="93" t="str">
        <v>Recyklácia štrkopiesok</v>
      </c>
      <c r="D54" s="94"/>
      <c r="E54" s="75">
        <f t="shared" si="16"/>
        <v>0</v>
      </c>
      <c r="F54" s="95">
        <f t="shared" si="19"/>
        <v>0</v>
      </c>
      <c r="G54" s="75">
        <f t="shared" si="17"/>
        <v>0</v>
      </c>
      <c r="H54" s="96">
        <f t="shared" si="20"/>
        <v>0</v>
      </c>
      <c r="I54" s="75">
        <f t="shared" si="18"/>
        <v>0</v>
      </c>
      <c r="J54" s="97">
        <f t="shared" si="21"/>
        <v>0</v>
      </c>
    </row>
    <row r="55" spans="2:10" x14ac:dyDescent="0.25">
      <c r="B55" s="92">
        <v>7</v>
      </c>
      <c r="C55" s="93" t="str">
        <v>geotechnik dĺžka</v>
      </c>
      <c r="D55" s="94"/>
      <c r="E55" s="75">
        <f t="shared" si="16"/>
        <v>0</v>
      </c>
      <c r="F55" s="95">
        <f t="shared" si="19"/>
        <v>200000</v>
      </c>
      <c r="G55" s="75">
        <f t="shared" si="17"/>
        <v>0</v>
      </c>
      <c r="H55" s="96">
        <f t="shared" si="20"/>
        <v>200000</v>
      </c>
      <c r="I55" s="75">
        <f t="shared" si="18"/>
        <v>0</v>
      </c>
      <c r="J55" s="97">
        <f t="shared" si="21"/>
        <v>200000</v>
      </c>
    </row>
    <row r="56" spans="2:10" x14ac:dyDescent="0.25">
      <c r="B56" s="92">
        <v>8</v>
      </c>
      <c r="C56" s="93" t="str">
        <v>geotechnik zákazky</v>
      </c>
      <c r="D56" s="94"/>
      <c r="E56" s="75">
        <f t="shared" si="16"/>
        <v>0</v>
      </c>
      <c r="F56" s="95">
        <f t="shared" si="19"/>
        <v>200000</v>
      </c>
      <c r="G56" s="75">
        <f t="shared" si="17"/>
        <v>0</v>
      </c>
      <c r="H56" s="96">
        <f t="shared" si="20"/>
        <v>200000</v>
      </c>
      <c r="I56" s="75">
        <f t="shared" si="18"/>
        <v>0</v>
      </c>
      <c r="J56" s="97">
        <f t="shared" si="21"/>
        <v>200000</v>
      </c>
    </row>
    <row r="57" spans="2:10" x14ac:dyDescent="0.25">
      <c r="B57" s="92">
        <v>9</v>
      </c>
      <c r="C57" s="93" t="str">
        <v>...</v>
      </c>
      <c r="D57" s="94"/>
      <c r="E57" s="75">
        <f t="shared" si="16"/>
        <v>0</v>
      </c>
      <c r="F57" s="95">
        <f t="shared" si="19"/>
        <v>0</v>
      </c>
      <c r="G57" s="75">
        <f t="shared" si="17"/>
        <v>0</v>
      </c>
      <c r="H57" s="96">
        <f t="shared" si="20"/>
        <v>0</v>
      </c>
      <c r="I57" s="75">
        <f t="shared" si="18"/>
        <v>0</v>
      </c>
      <c r="J57" s="97">
        <f t="shared" si="21"/>
        <v>0</v>
      </c>
    </row>
    <row r="58" spans="2:10" ht="15.75" thickBot="1" x14ac:dyDescent="0.3">
      <c r="B58" s="98">
        <v>10</v>
      </c>
      <c r="C58" s="99" t="str">
        <v>...</v>
      </c>
      <c r="D58" s="100"/>
      <c r="E58" s="75">
        <f t="shared" si="16"/>
        <v>0</v>
      </c>
      <c r="F58" s="95">
        <f t="shared" si="19"/>
        <v>0</v>
      </c>
      <c r="G58" s="75">
        <f t="shared" si="17"/>
        <v>0</v>
      </c>
      <c r="H58" s="96">
        <f t="shared" si="20"/>
        <v>0</v>
      </c>
      <c r="I58" s="75">
        <f t="shared" si="18"/>
        <v>0</v>
      </c>
      <c r="J58" s="97">
        <f t="shared" si="21"/>
        <v>0</v>
      </c>
    </row>
    <row r="59" spans="2:10" ht="15.75" thickBot="1" x14ac:dyDescent="0.3">
      <c r="B59" s="101"/>
      <c r="C59" s="102" t="s">
        <v>22</v>
      </c>
      <c r="D59" s="102"/>
      <c r="E59" s="102"/>
      <c r="F59" s="103">
        <f>SUM(F49:F58)</f>
        <v>1270000</v>
      </c>
      <c r="G59" s="103"/>
      <c r="H59" s="103">
        <f t="shared" ref="H59:J59" si="22">SUM(H49:H58)</f>
        <v>1360000</v>
      </c>
      <c r="I59" s="103"/>
      <c r="J59" s="104">
        <f t="shared" si="22"/>
        <v>1451000</v>
      </c>
    </row>
    <row r="61" spans="2:10" x14ac:dyDescent="0.25">
      <c r="C61" s="14"/>
      <c r="D61" s="14"/>
      <c r="E61" s="14"/>
      <c r="F61" s="14"/>
      <c r="G61" s="14"/>
      <c r="H61" s="14"/>
    </row>
    <row r="62" spans="2:10" ht="30.75" customHeight="1" x14ac:dyDescent="0.25">
      <c r="C62" s="14"/>
      <c r="D62" s="14"/>
      <c r="E62" s="14"/>
      <c r="F62" s="14"/>
      <c r="G62" s="14"/>
      <c r="H62" s="14"/>
    </row>
    <row r="63" spans="2:10" x14ac:dyDescent="0.25">
      <c r="C63" s="14"/>
      <c r="D63" s="14"/>
      <c r="E63" s="14"/>
      <c r="F63" s="14"/>
      <c r="G63" s="14"/>
      <c r="H63" s="14"/>
    </row>
    <row r="64" spans="2:10" x14ac:dyDescent="0.25">
      <c r="C64" s="14"/>
      <c r="D64" s="14"/>
      <c r="E64" s="14"/>
      <c r="F64" s="14"/>
      <c r="G64" s="14"/>
      <c r="H64" s="14"/>
    </row>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ht="15.75" customHeight="1" x14ac:dyDescent="0.25"/>
    <row r="73" s="14" customFormat="1" ht="15.75" customHeigh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sheetData>
  <sheetProtection algorithmName="SHA-512" hashValue="pqZF5b2hxy5yF3iQZznPNLLDd9raKNx08fikCkyH3mdipEP5m7AuHOHrRxJP1e1vwSAnShrUF4YlOQCB+cbd5w==" saltValue="9lAhXbNrPBqdLCQa6TtKUw==" spinCount="100000" sheet="1" objects="1" scenarios="1"/>
  <mergeCells count="20">
    <mergeCell ref="B46:J46"/>
    <mergeCell ref="B47:B48"/>
    <mergeCell ref="C47:D48"/>
    <mergeCell ref="E47:F47"/>
    <mergeCell ref="G47:H47"/>
    <mergeCell ref="I47:J47"/>
    <mergeCell ref="B31:J31"/>
    <mergeCell ref="B32:B33"/>
    <mergeCell ref="C32:D33"/>
    <mergeCell ref="E32:F32"/>
    <mergeCell ref="G32:H32"/>
    <mergeCell ref="I32:J32"/>
    <mergeCell ref="B2:K2"/>
    <mergeCell ref="B16:J16"/>
    <mergeCell ref="B17:B18"/>
    <mergeCell ref="C17:C18"/>
    <mergeCell ref="D17:D18"/>
    <mergeCell ref="E17:F17"/>
    <mergeCell ref="G17:H17"/>
    <mergeCell ref="I17:J17"/>
  </mergeCells>
  <dataValidations count="2">
    <dataValidation type="whole" allowBlank="1" showInputMessage="1" showErrorMessage="1" errorTitle="Chyba" error="Vložili ste hodnotu mimo povolený rozsah" promptTitle="info" prompt="Do tohto poľa môžete vložiť len hodnotu od minima do maxima daného kritéria" sqref="E35:E43" xr:uid="{F91FD75A-143F-46BB-BB28-ECD63AAFF1FF}">
      <formula1>F5</formula1>
      <formula2>E5</formula2>
    </dataValidation>
    <dataValidation type="list" allowBlank="1" showInputMessage="1" showErrorMessage="1" sqref="G4:G13" xr:uid="{818A792F-1002-466A-903B-048413A3E832}">
      <mc:AlternateContent xmlns:x12ac="http://schemas.microsoft.com/office/spreadsheetml/2011/1/ac" xmlns:mc="http://schemas.openxmlformats.org/markup-compatibility/2006">
        <mc:Choice Requires="x12ac">
          <x12ac:list>žiadna,"čím menej, tým lepšie","čím viac, tým lepšie"</x12ac:list>
        </mc:Choice>
        <mc:Fallback>
          <formula1>"žiadna,čím menej, tým lepšie,čím viac, tým lepšie"</formula1>
        </mc:Fallback>
      </mc:AlternateContent>
    </dataValidation>
  </dataValidation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6646-BCD7-4D52-8AC5-F6EDAD3B6CA8}">
  <sheetPr codeName="Hárok10">
    <pageSetUpPr fitToPage="1"/>
  </sheetPr>
  <dimension ref="B2:BM214"/>
  <sheetViews>
    <sheetView topLeftCell="A197" workbookViewId="0">
      <selection activeCell="J208" sqref="J208"/>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347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1226</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SUM(BE127:BE213)),  2)</f>
        <v>0</v>
      </c>
      <c r="G35" s="380"/>
      <c r="H35" s="380"/>
      <c r="I35" s="381">
        <v>0.23</v>
      </c>
      <c r="J35" s="379">
        <f>ROUND(((SUM(BE106:BE107) + SUM(BE127:BE213))*I35),  2)</f>
        <v>0</v>
      </c>
      <c r="L35" s="364"/>
    </row>
    <row r="36" spans="2:12" s="365" customFormat="1" ht="14.45" customHeight="1" x14ac:dyDescent="0.25">
      <c r="B36" s="364"/>
      <c r="E36" s="378" t="s">
        <v>185</v>
      </c>
      <c r="F36" s="382">
        <f>ROUND((SUM(BF106:BF107) + SUM(BF127:BF213)),  2)</f>
        <v>0</v>
      </c>
      <c r="I36" s="383">
        <v>0.23</v>
      </c>
      <c r="J36" s="382">
        <f>ROUND(((SUM(BF106:BF107) + SUM(BF127:BF213))*I36),  2)</f>
        <v>0</v>
      </c>
      <c r="L36" s="364"/>
    </row>
    <row r="37" spans="2:12" s="365" customFormat="1" ht="14.45" hidden="1" customHeight="1" x14ac:dyDescent="0.25">
      <c r="B37" s="364"/>
      <c r="E37" s="363" t="s">
        <v>186</v>
      </c>
      <c r="F37" s="382">
        <f>ROUND((SUM(BG106:BG107) + SUM(BG127:BG213)),  2)</f>
        <v>0</v>
      </c>
      <c r="I37" s="383">
        <v>0.23</v>
      </c>
      <c r="J37" s="382">
        <f>0</f>
        <v>0</v>
      </c>
      <c r="L37" s="364"/>
    </row>
    <row r="38" spans="2:12" s="365" customFormat="1" ht="14.45" hidden="1" customHeight="1" x14ac:dyDescent="0.25">
      <c r="B38" s="364"/>
      <c r="E38" s="363" t="s">
        <v>187</v>
      </c>
      <c r="F38" s="382">
        <f>ROUND((SUM(BH106:BH107) + SUM(BH127:BH213)),  2)</f>
        <v>0</v>
      </c>
      <c r="I38" s="383">
        <v>0.23</v>
      </c>
      <c r="J38" s="382">
        <f>0</f>
        <v>0</v>
      </c>
      <c r="L38" s="364"/>
    </row>
    <row r="39" spans="2:12" s="365" customFormat="1" ht="14.45" hidden="1" customHeight="1" x14ac:dyDescent="0.25">
      <c r="B39" s="364"/>
      <c r="E39" s="378" t="s">
        <v>188</v>
      </c>
      <c r="F39" s="379">
        <f>ROUND((SUM(BI106:BI107) + SUM(BI127:BI213)),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100.4 - SO 101.4 Úprava komunikácie - Devínska cesta, úsek D</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683</v>
      </c>
      <c r="E99" s="412"/>
      <c r="F99" s="412"/>
      <c r="G99" s="412"/>
      <c r="H99" s="412"/>
      <c r="I99" s="412"/>
      <c r="J99" s="413">
        <f>J153</f>
        <v>0</v>
      </c>
      <c r="L99" s="409"/>
    </row>
    <row r="100" spans="2:14" s="410" customFormat="1" ht="19.899999999999999" customHeight="1" x14ac:dyDescent="0.25">
      <c r="B100" s="409"/>
      <c r="D100" s="411" t="s">
        <v>414</v>
      </c>
      <c r="E100" s="412"/>
      <c r="F100" s="412"/>
      <c r="G100" s="412"/>
      <c r="H100" s="412"/>
      <c r="I100" s="412"/>
      <c r="J100" s="413">
        <f>J175</f>
        <v>0</v>
      </c>
      <c r="L100" s="409"/>
    </row>
    <row r="101" spans="2:14" s="410" customFormat="1" ht="19.899999999999999" customHeight="1" x14ac:dyDescent="0.25">
      <c r="B101" s="409"/>
      <c r="D101" s="411" t="s">
        <v>415</v>
      </c>
      <c r="E101" s="412"/>
      <c r="F101" s="412"/>
      <c r="G101" s="412"/>
      <c r="H101" s="412"/>
      <c r="I101" s="412"/>
      <c r="J101" s="413">
        <f>J205</f>
        <v>0</v>
      </c>
      <c r="L101" s="409"/>
    </row>
    <row r="102" spans="2:14" s="405" customFormat="1" ht="24.95" customHeight="1" x14ac:dyDescent="0.25">
      <c r="B102" s="404"/>
      <c r="D102" s="406" t="s">
        <v>416</v>
      </c>
      <c r="E102" s="407"/>
      <c r="F102" s="407"/>
      <c r="G102" s="407"/>
      <c r="H102" s="407"/>
      <c r="I102" s="407"/>
      <c r="J102" s="408">
        <f>J211</f>
        <v>0</v>
      </c>
      <c r="L102" s="404"/>
    </row>
    <row r="103" spans="2:14" s="410" customFormat="1" ht="19.899999999999999" customHeight="1" x14ac:dyDescent="0.25">
      <c r="B103" s="409"/>
      <c r="D103" s="411" t="s">
        <v>1227</v>
      </c>
      <c r="E103" s="412"/>
      <c r="F103" s="412"/>
      <c r="G103" s="412"/>
      <c r="H103" s="412"/>
      <c r="I103" s="412"/>
      <c r="J103" s="413">
        <f>J212</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3066</v>
      </c>
      <c r="J106" s="414">
        <v>0</v>
      </c>
      <c r="L106" s="364"/>
      <c r="N106" s="415" t="s">
        <v>183</v>
      </c>
    </row>
    <row r="107" spans="2:14" s="365" customFormat="1" ht="18" customHeight="1" x14ac:dyDescent="0.25">
      <c r="B107" s="364"/>
      <c r="L107" s="364"/>
    </row>
    <row r="108" spans="2:14" s="365" customFormat="1" ht="29.25" customHeight="1" x14ac:dyDescent="0.25">
      <c r="B108" s="364"/>
      <c r="C108" s="416" t="s">
        <v>3063</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59" t="str">
        <f>E7</f>
        <v>Cyklotrasa - Devín_RP1</v>
      </c>
      <c r="F117" s="860"/>
      <c r="G117" s="860"/>
      <c r="H117" s="860"/>
      <c r="L117" s="364"/>
    </row>
    <row r="118" spans="2:63" s="365" customFormat="1" ht="12" customHeight="1" x14ac:dyDescent="0.25">
      <c r="B118" s="364"/>
      <c r="C118" s="363" t="s">
        <v>408</v>
      </c>
      <c r="L118" s="364"/>
    </row>
    <row r="119" spans="2:63" s="365" customFormat="1" ht="30" customHeight="1" x14ac:dyDescent="0.25">
      <c r="B119" s="364"/>
      <c r="E119" s="857" t="str">
        <f>E9</f>
        <v>100.4 - SO 101.4 Úprava komunikácie - Devínska cesta, úsek D</v>
      </c>
      <c r="F119" s="858"/>
      <c r="G119" s="858"/>
      <c r="H119" s="858"/>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P128+P211</f>
        <v>3758.8483340000002</v>
      </c>
      <c r="Q127" s="371"/>
      <c r="R127" s="430">
        <f>R128+R211</f>
        <v>3037.9144168699991</v>
      </c>
      <c r="S127" s="371"/>
      <c r="T127" s="431">
        <f>T128+T211</f>
        <v>1269.1609999999998</v>
      </c>
      <c r="AT127" s="357" t="s">
        <v>216</v>
      </c>
      <c r="AU127" s="357" t="s">
        <v>202</v>
      </c>
      <c r="BK127" s="432">
        <f>BK128+BK211</f>
        <v>0</v>
      </c>
    </row>
    <row r="128" spans="2:63" s="434" customFormat="1" ht="25.9" customHeight="1" x14ac:dyDescent="0.2">
      <c r="B128" s="433"/>
      <c r="D128" s="435" t="s">
        <v>216</v>
      </c>
      <c r="E128" s="436" t="s">
        <v>418</v>
      </c>
      <c r="F128" s="436" t="s">
        <v>419</v>
      </c>
      <c r="J128" s="437">
        <f>BK128</f>
        <v>0</v>
      </c>
      <c r="L128" s="433"/>
      <c r="M128" s="438"/>
      <c r="P128" s="439">
        <f>P129+P153+P175+P205</f>
        <v>3754.5733340000002</v>
      </c>
      <c r="R128" s="439">
        <f>R129+R153+R175+R205</f>
        <v>3037.9144168699991</v>
      </c>
      <c r="T128" s="440">
        <f>T129+T153+T175+T205</f>
        <v>1269.0259999999998</v>
      </c>
      <c r="AR128" s="435" t="s">
        <v>109</v>
      </c>
      <c r="AT128" s="441" t="s">
        <v>216</v>
      </c>
      <c r="AU128" s="441" t="s">
        <v>165</v>
      </c>
      <c r="AY128" s="435" t="s">
        <v>217</v>
      </c>
      <c r="BK128" s="442">
        <f>BK129+BK153+BK175+BK205</f>
        <v>0</v>
      </c>
    </row>
    <row r="129" spans="2:65" s="434" customFormat="1" ht="22.9" customHeight="1" x14ac:dyDescent="0.2">
      <c r="B129" s="433"/>
      <c r="D129" s="435" t="s">
        <v>216</v>
      </c>
      <c r="E129" s="443" t="s">
        <v>109</v>
      </c>
      <c r="F129" s="443" t="s">
        <v>220</v>
      </c>
      <c r="J129" s="444">
        <f>BK129</f>
        <v>0</v>
      </c>
      <c r="L129" s="433"/>
      <c r="M129" s="438"/>
      <c r="P129" s="439">
        <f>SUM(P130:P152)</f>
        <v>1342.4212699999998</v>
      </c>
      <c r="R129" s="439">
        <f>SUM(R130:R152)</f>
        <v>257.34844901999998</v>
      </c>
      <c r="T129" s="440">
        <f>SUM(T130:T152)</f>
        <v>1258.81</v>
      </c>
      <c r="AR129" s="435" t="s">
        <v>109</v>
      </c>
      <c r="AT129" s="441" t="s">
        <v>216</v>
      </c>
      <c r="AU129" s="441" t="s">
        <v>109</v>
      </c>
      <c r="AY129" s="435" t="s">
        <v>217</v>
      </c>
      <c r="BK129" s="442">
        <f>SUM(BK130:BK152)</f>
        <v>0</v>
      </c>
    </row>
    <row r="130" spans="2:65" s="365" customFormat="1" ht="37.9" customHeight="1" x14ac:dyDescent="0.25">
      <c r="B130" s="364"/>
      <c r="C130" s="445" t="s">
        <v>109</v>
      </c>
      <c r="D130" s="445" t="s">
        <v>218</v>
      </c>
      <c r="E130" s="446" t="s">
        <v>1228</v>
      </c>
      <c r="F130" s="447" t="s">
        <v>1229</v>
      </c>
      <c r="G130" s="448" t="s">
        <v>111</v>
      </c>
      <c r="H130" s="449">
        <v>1800</v>
      </c>
      <c r="I130" s="329">
        <v>0</v>
      </c>
      <c r="J130" s="450">
        <f t="shared" ref="J130:J152" si="0">ROUND(I130*H130,2)</f>
        <v>0</v>
      </c>
      <c r="K130" s="451"/>
      <c r="L130" s="364"/>
      <c r="M130" s="452" t="s">
        <v>171</v>
      </c>
      <c r="N130" s="415" t="s">
        <v>185</v>
      </c>
      <c r="O130" s="453">
        <v>0.01</v>
      </c>
      <c r="P130" s="453">
        <f t="shared" ref="P130:P152" si="1">O130*H130</f>
        <v>18</v>
      </c>
      <c r="Q130" s="453">
        <v>0</v>
      </c>
      <c r="R130" s="453">
        <f t="shared" ref="R130:R152" si="2">Q130*H130</f>
        <v>0</v>
      </c>
      <c r="S130" s="453">
        <v>0</v>
      </c>
      <c r="T130" s="454">
        <f t="shared" ref="T130:T152" si="3">S130*H130</f>
        <v>0</v>
      </c>
      <c r="AR130" s="455" t="s">
        <v>110</v>
      </c>
      <c r="AT130" s="455" t="s">
        <v>218</v>
      </c>
      <c r="AU130" s="455" t="s">
        <v>108</v>
      </c>
      <c r="AY130" s="357" t="s">
        <v>217</v>
      </c>
      <c r="BE130" s="456">
        <f t="shared" ref="BE130:BE152" si="4">IF(N130="základná",J130,0)</f>
        <v>0</v>
      </c>
      <c r="BF130" s="456">
        <f t="shared" ref="BF130:BF152" si="5">IF(N130="znížená",J130,0)</f>
        <v>0</v>
      </c>
      <c r="BG130" s="456">
        <f t="shared" ref="BG130:BG152" si="6">IF(N130="zákl. prenesená",J130,0)</f>
        <v>0</v>
      </c>
      <c r="BH130" s="456">
        <f t="shared" ref="BH130:BH152" si="7">IF(N130="zníž. prenesená",J130,0)</f>
        <v>0</v>
      </c>
      <c r="BI130" s="456">
        <f t="shared" ref="BI130:BI152" si="8">IF(N130="nulová",J130,0)</f>
        <v>0</v>
      </c>
      <c r="BJ130" s="357" t="s">
        <v>108</v>
      </c>
      <c r="BK130" s="456">
        <f t="shared" ref="BK130:BK152" si="9">ROUND(I130*H130,2)</f>
        <v>0</v>
      </c>
      <c r="BL130" s="357" t="s">
        <v>110</v>
      </c>
      <c r="BM130" s="455" t="s">
        <v>1230</v>
      </c>
    </row>
    <row r="131" spans="2:65" s="365" customFormat="1" ht="24.2" customHeight="1" x14ac:dyDescent="0.25">
      <c r="B131" s="364"/>
      <c r="C131" s="445" t="s">
        <v>108</v>
      </c>
      <c r="D131" s="445" t="s">
        <v>218</v>
      </c>
      <c r="E131" s="446" t="s">
        <v>423</v>
      </c>
      <c r="F131" s="447" t="s">
        <v>685</v>
      </c>
      <c r="G131" s="448" t="s">
        <v>111</v>
      </c>
      <c r="H131" s="449">
        <v>1800</v>
      </c>
      <c r="I131" s="329">
        <v>0</v>
      </c>
      <c r="J131" s="450">
        <f t="shared" si="0"/>
        <v>0</v>
      </c>
      <c r="K131" s="451"/>
      <c r="L131" s="364"/>
      <c r="M131" s="452" t="s">
        <v>171</v>
      </c>
      <c r="N131" s="415" t="s">
        <v>185</v>
      </c>
      <c r="O131" s="453">
        <v>0.16300000000000001</v>
      </c>
      <c r="P131" s="453">
        <f t="shared" si="1"/>
        <v>293.40000000000003</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1231</v>
      </c>
    </row>
    <row r="132" spans="2:65" s="365" customFormat="1" ht="33" customHeight="1" x14ac:dyDescent="0.25">
      <c r="B132" s="364"/>
      <c r="C132" s="445" t="s">
        <v>119</v>
      </c>
      <c r="D132" s="445" t="s">
        <v>218</v>
      </c>
      <c r="E132" s="446" t="s">
        <v>687</v>
      </c>
      <c r="F132" s="447" t="s">
        <v>688</v>
      </c>
      <c r="G132" s="448" t="s">
        <v>111</v>
      </c>
      <c r="H132" s="449">
        <v>224</v>
      </c>
      <c r="I132" s="329">
        <v>0</v>
      </c>
      <c r="J132" s="450">
        <f t="shared" si="0"/>
        <v>0</v>
      </c>
      <c r="K132" s="451"/>
      <c r="L132" s="364"/>
      <c r="M132" s="452" t="s">
        <v>171</v>
      </c>
      <c r="N132" s="415" t="s">
        <v>185</v>
      </c>
      <c r="O132" s="453">
        <v>6.9370000000000001E-2</v>
      </c>
      <c r="P132" s="453">
        <f t="shared" si="1"/>
        <v>15.538880000000001</v>
      </c>
      <c r="Q132" s="453">
        <v>3.6611E-4</v>
      </c>
      <c r="R132" s="453">
        <f t="shared" si="2"/>
        <v>8.2008639999999994E-2</v>
      </c>
      <c r="S132" s="453">
        <v>0.5</v>
      </c>
      <c r="T132" s="454">
        <f t="shared" si="3"/>
        <v>112</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1232</v>
      </c>
    </row>
    <row r="133" spans="2:65" s="365" customFormat="1" ht="37.9" customHeight="1" x14ac:dyDescent="0.25">
      <c r="B133" s="364"/>
      <c r="C133" s="445" t="s">
        <v>110</v>
      </c>
      <c r="D133" s="445" t="s">
        <v>218</v>
      </c>
      <c r="E133" s="446" t="s">
        <v>1085</v>
      </c>
      <c r="F133" s="447" t="s">
        <v>1233</v>
      </c>
      <c r="G133" s="448" t="s">
        <v>111</v>
      </c>
      <c r="H133" s="449">
        <v>2394</v>
      </c>
      <c r="I133" s="329">
        <v>0</v>
      </c>
      <c r="J133" s="450">
        <f t="shared" si="0"/>
        <v>0</v>
      </c>
      <c r="K133" s="451"/>
      <c r="L133" s="364"/>
      <c r="M133" s="452" t="s">
        <v>171</v>
      </c>
      <c r="N133" s="415" t="s">
        <v>185</v>
      </c>
      <c r="O133" s="453">
        <v>2.7099999999999999E-2</v>
      </c>
      <c r="P133" s="453">
        <f t="shared" si="1"/>
        <v>64.877399999999994</v>
      </c>
      <c r="Q133" s="453">
        <v>1.0127E-4</v>
      </c>
      <c r="R133" s="453">
        <f t="shared" si="2"/>
        <v>0.24244037999999998</v>
      </c>
      <c r="S133" s="453">
        <v>0.125</v>
      </c>
      <c r="T133" s="454">
        <f t="shared" si="3"/>
        <v>299.25</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1234</v>
      </c>
    </row>
    <row r="134" spans="2:65" s="365" customFormat="1" ht="24.2" customHeight="1" x14ac:dyDescent="0.25">
      <c r="B134" s="364"/>
      <c r="C134" s="445" t="s">
        <v>118</v>
      </c>
      <c r="D134" s="445" t="s">
        <v>218</v>
      </c>
      <c r="E134" s="446" t="s">
        <v>1235</v>
      </c>
      <c r="F134" s="447" t="s">
        <v>1236</v>
      </c>
      <c r="G134" s="448" t="s">
        <v>113</v>
      </c>
      <c r="H134" s="449">
        <v>480</v>
      </c>
      <c r="I134" s="329">
        <v>0</v>
      </c>
      <c r="J134" s="450">
        <f t="shared" si="0"/>
        <v>0</v>
      </c>
      <c r="K134" s="451"/>
      <c r="L134" s="364"/>
      <c r="M134" s="452" t="s">
        <v>171</v>
      </c>
      <c r="N134" s="415" t="s">
        <v>185</v>
      </c>
      <c r="O134" s="453">
        <v>0.1143</v>
      </c>
      <c r="P134" s="453">
        <f t="shared" si="1"/>
        <v>54.863999999999997</v>
      </c>
      <c r="Q134" s="453">
        <v>0</v>
      </c>
      <c r="R134" s="453">
        <f t="shared" si="2"/>
        <v>0</v>
      </c>
      <c r="S134" s="453">
        <v>6.5000000000000002E-2</v>
      </c>
      <c r="T134" s="454">
        <f t="shared" si="3"/>
        <v>31.200000000000003</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1237</v>
      </c>
    </row>
    <row r="135" spans="2:65" s="365" customFormat="1" ht="33" customHeight="1" x14ac:dyDescent="0.25">
      <c r="B135" s="364"/>
      <c r="C135" s="445" t="s">
        <v>117</v>
      </c>
      <c r="D135" s="445" t="s">
        <v>218</v>
      </c>
      <c r="E135" s="446" t="s">
        <v>1238</v>
      </c>
      <c r="F135" s="447" t="s">
        <v>1239</v>
      </c>
      <c r="G135" s="448" t="s">
        <v>113</v>
      </c>
      <c r="H135" s="449">
        <v>480</v>
      </c>
      <c r="I135" s="329">
        <v>0</v>
      </c>
      <c r="J135" s="450">
        <f t="shared" si="0"/>
        <v>0</v>
      </c>
      <c r="K135" s="451"/>
      <c r="L135" s="364"/>
      <c r="M135" s="452" t="s">
        <v>171</v>
      </c>
      <c r="N135" s="415" t="s">
        <v>185</v>
      </c>
      <c r="O135" s="453">
        <v>6.9000000000000006E-2</v>
      </c>
      <c r="P135" s="453">
        <f t="shared" si="1"/>
        <v>33.120000000000005</v>
      </c>
      <c r="Q135" s="453">
        <v>0</v>
      </c>
      <c r="R135" s="453">
        <f t="shared" si="2"/>
        <v>0</v>
      </c>
      <c r="S135" s="453">
        <v>3.4500000000000003E-2</v>
      </c>
      <c r="T135" s="454">
        <f t="shared" si="3"/>
        <v>16.560000000000002</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1240</v>
      </c>
    </row>
    <row r="136" spans="2:65" s="365" customFormat="1" ht="24.2" customHeight="1" x14ac:dyDescent="0.25">
      <c r="B136" s="364"/>
      <c r="C136" s="445" t="s">
        <v>116</v>
      </c>
      <c r="D136" s="445" t="s">
        <v>218</v>
      </c>
      <c r="E136" s="446" t="s">
        <v>693</v>
      </c>
      <c r="F136" s="447" t="s">
        <v>694</v>
      </c>
      <c r="G136" s="448" t="s">
        <v>111</v>
      </c>
      <c r="H136" s="449">
        <v>112</v>
      </c>
      <c r="I136" s="329">
        <v>0</v>
      </c>
      <c r="J136" s="450">
        <f t="shared" si="0"/>
        <v>0</v>
      </c>
      <c r="K136" s="451"/>
      <c r="L136" s="364"/>
      <c r="M136" s="452" t="s">
        <v>171</v>
      </c>
      <c r="N136" s="415" t="s">
        <v>185</v>
      </c>
      <c r="O136" s="453">
        <v>1.3</v>
      </c>
      <c r="P136" s="453">
        <f t="shared" si="1"/>
        <v>145.6</v>
      </c>
      <c r="Q136" s="453">
        <v>0</v>
      </c>
      <c r="R136" s="453">
        <f t="shared" si="2"/>
        <v>0</v>
      </c>
      <c r="S136" s="453">
        <v>0.75</v>
      </c>
      <c r="T136" s="454">
        <f t="shared" si="3"/>
        <v>84</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1241</v>
      </c>
    </row>
    <row r="137" spans="2:65" s="365" customFormat="1" ht="37.9" customHeight="1" x14ac:dyDescent="0.25">
      <c r="B137" s="364"/>
      <c r="C137" s="445" t="s">
        <v>115</v>
      </c>
      <c r="D137" s="445" t="s">
        <v>218</v>
      </c>
      <c r="E137" s="446" t="s">
        <v>696</v>
      </c>
      <c r="F137" s="447" t="s">
        <v>697</v>
      </c>
      <c r="G137" s="448" t="s">
        <v>111</v>
      </c>
      <c r="H137" s="449">
        <v>554</v>
      </c>
      <c r="I137" s="329">
        <v>0</v>
      </c>
      <c r="J137" s="450">
        <f t="shared" si="0"/>
        <v>0</v>
      </c>
      <c r="K137" s="451"/>
      <c r="L137" s="364"/>
      <c r="M137" s="452" t="s">
        <v>171</v>
      </c>
      <c r="N137" s="415" t="s">
        <v>185</v>
      </c>
      <c r="O137" s="453">
        <v>0.113</v>
      </c>
      <c r="P137" s="453">
        <f t="shared" si="1"/>
        <v>62.602000000000004</v>
      </c>
      <c r="Q137" s="453">
        <v>0</v>
      </c>
      <c r="R137" s="453">
        <f t="shared" si="2"/>
        <v>0</v>
      </c>
      <c r="S137" s="453">
        <v>0.4</v>
      </c>
      <c r="T137" s="454">
        <f t="shared" si="3"/>
        <v>221.60000000000002</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1242</v>
      </c>
    </row>
    <row r="138" spans="2:65" s="365" customFormat="1" ht="33" customHeight="1" x14ac:dyDescent="0.25">
      <c r="B138" s="364"/>
      <c r="C138" s="445" t="s">
        <v>162</v>
      </c>
      <c r="D138" s="445" t="s">
        <v>218</v>
      </c>
      <c r="E138" s="446" t="s">
        <v>1089</v>
      </c>
      <c r="F138" s="447" t="s">
        <v>233</v>
      </c>
      <c r="G138" s="448" t="s">
        <v>111</v>
      </c>
      <c r="H138" s="449">
        <v>42</v>
      </c>
      <c r="I138" s="329">
        <v>0</v>
      </c>
      <c r="J138" s="450">
        <f t="shared" si="0"/>
        <v>0</v>
      </c>
      <c r="K138" s="451"/>
      <c r="L138" s="364"/>
      <c r="M138" s="452" t="s">
        <v>171</v>
      </c>
      <c r="N138" s="415" t="s">
        <v>185</v>
      </c>
      <c r="O138" s="453">
        <v>0.187</v>
      </c>
      <c r="P138" s="453">
        <f t="shared" si="1"/>
        <v>7.8540000000000001</v>
      </c>
      <c r="Q138" s="453">
        <v>0</v>
      </c>
      <c r="R138" s="453">
        <f t="shared" si="2"/>
        <v>0</v>
      </c>
      <c r="S138" s="453">
        <v>0.22500000000000001</v>
      </c>
      <c r="T138" s="454">
        <f t="shared" si="3"/>
        <v>9.4500000000000011</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1243</v>
      </c>
    </row>
    <row r="139" spans="2:65" s="365" customFormat="1" ht="33" customHeight="1" x14ac:dyDescent="0.25">
      <c r="B139" s="364"/>
      <c r="C139" s="445" t="s">
        <v>221</v>
      </c>
      <c r="D139" s="445" t="s">
        <v>218</v>
      </c>
      <c r="E139" s="446" t="s">
        <v>699</v>
      </c>
      <c r="F139" s="447" t="s">
        <v>700</v>
      </c>
      <c r="G139" s="448" t="s">
        <v>111</v>
      </c>
      <c r="H139" s="449">
        <v>554</v>
      </c>
      <c r="I139" s="329">
        <v>0</v>
      </c>
      <c r="J139" s="450">
        <f t="shared" si="0"/>
        <v>0</v>
      </c>
      <c r="K139" s="451"/>
      <c r="L139" s="364"/>
      <c r="M139" s="452" t="s">
        <v>171</v>
      </c>
      <c r="N139" s="415" t="s">
        <v>185</v>
      </c>
      <c r="O139" s="453">
        <v>0.1867</v>
      </c>
      <c r="P139" s="453">
        <f t="shared" si="1"/>
        <v>103.43180000000001</v>
      </c>
      <c r="Q139" s="453">
        <v>0</v>
      </c>
      <c r="R139" s="453">
        <f t="shared" si="2"/>
        <v>0</v>
      </c>
      <c r="S139" s="453">
        <v>0.5</v>
      </c>
      <c r="T139" s="454">
        <f t="shared" si="3"/>
        <v>277</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1244</v>
      </c>
    </row>
    <row r="140" spans="2:65" s="365" customFormat="1" ht="24.2" customHeight="1" x14ac:dyDescent="0.25">
      <c r="B140" s="364"/>
      <c r="C140" s="445" t="s">
        <v>222</v>
      </c>
      <c r="D140" s="445" t="s">
        <v>218</v>
      </c>
      <c r="E140" s="446" t="s">
        <v>702</v>
      </c>
      <c r="F140" s="447" t="s">
        <v>703</v>
      </c>
      <c r="G140" s="448" t="s">
        <v>111</v>
      </c>
      <c r="H140" s="449">
        <v>554</v>
      </c>
      <c r="I140" s="329">
        <v>0</v>
      </c>
      <c r="J140" s="450">
        <f t="shared" si="0"/>
        <v>0</v>
      </c>
      <c r="K140" s="451"/>
      <c r="L140" s="364"/>
      <c r="M140" s="452" t="s">
        <v>171</v>
      </c>
      <c r="N140" s="415" t="s">
        <v>185</v>
      </c>
      <c r="O140" s="453">
        <v>0.125</v>
      </c>
      <c r="P140" s="453">
        <f t="shared" si="1"/>
        <v>69.25</v>
      </c>
      <c r="Q140" s="453">
        <v>0</v>
      </c>
      <c r="R140" s="453">
        <f t="shared" si="2"/>
        <v>0</v>
      </c>
      <c r="S140" s="453">
        <v>0.375</v>
      </c>
      <c r="T140" s="454">
        <f t="shared" si="3"/>
        <v>207.75</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1245</v>
      </c>
    </row>
    <row r="141" spans="2:65" s="365" customFormat="1" ht="24.2" customHeight="1" x14ac:dyDescent="0.25">
      <c r="B141" s="364"/>
      <c r="C141" s="445" t="s">
        <v>223</v>
      </c>
      <c r="D141" s="445" t="s">
        <v>218</v>
      </c>
      <c r="E141" s="446" t="s">
        <v>1246</v>
      </c>
      <c r="F141" s="447" t="s">
        <v>1247</v>
      </c>
      <c r="G141" s="448" t="s">
        <v>111</v>
      </c>
      <c r="H141" s="449">
        <v>1800</v>
      </c>
      <c r="I141" s="329">
        <v>0</v>
      </c>
      <c r="J141" s="450">
        <f t="shared" si="0"/>
        <v>0</v>
      </c>
      <c r="K141" s="451"/>
      <c r="L141" s="364"/>
      <c r="M141" s="452" t="s">
        <v>171</v>
      </c>
      <c r="N141" s="415" t="s">
        <v>185</v>
      </c>
      <c r="O141" s="453">
        <v>8.6999999999999994E-2</v>
      </c>
      <c r="P141" s="453">
        <f t="shared" si="1"/>
        <v>156.6</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1248</v>
      </c>
    </row>
    <row r="142" spans="2:65" s="365" customFormat="1" ht="24.2" customHeight="1" x14ac:dyDescent="0.25">
      <c r="B142" s="364"/>
      <c r="C142" s="445" t="s">
        <v>225</v>
      </c>
      <c r="D142" s="445" t="s">
        <v>218</v>
      </c>
      <c r="E142" s="446" t="s">
        <v>1249</v>
      </c>
      <c r="F142" s="447" t="s">
        <v>1250</v>
      </c>
      <c r="G142" s="448" t="s">
        <v>114</v>
      </c>
      <c r="H142" s="449">
        <v>99</v>
      </c>
      <c r="I142" s="329">
        <v>0</v>
      </c>
      <c r="J142" s="450">
        <f t="shared" si="0"/>
        <v>0</v>
      </c>
      <c r="K142" s="451"/>
      <c r="L142" s="364"/>
      <c r="M142" s="452" t="s">
        <v>171</v>
      </c>
      <c r="N142" s="415" t="s">
        <v>185</v>
      </c>
      <c r="O142" s="453">
        <v>0.59799999999999998</v>
      </c>
      <c r="P142" s="453">
        <f t="shared" si="1"/>
        <v>59.201999999999998</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1251</v>
      </c>
    </row>
    <row r="143" spans="2:65" s="365" customFormat="1" ht="37.9" customHeight="1" x14ac:dyDescent="0.25">
      <c r="B143" s="364"/>
      <c r="C143" s="445" t="s">
        <v>226</v>
      </c>
      <c r="D143" s="445" t="s">
        <v>218</v>
      </c>
      <c r="E143" s="446" t="s">
        <v>712</v>
      </c>
      <c r="F143" s="447" t="s">
        <v>1252</v>
      </c>
      <c r="G143" s="448" t="s">
        <v>114</v>
      </c>
      <c r="H143" s="449">
        <v>56.7</v>
      </c>
      <c r="I143" s="329">
        <v>0</v>
      </c>
      <c r="J143" s="450">
        <f t="shared" si="0"/>
        <v>0</v>
      </c>
      <c r="K143" s="451"/>
      <c r="L143" s="364"/>
      <c r="M143" s="452" t="s">
        <v>171</v>
      </c>
      <c r="N143" s="415" t="s">
        <v>185</v>
      </c>
      <c r="O143" s="453">
        <v>4.8899999999999999E-2</v>
      </c>
      <c r="P143" s="453">
        <f t="shared" si="1"/>
        <v>2.7726299999999999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1253</v>
      </c>
    </row>
    <row r="144" spans="2:65" s="365" customFormat="1" ht="44.25" customHeight="1" x14ac:dyDescent="0.25">
      <c r="B144" s="364"/>
      <c r="C144" s="445" t="s">
        <v>227</v>
      </c>
      <c r="D144" s="445" t="s">
        <v>218</v>
      </c>
      <c r="E144" s="446" t="s">
        <v>714</v>
      </c>
      <c r="F144" s="447" t="s">
        <v>1254</v>
      </c>
      <c r="G144" s="448" t="s">
        <v>114</v>
      </c>
      <c r="H144" s="449">
        <v>1134</v>
      </c>
      <c r="I144" s="329">
        <v>0</v>
      </c>
      <c r="J144" s="450">
        <f t="shared" si="0"/>
        <v>0</v>
      </c>
      <c r="K144" s="451"/>
      <c r="L144" s="364"/>
      <c r="M144" s="452" t="s">
        <v>171</v>
      </c>
      <c r="N144" s="415" t="s">
        <v>185</v>
      </c>
      <c r="O144" s="453">
        <v>5.3899999999999998E-3</v>
      </c>
      <c r="P144" s="453">
        <f t="shared" si="1"/>
        <v>6.11226</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1255</v>
      </c>
    </row>
    <row r="145" spans="2:65" s="365" customFormat="1" ht="33" customHeight="1" x14ac:dyDescent="0.25">
      <c r="B145" s="364"/>
      <c r="C145" s="445" t="s">
        <v>228</v>
      </c>
      <c r="D145" s="445" t="s">
        <v>218</v>
      </c>
      <c r="E145" s="446" t="s">
        <v>724</v>
      </c>
      <c r="F145" s="447" t="s">
        <v>725</v>
      </c>
      <c r="G145" s="448" t="s">
        <v>114</v>
      </c>
      <c r="H145" s="449">
        <v>27</v>
      </c>
      <c r="I145" s="329">
        <v>0</v>
      </c>
      <c r="J145" s="450">
        <f t="shared" si="0"/>
        <v>0</v>
      </c>
      <c r="K145" s="451"/>
      <c r="L145" s="364"/>
      <c r="M145" s="452" t="s">
        <v>171</v>
      </c>
      <c r="N145" s="415" t="s">
        <v>185</v>
      </c>
      <c r="O145" s="453">
        <v>4.2000000000000003E-2</v>
      </c>
      <c r="P145" s="453">
        <f t="shared" si="1"/>
        <v>1.1340000000000001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726</v>
      </c>
    </row>
    <row r="146" spans="2:65" s="365" customFormat="1" ht="21.75" customHeight="1" x14ac:dyDescent="0.25">
      <c r="B146" s="364"/>
      <c r="C146" s="445" t="s">
        <v>229</v>
      </c>
      <c r="D146" s="445" t="s">
        <v>218</v>
      </c>
      <c r="E146" s="446" t="s">
        <v>1256</v>
      </c>
      <c r="F146" s="447" t="s">
        <v>1257</v>
      </c>
      <c r="G146" s="448" t="s">
        <v>114</v>
      </c>
      <c r="H146" s="449">
        <v>29.7</v>
      </c>
      <c r="I146" s="329">
        <v>0</v>
      </c>
      <c r="J146" s="450">
        <f t="shared" si="0"/>
        <v>0</v>
      </c>
      <c r="K146" s="451"/>
      <c r="L146" s="364"/>
      <c r="M146" s="452" t="s">
        <v>171</v>
      </c>
      <c r="N146" s="415" t="s">
        <v>185</v>
      </c>
      <c r="O146" s="453">
        <v>8.9999999999999993E-3</v>
      </c>
      <c r="P146" s="453">
        <f t="shared" si="1"/>
        <v>0.26729999999999998</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1258</v>
      </c>
    </row>
    <row r="147" spans="2:65" s="365" customFormat="1" ht="33" customHeight="1" x14ac:dyDescent="0.25">
      <c r="B147" s="364"/>
      <c r="C147" s="445" t="s">
        <v>231</v>
      </c>
      <c r="D147" s="445" t="s">
        <v>218</v>
      </c>
      <c r="E147" s="446" t="s">
        <v>444</v>
      </c>
      <c r="F147" s="472" t="s">
        <v>3095</v>
      </c>
      <c r="G147" s="473" t="s">
        <v>112</v>
      </c>
      <c r="H147" s="474">
        <f>Ponuka!S118+Ponuka!Q118</f>
        <v>121.42500000000004</v>
      </c>
      <c r="I147" s="329">
        <v>0</v>
      </c>
      <c r="J147" s="450">
        <f t="shared" si="0"/>
        <v>0</v>
      </c>
      <c r="K147" s="451"/>
      <c r="L147" s="364"/>
      <c r="M147" s="452" t="s">
        <v>171</v>
      </c>
      <c r="N147" s="415" t="s">
        <v>185</v>
      </c>
      <c r="O147" s="453">
        <v>0</v>
      </c>
      <c r="P147" s="453">
        <f t="shared" si="1"/>
        <v>0</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1259</v>
      </c>
    </row>
    <row r="148" spans="2:65" s="365" customFormat="1" ht="24.2" customHeight="1" x14ac:dyDescent="0.25">
      <c r="B148" s="364"/>
      <c r="C148" s="445" t="s">
        <v>232</v>
      </c>
      <c r="D148" s="445" t="s">
        <v>218</v>
      </c>
      <c r="E148" s="446" t="s">
        <v>727</v>
      </c>
      <c r="F148" s="447" t="s">
        <v>1260</v>
      </c>
      <c r="G148" s="448" t="s">
        <v>111</v>
      </c>
      <c r="H148" s="449">
        <v>85</v>
      </c>
      <c r="I148" s="329">
        <v>0</v>
      </c>
      <c r="J148" s="450">
        <f t="shared" si="0"/>
        <v>0</v>
      </c>
      <c r="K148" s="451"/>
      <c r="L148" s="364"/>
      <c r="M148" s="452" t="s">
        <v>171</v>
      </c>
      <c r="N148" s="415" t="s">
        <v>185</v>
      </c>
      <c r="O148" s="453">
        <v>6.0999999999999999E-2</v>
      </c>
      <c r="P148" s="453">
        <f t="shared" si="1"/>
        <v>5.1849999999999996</v>
      </c>
      <c r="Q148" s="453">
        <v>0</v>
      </c>
      <c r="R148" s="453">
        <f t="shared" si="2"/>
        <v>0</v>
      </c>
      <c r="S148" s="453">
        <v>0</v>
      </c>
      <c r="T148" s="454">
        <f t="shared" si="3"/>
        <v>0</v>
      </c>
      <c r="AR148" s="455" t="s">
        <v>110</v>
      </c>
      <c r="AT148" s="455" t="s">
        <v>218</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729</v>
      </c>
    </row>
    <row r="149" spans="2:65" s="365" customFormat="1" ht="16.5" customHeight="1" x14ac:dyDescent="0.25">
      <c r="B149" s="364"/>
      <c r="C149" s="457" t="s">
        <v>234</v>
      </c>
      <c r="D149" s="457" t="s">
        <v>259</v>
      </c>
      <c r="E149" s="458" t="s">
        <v>730</v>
      </c>
      <c r="F149" s="459" t="s">
        <v>731</v>
      </c>
      <c r="G149" s="460" t="s">
        <v>536</v>
      </c>
      <c r="H149" s="461">
        <v>24</v>
      </c>
      <c r="I149" s="330">
        <v>0</v>
      </c>
      <c r="J149" s="462">
        <f t="shared" si="0"/>
        <v>0</v>
      </c>
      <c r="K149" s="463"/>
      <c r="L149" s="464"/>
      <c r="M149" s="465" t="s">
        <v>171</v>
      </c>
      <c r="N149" s="466" t="s">
        <v>185</v>
      </c>
      <c r="O149" s="453">
        <v>0</v>
      </c>
      <c r="P149" s="453">
        <f t="shared" si="1"/>
        <v>0</v>
      </c>
      <c r="Q149" s="453">
        <v>1E-3</v>
      </c>
      <c r="R149" s="453">
        <f t="shared" si="2"/>
        <v>2.4E-2</v>
      </c>
      <c r="S149" s="453">
        <v>0</v>
      </c>
      <c r="T149" s="454">
        <f t="shared" si="3"/>
        <v>0</v>
      </c>
      <c r="AR149" s="455" t="s">
        <v>115</v>
      </c>
      <c r="AT149" s="455" t="s">
        <v>259</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732</v>
      </c>
    </row>
    <row r="150" spans="2:65" s="365" customFormat="1" ht="24.2" customHeight="1" x14ac:dyDescent="0.25">
      <c r="B150" s="364"/>
      <c r="C150" s="445" t="s">
        <v>235</v>
      </c>
      <c r="D150" s="445" t="s">
        <v>218</v>
      </c>
      <c r="E150" s="446" t="s">
        <v>1261</v>
      </c>
      <c r="F150" s="447" t="s">
        <v>1262</v>
      </c>
      <c r="G150" s="448" t="s">
        <v>111</v>
      </c>
      <c r="H150" s="449">
        <v>420</v>
      </c>
      <c r="I150" s="329">
        <v>0</v>
      </c>
      <c r="J150" s="450">
        <f t="shared" si="0"/>
        <v>0</v>
      </c>
      <c r="K150" s="451"/>
      <c r="L150" s="364"/>
      <c r="M150" s="452" t="s">
        <v>171</v>
      </c>
      <c r="N150" s="415" t="s">
        <v>185</v>
      </c>
      <c r="O150" s="453">
        <v>0.57399999999999995</v>
      </c>
      <c r="P150" s="453">
        <f t="shared" si="1"/>
        <v>241.07999999999998</v>
      </c>
      <c r="Q150" s="453">
        <v>0</v>
      </c>
      <c r="R150" s="453">
        <f t="shared" si="2"/>
        <v>0</v>
      </c>
      <c r="S150" s="453">
        <v>0</v>
      </c>
      <c r="T150" s="454">
        <f t="shared" si="3"/>
        <v>0</v>
      </c>
      <c r="AR150" s="455" t="s">
        <v>110</v>
      </c>
      <c r="AT150" s="455" t="s">
        <v>218</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1263</v>
      </c>
    </row>
    <row r="151" spans="2:65" s="365" customFormat="1" ht="24.2" customHeight="1" x14ac:dyDescent="0.25">
      <c r="B151" s="364"/>
      <c r="C151" s="445" t="s">
        <v>236</v>
      </c>
      <c r="D151" s="445" t="s">
        <v>218</v>
      </c>
      <c r="E151" s="446" t="s">
        <v>733</v>
      </c>
      <c r="F151" s="447" t="s">
        <v>1264</v>
      </c>
      <c r="G151" s="448" t="s">
        <v>111</v>
      </c>
      <c r="H151" s="449">
        <v>85</v>
      </c>
      <c r="I151" s="329">
        <v>0</v>
      </c>
      <c r="J151" s="450">
        <f t="shared" si="0"/>
        <v>0</v>
      </c>
      <c r="K151" s="451"/>
      <c r="L151" s="364"/>
      <c r="M151" s="452" t="s">
        <v>171</v>
      </c>
      <c r="N151" s="415" t="s">
        <v>185</v>
      </c>
      <c r="O151" s="453">
        <v>1.7999999999999999E-2</v>
      </c>
      <c r="P151" s="453">
        <f t="shared" si="1"/>
        <v>1.5299999999999998</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735</v>
      </c>
    </row>
    <row r="152" spans="2:65" s="365" customFormat="1" ht="16.5" customHeight="1" x14ac:dyDescent="0.25">
      <c r="B152" s="364"/>
      <c r="C152" s="457" t="s">
        <v>237</v>
      </c>
      <c r="D152" s="457" t="s">
        <v>259</v>
      </c>
      <c r="E152" s="458" t="s">
        <v>736</v>
      </c>
      <c r="F152" s="459" t="s">
        <v>1265</v>
      </c>
      <c r="G152" s="460" t="s">
        <v>112</v>
      </c>
      <c r="H152" s="461">
        <v>257</v>
      </c>
      <c r="I152" s="330">
        <v>0</v>
      </c>
      <c r="J152" s="462">
        <f t="shared" si="0"/>
        <v>0</v>
      </c>
      <c r="K152" s="463"/>
      <c r="L152" s="464"/>
      <c r="M152" s="465" t="s">
        <v>171</v>
      </c>
      <c r="N152" s="466" t="s">
        <v>185</v>
      </c>
      <c r="O152" s="453">
        <v>0</v>
      </c>
      <c r="P152" s="453">
        <f t="shared" si="1"/>
        <v>0</v>
      </c>
      <c r="Q152" s="453">
        <v>1</v>
      </c>
      <c r="R152" s="453">
        <f t="shared" si="2"/>
        <v>257</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738</v>
      </c>
    </row>
    <row r="153" spans="2:65" s="434" customFormat="1" ht="22.9" customHeight="1" x14ac:dyDescent="0.2">
      <c r="B153" s="433"/>
      <c r="D153" s="435" t="s">
        <v>216</v>
      </c>
      <c r="E153" s="443" t="s">
        <v>118</v>
      </c>
      <c r="F153" s="443" t="s">
        <v>739</v>
      </c>
      <c r="I153" s="331"/>
      <c r="J153" s="444">
        <f>BK153</f>
        <v>0</v>
      </c>
      <c r="L153" s="433"/>
      <c r="M153" s="438"/>
      <c r="P153" s="439">
        <f>SUM(P154:P174)</f>
        <v>1385.1821000000002</v>
      </c>
      <c r="R153" s="439">
        <f>SUM(R154:R174)</f>
        <v>2684.7977542499993</v>
      </c>
      <c r="T153" s="440">
        <f>SUM(T154:T174)</f>
        <v>0</v>
      </c>
      <c r="AR153" s="435" t="s">
        <v>109</v>
      </c>
      <c r="AT153" s="441" t="s">
        <v>216</v>
      </c>
      <c r="AU153" s="441" t="s">
        <v>109</v>
      </c>
      <c r="AY153" s="435" t="s">
        <v>217</v>
      </c>
      <c r="BK153" s="442">
        <f>SUM(BK154:BK174)</f>
        <v>0</v>
      </c>
    </row>
    <row r="154" spans="2:65" s="365" customFormat="1" ht="44.25" customHeight="1" x14ac:dyDescent="0.25">
      <c r="B154" s="364"/>
      <c r="C154" s="445" t="s">
        <v>238</v>
      </c>
      <c r="D154" s="445" t="s">
        <v>218</v>
      </c>
      <c r="E154" s="446" t="s">
        <v>1001</v>
      </c>
      <c r="F154" s="447" t="s">
        <v>1002</v>
      </c>
      <c r="G154" s="448" t="s">
        <v>111</v>
      </c>
      <c r="H154" s="449">
        <v>60</v>
      </c>
      <c r="I154" s="329">
        <v>0</v>
      </c>
      <c r="J154" s="450">
        <f t="shared" ref="J154:J174" si="10">ROUND(I154*H154,2)</f>
        <v>0</v>
      </c>
      <c r="K154" s="451"/>
      <c r="L154" s="364"/>
      <c r="M154" s="452" t="s">
        <v>171</v>
      </c>
      <c r="N154" s="415" t="s">
        <v>185</v>
      </c>
      <c r="O154" s="453">
        <v>6.3E-2</v>
      </c>
      <c r="P154" s="453">
        <f t="shared" ref="P154:P174" si="11">O154*H154</f>
        <v>3.7800000000000002</v>
      </c>
      <c r="Q154" s="453">
        <v>0.7102368</v>
      </c>
      <c r="R154" s="453">
        <f t="shared" ref="R154:R174" si="12">Q154*H154</f>
        <v>42.614207999999998</v>
      </c>
      <c r="S154" s="453">
        <v>0</v>
      </c>
      <c r="T154" s="454">
        <f t="shared" ref="T154:T174" si="13">S154*H154</f>
        <v>0</v>
      </c>
      <c r="AR154" s="455" t="s">
        <v>110</v>
      </c>
      <c r="AT154" s="455" t="s">
        <v>218</v>
      </c>
      <c r="AU154" s="455" t="s">
        <v>108</v>
      </c>
      <c r="AY154" s="357" t="s">
        <v>217</v>
      </c>
      <c r="BE154" s="456">
        <f t="shared" ref="BE154:BE174" si="14">IF(N154="základná",J154,0)</f>
        <v>0</v>
      </c>
      <c r="BF154" s="456">
        <f t="shared" ref="BF154:BF174" si="15">IF(N154="znížená",J154,0)</f>
        <v>0</v>
      </c>
      <c r="BG154" s="456">
        <f t="shared" ref="BG154:BG174" si="16">IF(N154="zákl. prenesená",J154,0)</f>
        <v>0</v>
      </c>
      <c r="BH154" s="456">
        <f t="shared" ref="BH154:BH174" si="17">IF(N154="zníž. prenesená",J154,0)</f>
        <v>0</v>
      </c>
      <c r="BI154" s="456">
        <f t="shared" ref="BI154:BI174" si="18">IF(N154="nulová",J154,0)</f>
        <v>0</v>
      </c>
      <c r="BJ154" s="357" t="s">
        <v>108</v>
      </c>
      <c r="BK154" s="456">
        <f t="shared" ref="BK154:BK174" si="19">ROUND(I154*H154,2)</f>
        <v>0</v>
      </c>
      <c r="BL154" s="357" t="s">
        <v>110</v>
      </c>
      <c r="BM154" s="455" t="s">
        <v>1266</v>
      </c>
    </row>
    <row r="155" spans="2:65" s="365" customFormat="1" ht="37.9" customHeight="1" x14ac:dyDescent="0.25">
      <c r="B155" s="364"/>
      <c r="C155" s="445" t="s">
        <v>239</v>
      </c>
      <c r="D155" s="445" t="s">
        <v>218</v>
      </c>
      <c r="E155" s="446" t="s">
        <v>755</v>
      </c>
      <c r="F155" s="447" t="s">
        <v>1267</v>
      </c>
      <c r="G155" s="448" t="s">
        <v>111</v>
      </c>
      <c r="H155" s="449">
        <v>1594</v>
      </c>
      <c r="I155" s="329">
        <v>0</v>
      </c>
      <c r="J155" s="450">
        <f t="shared" si="10"/>
        <v>0</v>
      </c>
      <c r="K155" s="451"/>
      <c r="L155" s="364"/>
      <c r="M155" s="452" t="s">
        <v>171</v>
      </c>
      <c r="N155" s="415" t="s">
        <v>185</v>
      </c>
      <c r="O155" s="453">
        <v>4.8000000000000001E-2</v>
      </c>
      <c r="P155" s="453">
        <f t="shared" si="11"/>
        <v>76.512</v>
      </c>
      <c r="Q155" s="453">
        <v>5.8100000000000001E-3</v>
      </c>
      <c r="R155" s="453">
        <f t="shared" si="12"/>
        <v>9.2611399999999993</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1268</v>
      </c>
    </row>
    <row r="156" spans="2:65" s="365" customFormat="1" ht="37.9" customHeight="1" x14ac:dyDescent="0.25">
      <c r="B156" s="364"/>
      <c r="C156" s="445" t="s">
        <v>240</v>
      </c>
      <c r="D156" s="445" t="s">
        <v>218</v>
      </c>
      <c r="E156" s="446" t="s">
        <v>758</v>
      </c>
      <c r="F156" s="447" t="s">
        <v>1269</v>
      </c>
      <c r="G156" s="448" t="s">
        <v>111</v>
      </c>
      <c r="H156" s="449">
        <v>2872</v>
      </c>
      <c r="I156" s="329">
        <v>0</v>
      </c>
      <c r="J156" s="450">
        <f t="shared" si="10"/>
        <v>0</v>
      </c>
      <c r="K156" s="451"/>
      <c r="L156" s="364"/>
      <c r="M156" s="452" t="s">
        <v>171</v>
      </c>
      <c r="N156" s="415" t="s">
        <v>185</v>
      </c>
      <c r="O156" s="453">
        <v>7.0999999999999994E-2</v>
      </c>
      <c r="P156" s="453">
        <f t="shared" si="11"/>
        <v>203.91199999999998</v>
      </c>
      <c r="Q156" s="453">
        <v>0.12966</v>
      </c>
      <c r="R156" s="453">
        <f t="shared" si="12"/>
        <v>372.38351999999998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760</v>
      </c>
    </row>
    <row r="157" spans="2:65" s="365" customFormat="1" ht="37.9" customHeight="1" x14ac:dyDescent="0.25">
      <c r="B157" s="364"/>
      <c r="C157" s="445" t="s">
        <v>241</v>
      </c>
      <c r="D157" s="445" t="s">
        <v>218</v>
      </c>
      <c r="E157" s="446" t="s">
        <v>761</v>
      </c>
      <c r="F157" s="447" t="s">
        <v>1270</v>
      </c>
      <c r="G157" s="448" t="s">
        <v>111</v>
      </c>
      <c r="H157" s="449">
        <v>4780</v>
      </c>
      <c r="I157" s="329">
        <v>0</v>
      </c>
      <c r="J157" s="450">
        <f t="shared" si="10"/>
        <v>0</v>
      </c>
      <c r="K157" s="451"/>
      <c r="L157" s="364"/>
      <c r="M157" s="452" t="s">
        <v>171</v>
      </c>
      <c r="N157" s="415" t="s">
        <v>185</v>
      </c>
      <c r="O157" s="453">
        <v>8.5000000000000006E-2</v>
      </c>
      <c r="P157" s="453">
        <f t="shared" si="11"/>
        <v>406.3</v>
      </c>
      <c r="Q157" s="453">
        <v>0.18462999999999999</v>
      </c>
      <c r="R157" s="453">
        <f t="shared" si="12"/>
        <v>882.53139999999996</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763</v>
      </c>
    </row>
    <row r="158" spans="2:65" s="365" customFormat="1" ht="37.9" customHeight="1" x14ac:dyDescent="0.25">
      <c r="B158" s="364"/>
      <c r="C158" s="445" t="s">
        <v>242</v>
      </c>
      <c r="D158" s="445" t="s">
        <v>218</v>
      </c>
      <c r="E158" s="446" t="s">
        <v>764</v>
      </c>
      <c r="F158" s="447" t="s">
        <v>1271</v>
      </c>
      <c r="G158" s="448" t="s">
        <v>111</v>
      </c>
      <c r="H158" s="449">
        <v>275</v>
      </c>
      <c r="I158" s="329">
        <v>0</v>
      </c>
      <c r="J158" s="450">
        <f t="shared" si="10"/>
        <v>0</v>
      </c>
      <c r="K158" s="451"/>
      <c r="L158" s="364"/>
      <c r="M158" s="452" t="s">
        <v>171</v>
      </c>
      <c r="N158" s="415" t="s">
        <v>185</v>
      </c>
      <c r="O158" s="453">
        <v>2.5100000000000001E-2</v>
      </c>
      <c r="P158" s="453">
        <f t="shared" si="11"/>
        <v>6.9024999999999999</v>
      </c>
      <c r="Q158" s="453">
        <v>0.43096599000000002</v>
      </c>
      <c r="R158" s="453">
        <f t="shared" si="12"/>
        <v>118.51564725</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766</v>
      </c>
    </row>
    <row r="159" spans="2:65" s="365" customFormat="1" ht="33" customHeight="1" x14ac:dyDescent="0.25">
      <c r="B159" s="364"/>
      <c r="C159" s="445" t="s">
        <v>243</v>
      </c>
      <c r="D159" s="445" t="s">
        <v>218</v>
      </c>
      <c r="E159" s="446" t="s">
        <v>767</v>
      </c>
      <c r="F159" s="447" t="s">
        <v>1272</v>
      </c>
      <c r="G159" s="448" t="s">
        <v>111</v>
      </c>
      <c r="H159" s="449">
        <v>1470</v>
      </c>
      <c r="I159" s="329">
        <v>0</v>
      </c>
      <c r="J159" s="450">
        <f t="shared" si="10"/>
        <v>0</v>
      </c>
      <c r="K159" s="451"/>
      <c r="L159" s="364"/>
      <c r="M159" s="452" t="s">
        <v>171</v>
      </c>
      <c r="N159" s="415" t="s">
        <v>185</v>
      </c>
      <c r="O159" s="453">
        <v>3.6119999999999999E-2</v>
      </c>
      <c r="P159" s="453">
        <f t="shared" si="11"/>
        <v>53.096399999999996</v>
      </c>
      <c r="Q159" s="453">
        <v>0.46</v>
      </c>
      <c r="R159" s="453">
        <f t="shared" si="12"/>
        <v>676.2</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769</v>
      </c>
    </row>
    <row r="160" spans="2:65" s="365" customFormat="1" ht="37.9" customHeight="1" x14ac:dyDescent="0.25">
      <c r="B160" s="364"/>
      <c r="C160" s="445" t="s">
        <v>244</v>
      </c>
      <c r="D160" s="445" t="s">
        <v>218</v>
      </c>
      <c r="E160" s="446" t="s">
        <v>770</v>
      </c>
      <c r="F160" s="447" t="s">
        <v>1273</v>
      </c>
      <c r="G160" s="448" t="s">
        <v>111</v>
      </c>
      <c r="H160" s="449">
        <v>3988</v>
      </c>
      <c r="I160" s="329">
        <v>0</v>
      </c>
      <c r="J160" s="450">
        <f t="shared" si="10"/>
        <v>0</v>
      </c>
      <c r="K160" s="451"/>
      <c r="L160" s="364"/>
      <c r="M160" s="452" t="s">
        <v>171</v>
      </c>
      <c r="N160" s="415" t="s">
        <v>185</v>
      </c>
      <c r="O160" s="453">
        <v>2.3999999999999998E-3</v>
      </c>
      <c r="P160" s="453">
        <f t="shared" si="11"/>
        <v>9.5711999999999993</v>
      </c>
      <c r="Q160" s="453">
        <v>5.1000000000000004E-4</v>
      </c>
      <c r="R160" s="453">
        <f t="shared" si="12"/>
        <v>2.0338800000000004</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772</v>
      </c>
    </row>
    <row r="161" spans="2:65" s="365" customFormat="1" ht="33" customHeight="1" x14ac:dyDescent="0.25">
      <c r="B161" s="364"/>
      <c r="C161" s="445" t="s">
        <v>245</v>
      </c>
      <c r="D161" s="445" t="s">
        <v>218</v>
      </c>
      <c r="E161" s="446" t="s">
        <v>773</v>
      </c>
      <c r="F161" s="447" t="s">
        <v>774</v>
      </c>
      <c r="G161" s="448" t="s">
        <v>111</v>
      </c>
      <c r="H161" s="449">
        <v>1116</v>
      </c>
      <c r="I161" s="329">
        <v>0</v>
      </c>
      <c r="J161" s="450">
        <f t="shared" si="10"/>
        <v>0</v>
      </c>
      <c r="K161" s="451"/>
      <c r="L161" s="364"/>
      <c r="M161" s="452" t="s">
        <v>171</v>
      </c>
      <c r="N161" s="415" t="s">
        <v>185</v>
      </c>
      <c r="O161" s="453">
        <v>6.6000000000000003E-2</v>
      </c>
      <c r="P161" s="453">
        <f t="shared" si="11"/>
        <v>73.656000000000006</v>
      </c>
      <c r="Q161" s="453">
        <v>0.10373</v>
      </c>
      <c r="R161" s="453">
        <f t="shared" si="12"/>
        <v>115.76268</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775</v>
      </c>
    </row>
    <row r="162" spans="2:65" s="365" customFormat="1" ht="37.9" customHeight="1" x14ac:dyDescent="0.25">
      <c r="B162" s="364"/>
      <c r="C162" s="445" t="s">
        <v>246</v>
      </c>
      <c r="D162" s="445" t="s">
        <v>218</v>
      </c>
      <c r="E162" s="446" t="s">
        <v>776</v>
      </c>
      <c r="F162" s="447" t="s">
        <v>1274</v>
      </c>
      <c r="G162" s="448" t="s">
        <v>111</v>
      </c>
      <c r="H162" s="449">
        <v>1116</v>
      </c>
      <c r="I162" s="329">
        <v>0</v>
      </c>
      <c r="J162" s="450">
        <f t="shared" si="10"/>
        <v>0</v>
      </c>
      <c r="K162" s="451"/>
      <c r="L162" s="364"/>
      <c r="M162" s="452" t="s">
        <v>171</v>
      </c>
      <c r="N162" s="415" t="s">
        <v>185</v>
      </c>
      <c r="O162" s="453">
        <v>0.107</v>
      </c>
      <c r="P162" s="453">
        <f t="shared" si="11"/>
        <v>119.41199999999999</v>
      </c>
      <c r="Q162" s="453">
        <v>0.26375999999999999</v>
      </c>
      <c r="R162" s="453">
        <f t="shared" si="12"/>
        <v>294.35615999999999</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778</v>
      </c>
    </row>
    <row r="163" spans="2:65" s="365" customFormat="1" ht="24.2" customHeight="1" x14ac:dyDescent="0.25">
      <c r="B163" s="364"/>
      <c r="C163" s="445" t="s">
        <v>247</v>
      </c>
      <c r="D163" s="445" t="s">
        <v>218</v>
      </c>
      <c r="E163" s="446" t="s">
        <v>782</v>
      </c>
      <c r="F163" s="447" t="s">
        <v>1275</v>
      </c>
      <c r="G163" s="448" t="s">
        <v>111</v>
      </c>
      <c r="H163" s="449">
        <v>1476</v>
      </c>
      <c r="I163" s="329">
        <v>0</v>
      </c>
      <c r="J163" s="450">
        <f t="shared" si="10"/>
        <v>0</v>
      </c>
      <c r="K163" s="451"/>
      <c r="L163" s="364"/>
      <c r="M163" s="452" t="s">
        <v>171</v>
      </c>
      <c r="N163" s="415" t="s">
        <v>185</v>
      </c>
      <c r="O163" s="453">
        <v>2.9000000000000001E-2</v>
      </c>
      <c r="P163" s="453">
        <f t="shared" si="11"/>
        <v>42.804000000000002</v>
      </c>
      <c r="Q163" s="453">
        <v>3.3000000000000003E-5</v>
      </c>
      <c r="R163" s="453">
        <f t="shared" si="12"/>
        <v>4.8708000000000001E-2</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784</v>
      </c>
    </row>
    <row r="164" spans="2:65" s="365" customFormat="1" ht="24.2" customHeight="1" x14ac:dyDescent="0.25">
      <c r="B164" s="364"/>
      <c r="C164" s="457" t="s">
        <v>248</v>
      </c>
      <c r="D164" s="457" t="s">
        <v>259</v>
      </c>
      <c r="E164" s="458" t="s">
        <v>1136</v>
      </c>
      <c r="F164" s="459" t="s">
        <v>1137</v>
      </c>
      <c r="G164" s="460" t="s">
        <v>123</v>
      </c>
      <c r="H164" s="461">
        <v>12</v>
      </c>
      <c r="I164" s="330">
        <v>0</v>
      </c>
      <c r="J164" s="462">
        <f t="shared" si="10"/>
        <v>0</v>
      </c>
      <c r="K164" s="463"/>
      <c r="L164" s="464"/>
      <c r="M164" s="465" t="s">
        <v>171</v>
      </c>
      <c r="N164" s="466" t="s">
        <v>185</v>
      </c>
      <c r="O164" s="453">
        <v>0</v>
      </c>
      <c r="P164" s="453">
        <f t="shared" si="11"/>
        <v>0</v>
      </c>
      <c r="Q164" s="453">
        <v>6.5000000000000002E-2</v>
      </c>
      <c r="R164" s="453">
        <f t="shared" si="12"/>
        <v>0.78</v>
      </c>
      <c r="S164" s="453">
        <v>0</v>
      </c>
      <c r="T164" s="454">
        <f t="shared" si="13"/>
        <v>0</v>
      </c>
      <c r="AR164" s="455" t="s">
        <v>115</v>
      </c>
      <c r="AT164" s="455" t="s">
        <v>259</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1276</v>
      </c>
    </row>
    <row r="165" spans="2:65" s="365" customFormat="1" ht="24.2" customHeight="1" x14ac:dyDescent="0.25">
      <c r="B165" s="364"/>
      <c r="C165" s="457" t="s">
        <v>249</v>
      </c>
      <c r="D165" s="457" t="s">
        <v>259</v>
      </c>
      <c r="E165" s="458" t="s">
        <v>1277</v>
      </c>
      <c r="F165" s="459" t="s">
        <v>1278</v>
      </c>
      <c r="G165" s="460" t="s">
        <v>111</v>
      </c>
      <c r="H165" s="461">
        <v>1623.6</v>
      </c>
      <c r="I165" s="330">
        <v>0</v>
      </c>
      <c r="J165" s="462">
        <f t="shared" si="10"/>
        <v>0</v>
      </c>
      <c r="K165" s="463"/>
      <c r="L165" s="464"/>
      <c r="M165" s="465" t="s">
        <v>171</v>
      </c>
      <c r="N165" s="466" t="s">
        <v>185</v>
      </c>
      <c r="O165" s="453">
        <v>0</v>
      </c>
      <c r="P165" s="453">
        <f t="shared" si="11"/>
        <v>0</v>
      </c>
      <c r="Q165" s="453">
        <v>2.0000000000000001E-4</v>
      </c>
      <c r="R165" s="453">
        <f t="shared" si="12"/>
        <v>0.32472000000000001</v>
      </c>
      <c r="S165" s="453">
        <v>0</v>
      </c>
      <c r="T165" s="454">
        <f t="shared" si="13"/>
        <v>0</v>
      </c>
      <c r="AR165" s="455" t="s">
        <v>115</v>
      </c>
      <c r="AT165" s="455" t="s">
        <v>259</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1279</v>
      </c>
    </row>
    <row r="166" spans="2:65" s="365" customFormat="1" ht="16.5" customHeight="1" x14ac:dyDescent="0.25">
      <c r="B166" s="364"/>
      <c r="C166" s="457" t="s">
        <v>250</v>
      </c>
      <c r="D166" s="457" t="s">
        <v>259</v>
      </c>
      <c r="E166" s="458" t="s">
        <v>1280</v>
      </c>
      <c r="F166" s="459" t="s">
        <v>1281</v>
      </c>
      <c r="G166" s="460" t="s">
        <v>111</v>
      </c>
      <c r="H166" s="461">
        <v>1476</v>
      </c>
      <c r="I166" s="330">
        <v>0</v>
      </c>
      <c r="J166" s="462">
        <f t="shared" si="10"/>
        <v>0</v>
      </c>
      <c r="K166" s="463"/>
      <c r="L166" s="464"/>
      <c r="M166" s="465" t="s">
        <v>171</v>
      </c>
      <c r="N166" s="466" t="s">
        <v>185</v>
      </c>
      <c r="O166" s="453">
        <v>0</v>
      </c>
      <c r="P166" s="453">
        <f t="shared" si="11"/>
        <v>0</v>
      </c>
      <c r="Q166" s="453">
        <v>2.9999999999999997E-4</v>
      </c>
      <c r="R166" s="453">
        <f t="shared" si="12"/>
        <v>0.44279999999999997</v>
      </c>
      <c r="S166" s="453">
        <v>0</v>
      </c>
      <c r="T166" s="454">
        <f t="shared" si="13"/>
        <v>0</v>
      </c>
      <c r="AR166" s="455" t="s">
        <v>115</v>
      </c>
      <c r="AT166" s="455" t="s">
        <v>259</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1282</v>
      </c>
    </row>
    <row r="167" spans="2:65" s="365" customFormat="1" ht="24.2" customHeight="1" x14ac:dyDescent="0.25">
      <c r="B167" s="364"/>
      <c r="C167" s="445" t="s">
        <v>251</v>
      </c>
      <c r="D167" s="445" t="s">
        <v>218</v>
      </c>
      <c r="E167" s="446" t="s">
        <v>788</v>
      </c>
      <c r="F167" s="447" t="s">
        <v>1283</v>
      </c>
      <c r="G167" s="448" t="s">
        <v>111</v>
      </c>
      <c r="H167" s="449">
        <v>12</v>
      </c>
      <c r="I167" s="329">
        <v>0</v>
      </c>
      <c r="J167" s="450">
        <f t="shared" si="10"/>
        <v>0</v>
      </c>
      <c r="K167" s="451"/>
      <c r="L167" s="364"/>
      <c r="M167" s="452" t="s">
        <v>171</v>
      </c>
      <c r="N167" s="415" t="s">
        <v>185</v>
      </c>
      <c r="O167" s="453">
        <v>0.40500000000000003</v>
      </c>
      <c r="P167" s="453">
        <f t="shared" si="11"/>
        <v>4.8600000000000003</v>
      </c>
      <c r="Q167" s="453">
        <v>0.1837</v>
      </c>
      <c r="R167" s="453">
        <f t="shared" si="12"/>
        <v>2.2044000000000001</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1284</v>
      </c>
    </row>
    <row r="168" spans="2:65" s="365" customFormat="1" ht="33" customHeight="1" x14ac:dyDescent="0.25">
      <c r="B168" s="364"/>
      <c r="C168" s="445" t="s">
        <v>252</v>
      </c>
      <c r="D168" s="445" t="s">
        <v>218</v>
      </c>
      <c r="E168" s="446" t="s">
        <v>800</v>
      </c>
      <c r="F168" s="447" t="s">
        <v>801</v>
      </c>
      <c r="G168" s="448" t="s">
        <v>113</v>
      </c>
      <c r="H168" s="449">
        <v>473</v>
      </c>
      <c r="I168" s="329">
        <v>0</v>
      </c>
      <c r="J168" s="450">
        <f t="shared" si="10"/>
        <v>0</v>
      </c>
      <c r="K168" s="451"/>
      <c r="L168" s="364"/>
      <c r="M168" s="452" t="s">
        <v>171</v>
      </c>
      <c r="N168" s="415" t="s">
        <v>185</v>
      </c>
      <c r="O168" s="453">
        <v>0.192</v>
      </c>
      <c r="P168" s="453">
        <f t="shared" si="11"/>
        <v>90.816000000000003</v>
      </c>
      <c r="Q168" s="453">
        <v>9.8529599999999995E-2</v>
      </c>
      <c r="R168" s="453">
        <f t="shared" si="12"/>
        <v>46.604500799999997</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802</v>
      </c>
    </row>
    <row r="169" spans="2:65" s="365" customFormat="1" ht="16.5" customHeight="1" x14ac:dyDescent="0.25">
      <c r="B169" s="364"/>
      <c r="C169" s="457" t="s">
        <v>253</v>
      </c>
      <c r="D169" s="457" t="s">
        <v>259</v>
      </c>
      <c r="E169" s="458" t="s">
        <v>803</v>
      </c>
      <c r="F169" s="459" t="s">
        <v>804</v>
      </c>
      <c r="G169" s="460" t="s">
        <v>123</v>
      </c>
      <c r="H169" s="461">
        <v>496.65</v>
      </c>
      <c r="I169" s="330">
        <v>0</v>
      </c>
      <c r="J169" s="462">
        <f t="shared" si="10"/>
        <v>0</v>
      </c>
      <c r="K169" s="463"/>
      <c r="L169" s="464"/>
      <c r="M169" s="465" t="s">
        <v>171</v>
      </c>
      <c r="N169" s="466" t="s">
        <v>185</v>
      </c>
      <c r="O169" s="453">
        <v>0</v>
      </c>
      <c r="P169" s="453">
        <f t="shared" si="11"/>
        <v>0</v>
      </c>
      <c r="Q169" s="453">
        <v>4.8000000000000001E-2</v>
      </c>
      <c r="R169" s="453">
        <f t="shared" si="12"/>
        <v>23.839199999999998</v>
      </c>
      <c r="S169" s="453">
        <v>0</v>
      </c>
      <c r="T169" s="454">
        <f t="shared" si="13"/>
        <v>0</v>
      </c>
      <c r="AR169" s="455" t="s">
        <v>115</v>
      </c>
      <c r="AT169" s="455" t="s">
        <v>259</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805</v>
      </c>
    </row>
    <row r="170" spans="2:65" s="365" customFormat="1" ht="33" customHeight="1" x14ac:dyDescent="0.25">
      <c r="B170" s="364"/>
      <c r="C170" s="445" t="s">
        <v>254</v>
      </c>
      <c r="D170" s="445" t="s">
        <v>218</v>
      </c>
      <c r="E170" s="446" t="s">
        <v>1017</v>
      </c>
      <c r="F170" s="447" t="s">
        <v>1285</v>
      </c>
      <c r="G170" s="448" t="s">
        <v>113</v>
      </c>
      <c r="H170" s="449">
        <v>10</v>
      </c>
      <c r="I170" s="329">
        <v>0</v>
      </c>
      <c r="J170" s="450">
        <f t="shared" si="10"/>
        <v>0</v>
      </c>
      <c r="K170" s="451"/>
      <c r="L170" s="364"/>
      <c r="M170" s="452" t="s">
        <v>171</v>
      </c>
      <c r="N170" s="415" t="s">
        <v>185</v>
      </c>
      <c r="O170" s="453">
        <v>0.35</v>
      </c>
      <c r="P170" s="453">
        <f t="shared" si="11"/>
        <v>3.5</v>
      </c>
      <c r="Q170" s="453">
        <v>0.13939441999999999</v>
      </c>
      <c r="R170" s="453">
        <f t="shared" si="12"/>
        <v>1.3939442</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1019</v>
      </c>
    </row>
    <row r="171" spans="2:65" s="365" customFormat="1" ht="16.5" customHeight="1" x14ac:dyDescent="0.25">
      <c r="B171" s="364"/>
      <c r="C171" s="457" t="s">
        <v>255</v>
      </c>
      <c r="D171" s="457" t="s">
        <v>259</v>
      </c>
      <c r="E171" s="458" t="s">
        <v>806</v>
      </c>
      <c r="F171" s="459" t="s">
        <v>1286</v>
      </c>
      <c r="G171" s="460" t="s">
        <v>123</v>
      </c>
      <c r="H171" s="461">
        <v>10</v>
      </c>
      <c r="I171" s="330">
        <v>0</v>
      </c>
      <c r="J171" s="462">
        <f t="shared" si="10"/>
        <v>0</v>
      </c>
      <c r="K171" s="463"/>
      <c r="L171" s="464"/>
      <c r="M171" s="465" t="s">
        <v>171</v>
      </c>
      <c r="N171" s="466" t="s">
        <v>185</v>
      </c>
      <c r="O171" s="453">
        <v>0</v>
      </c>
      <c r="P171" s="453">
        <f t="shared" si="11"/>
        <v>0</v>
      </c>
      <c r="Q171" s="453">
        <v>8.5000000000000006E-2</v>
      </c>
      <c r="R171" s="453">
        <f t="shared" si="12"/>
        <v>0.85000000000000009</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808</v>
      </c>
    </row>
    <row r="172" spans="2:65" s="365" customFormat="1" ht="33" customHeight="1" x14ac:dyDescent="0.25">
      <c r="B172" s="364"/>
      <c r="C172" s="445" t="s">
        <v>256</v>
      </c>
      <c r="D172" s="445" t="s">
        <v>218</v>
      </c>
      <c r="E172" s="446" t="s">
        <v>809</v>
      </c>
      <c r="F172" s="447" t="s">
        <v>810</v>
      </c>
      <c r="G172" s="448" t="s">
        <v>111</v>
      </c>
      <c r="H172" s="449">
        <v>324</v>
      </c>
      <c r="I172" s="329">
        <v>0</v>
      </c>
      <c r="J172" s="450">
        <f t="shared" si="10"/>
        <v>0</v>
      </c>
      <c r="K172" s="451"/>
      <c r="L172" s="364"/>
      <c r="M172" s="452" t="s">
        <v>171</v>
      </c>
      <c r="N172" s="415" t="s">
        <v>185</v>
      </c>
      <c r="O172" s="453">
        <v>5.5E-2</v>
      </c>
      <c r="P172" s="453">
        <f t="shared" si="11"/>
        <v>17.82</v>
      </c>
      <c r="Q172" s="453">
        <v>0.29160000000000003</v>
      </c>
      <c r="R172" s="453">
        <f t="shared" si="12"/>
        <v>94.478400000000008</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811</v>
      </c>
    </row>
    <row r="173" spans="2:65" s="365" customFormat="1" ht="24.2" customHeight="1" x14ac:dyDescent="0.25">
      <c r="B173" s="364"/>
      <c r="C173" s="445" t="s">
        <v>257</v>
      </c>
      <c r="D173" s="445" t="s">
        <v>218</v>
      </c>
      <c r="E173" s="446" t="s">
        <v>1020</v>
      </c>
      <c r="F173" s="447" t="s">
        <v>1021</v>
      </c>
      <c r="G173" s="448" t="s">
        <v>113</v>
      </c>
      <c r="H173" s="449">
        <v>700</v>
      </c>
      <c r="I173" s="329">
        <v>0</v>
      </c>
      <c r="J173" s="450">
        <f t="shared" si="10"/>
        <v>0</v>
      </c>
      <c r="K173" s="451"/>
      <c r="L173" s="364"/>
      <c r="M173" s="452" t="s">
        <v>171</v>
      </c>
      <c r="N173" s="415" t="s">
        <v>185</v>
      </c>
      <c r="O173" s="453">
        <v>0.32800000000000001</v>
      </c>
      <c r="P173" s="453">
        <f t="shared" si="11"/>
        <v>229.60000000000002</v>
      </c>
      <c r="Q173" s="453">
        <v>0</v>
      </c>
      <c r="R173" s="453">
        <f t="shared" si="12"/>
        <v>0</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1022</v>
      </c>
    </row>
    <row r="174" spans="2:65" s="365" customFormat="1" ht="24.2" customHeight="1" x14ac:dyDescent="0.25">
      <c r="B174" s="364"/>
      <c r="C174" s="445" t="s">
        <v>258</v>
      </c>
      <c r="D174" s="445" t="s">
        <v>218</v>
      </c>
      <c r="E174" s="446" t="s">
        <v>812</v>
      </c>
      <c r="F174" s="447" t="s">
        <v>813</v>
      </c>
      <c r="G174" s="448" t="s">
        <v>113</v>
      </c>
      <c r="H174" s="449">
        <v>410</v>
      </c>
      <c r="I174" s="329">
        <v>0</v>
      </c>
      <c r="J174" s="450">
        <f t="shared" si="10"/>
        <v>0</v>
      </c>
      <c r="K174" s="451"/>
      <c r="L174" s="364"/>
      <c r="M174" s="452" t="s">
        <v>171</v>
      </c>
      <c r="N174" s="415" t="s">
        <v>185</v>
      </c>
      <c r="O174" s="453">
        <v>0.104</v>
      </c>
      <c r="P174" s="453">
        <f t="shared" si="11"/>
        <v>42.64</v>
      </c>
      <c r="Q174" s="453">
        <v>4.2059999999999998E-4</v>
      </c>
      <c r="R174" s="453">
        <f t="shared" si="12"/>
        <v>0.17244599999999999</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814</v>
      </c>
    </row>
    <row r="175" spans="2:65" s="434" customFormat="1" ht="22.9" customHeight="1" x14ac:dyDescent="0.2">
      <c r="B175" s="433"/>
      <c r="D175" s="435" t="s">
        <v>216</v>
      </c>
      <c r="E175" s="443" t="s">
        <v>162</v>
      </c>
      <c r="F175" s="443" t="s">
        <v>633</v>
      </c>
      <c r="I175" s="331"/>
      <c r="J175" s="444">
        <f>BK175</f>
        <v>0</v>
      </c>
      <c r="L175" s="433"/>
      <c r="M175" s="438"/>
      <c r="P175" s="439">
        <f>SUM(P176:P204)</f>
        <v>632.52026799999999</v>
      </c>
      <c r="R175" s="439">
        <f>SUM(R176:R204)</f>
        <v>95.76821360000001</v>
      </c>
      <c r="T175" s="440">
        <f>SUM(T176:T204)</f>
        <v>10.215999999999999</v>
      </c>
      <c r="AR175" s="435" t="s">
        <v>109</v>
      </c>
      <c r="AT175" s="441" t="s">
        <v>216</v>
      </c>
      <c r="AU175" s="441" t="s">
        <v>109</v>
      </c>
      <c r="AY175" s="435" t="s">
        <v>217</v>
      </c>
      <c r="BK175" s="442">
        <f>SUM(BK176:BK204)</f>
        <v>0</v>
      </c>
    </row>
    <row r="176" spans="2:65" s="365" customFormat="1" ht="37.9" customHeight="1" x14ac:dyDescent="0.25">
      <c r="B176" s="364"/>
      <c r="C176" s="445" t="s">
        <v>260</v>
      </c>
      <c r="D176" s="445" t="s">
        <v>218</v>
      </c>
      <c r="E176" s="446" t="s">
        <v>822</v>
      </c>
      <c r="F176" s="447" t="s">
        <v>823</v>
      </c>
      <c r="G176" s="448" t="s">
        <v>113</v>
      </c>
      <c r="H176" s="449">
        <v>420</v>
      </c>
      <c r="I176" s="329">
        <v>0</v>
      </c>
      <c r="J176" s="450">
        <f t="shared" ref="J176:J204" si="20">ROUND(I176*H176,2)</f>
        <v>0</v>
      </c>
      <c r="K176" s="451"/>
      <c r="L176" s="364"/>
      <c r="M176" s="452" t="s">
        <v>171</v>
      </c>
      <c r="N176" s="415" t="s">
        <v>185</v>
      </c>
      <c r="O176" s="453">
        <v>0.37</v>
      </c>
      <c r="P176" s="453">
        <f t="shared" ref="P176:P204" si="21">O176*H176</f>
        <v>155.4</v>
      </c>
      <c r="Q176" s="453">
        <v>0</v>
      </c>
      <c r="R176" s="453">
        <f t="shared" ref="R176:R204" si="22">Q176*H176</f>
        <v>0</v>
      </c>
      <c r="S176" s="453">
        <v>0</v>
      </c>
      <c r="T176" s="454">
        <f t="shared" ref="T176:T204" si="23">S176*H176</f>
        <v>0</v>
      </c>
      <c r="AR176" s="455" t="s">
        <v>110</v>
      </c>
      <c r="AT176" s="455" t="s">
        <v>218</v>
      </c>
      <c r="AU176" s="455" t="s">
        <v>108</v>
      </c>
      <c r="AY176" s="357" t="s">
        <v>217</v>
      </c>
      <c r="BE176" s="456">
        <f t="shared" ref="BE176:BE204" si="24">IF(N176="základná",J176,0)</f>
        <v>0</v>
      </c>
      <c r="BF176" s="456">
        <f t="shared" ref="BF176:BF204" si="25">IF(N176="znížená",J176,0)</f>
        <v>0</v>
      </c>
      <c r="BG176" s="456">
        <f t="shared" ref="BG176:BG204" si="26">IF(N176="zákl. prenesená",J176,0)</f>
        <v>0</v>
      </c>
      <c r="BH176" s="456">
        <f t="shared" ref="BH176:BH204" si="27">IF(N176="zníž. prenesená",J176,0)</f>
        <v>0</v>
      </c>
      <c r="BI176" s="456">
        <f t="shared" ref="BI176:BI204" si="28">IF(N176="nulová",J176,0)</f>
        <v>0</v>
      </c>
      <c r="BJ176" s="357" t="s">
        <v>108</v>
      </c>
      <c r="BK176" s="456">
        <f t="shared" ref="BK176:BK204" si="29">ROUND(I176*H176,2)</f>
        <v>0</v>
      </c>
      <c r="BL176" s="357" t="s">
        <v>110</v>
      </c>
      <c r="BM176" s="455" t="s">
        <v>1287</v>
      </c>
    </row>
    <row r="177" spans="2:65" s="365" customFormat="1" ht="37.9" customHeight="1" x14ac:dyDescent="0.25">
      <c r="B177" s="364"/>
      <c r="C177" s="457" t="s">
        <v>262</v>
      </c>
      <c r="D177" s="457" t="s">
        <v>259</v>
      </c>
      <c r="E177" s="458" t="s">
        <v>825</v>
      </c>
      <c r="F177" s="459" t="s">
        <v>1288</v>
      </c>
      <c r="G177" s="460" t="s">
        <v>113</v>
      </c>
      <c r="H177" s="461">
        <v>420</v>
      </c>
      <c r="I177" s="330">
        <v>0</v>
      </c>
      <c r="J177" s="462">
        <f t="shared" si="20"/>
        <v>0</v>
      </c>
      <c r="K177" s="463"/>
      <c r="L177" s="464"/>
      <c r="M177" s="465" t="s">
        <v>171</v>
      </c>
      <c r="N177" s="466" t="s">
        <v>185</v>
      </c>
      <c r="O177" s="453">
        <v>0</v>
      </c>
      <c r="P177" s="453">
        <f t="shared" si="21"/>
        <v>0</v>
      </c>
      <c r="Q177" s="453">
        <v>1.2500000000000001E-2</v>
      </c>
      <c r="R177" s="453">
        <f t="shared" si="22"/>
        <v>5.25</v>
      </c>
      <c r="S177" s="453">
        <v>0</v>
      </c>
      <c r="T177" s="454">
        <f t="shared" si="23"/>
        <v>0</v>
      </c>
      <c r="AR177" s="455" t="s">
        <v>115</v>
      </c>
      <c r="AT177" s="455" t="s">
        <v>259</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1289</v>
      </c>
    </row>
    <row r="178" spans="2:65" s="365" customFormat="1" ht="24.2" customHeight="1" x14ac:dyDescent="0.25">
      <c r="B178" s="364"/>
      <c r="C178" s="457" t="s">
        <v>263</v>
      </c>
      <c r="D178" s="457" t="s">
        <v>259</v>
      </c>
      <c r="E178" s="458" t="s">
        <v>888</v>
      </c>
      <c r="F178" s="459" t="s">
        <v>1290</v>
      </c>
      <c r="G178" s="460" t="s">
        <v>113</v>
      </c>
      <c r="H178" s="461">
        <v>840</v>
      </c>
      <c r="I178" s="330">
        <v>0</v>
      </c>
      <c r="J178" s="462">
        <f t="shared" si="20"/>
        <v>0</v>
      </c>
      <c r="K178" s="463"/>
      <c r="L178" s="464"/>
      <c r="M178" s="465" t="s">
        <v>171</v>
      </c>
      <c r="N178" s="466" t="s">
        <v>185</v>
      </c>
      <c r="O178" s="453">
        <v>0</v>
      </c>
      <c r="P178" s="453">
        <f t="shared" si="21"/>
        <v>0</v>
      </c>
      <c r="Q178" s="453">
        <v>1.1999999999999999E-3</v>
      </c>
      <c r="R178" s="453">
        <f t="shared" si="22"/>
        <v>1.008</v>
      </c>
      <c r="S178" s="453">
        <v>0</v>
      </c>
      <c r="T178" s="454">
        <f t="shared" si="23"/>
        <v>0</v>
      </c>
      <c r="AR178" s="455" t="s">
        <v>115</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1291</v>
      </c>
    </row>
    <row r="179" spans="2:65" s="365" customFormat="1" ht="16.5" customHeight="1" x14ac:dyDescent="0.25">
      <c r="B179" s="364"/>
      <c r="C179" s="445" t="s">
        <v>264</v>
      </c>
      <c r="D179" s="445" t="s">
        <v>218</v>
      </c>
      <c r="E179" s="446" t="s">
        <v>828</v>
      </c>
      <c r="F179" s="447" t="s">
        <v>1144</v>
      </c>
      <c r="G179" s="448" t="s">
        <v>123</v>
      </c>
      <c r="H179" s="449">
        <v>140</v>
      </c>
      <c r="I179" s="329">
        <v>0</v>
      </c>
      <c r="J179" s="450">
        <f t="shared" si="20"/>
        <v>0</v>
      </c>
      <c r="K179" s="451"/>
      <c r="L179" s="364"/>
      <c r="M179" s="452" t="s">
        <v>171</v>
      </c>
      <c r="N179" s="415" t="s">
        <v>185</v>
      </c>
      <c r="O179" s="453">
        <v>7.0000000000000007E-2</v>
      </c>
      <c r="P179" s="453">
        <f t="shared" si="21"/>
        <v>9.8000000000000007</v>
      </c>
      <c r="Q179" s="453">
        <v>1.7997999999999999E-4</v>
      </c>
      <c r="R179" s="453">
        <f t="shared" si="22"/>
        <v>2.5197199999999999E-2</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1292</v>
      </c>
    </row>
    <row r="180" spans="2:65" s="365" customFormat="1" ht="24.2" customHeight="1" x14ac:dyDescent="0.25">
      <c r="B180" s="364"/>
      <c r="C180" s="457" t="s">
        <v>265</v>
      </c>
      <c r="D180" s="457" t="s">
        <v>259</v>
      </c>
      <c r="E180" s="458" t="s">
        <v>831</v>
      </c>
      <c r="F180" s="459" t="s">
        <v>1293</v>
      </c>
      <c r="G180" s="460" t="s">
        <v>123</v>
      </c>
      <c r="H180" s="461">
        <v>140</v>
      </c>
      <c r="I180" s="330">
        <v>0</v>
      </c>
      <c r="J180" s="462">
        <f t="shared" si="20"/>
        <v>0</v>
      </c>
      <c r="K180" s="463"/>
      <c r="L180" s="464"/>
      <c r="M180" s="465" t="s">
        <v>171</v>
      </c>
      <c r="N180" s="466" t="s">
        <v>185</v>
      </c>
      <c r="O180" s="453">
        <v>0</v>
      </c>
      <c r="P180" s="453">
        <f t="shared" si="21"/>
        <v>0</v>
      </c>
      <c r="Q180" s="453">
        <v>2.9999999999999997E-4</v>
      </c>
      <c r="R180" s="453">
        <f t="shared" si="22"/>
        <v>4.1999999999999996E-2</v>
      </c>
      <c r="S180" s="453">
        <v>0</v>
      </c>
      <c r="T180" s="454">
        <f t="shared" si="23"/>
        <v>0</v>
      </c>
      <c r="AR180" s="455" t="s">
        <v>115</v>
      </c>
      <c r="AT180" s="455" t="s">
        <v>259</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1294</v>
      </c>
    </row>
    <row r="181" spans="2:65" s="365" customFormat="1" ht="24.2" customHeight="1" x14ac:dyDescent="0.25">
      <c r="B181" s="364"/>
      <c r="C181" s="445" t="s">
        <v>266</v>
      </c>
      <c r="D181" s="445" t="s">
        <v>218</v>
      </c>
      <c r="E181" s="446" t="s">
        <v>1154</v>
      </c>
      <c r="F181" s="447" t="s">
        <v>1155</v>
      </c>
      <c r="G181" s="448" t="s">
        <v>123</v>
      </c>
      <c r="H181" s="449">
        <v>1</v>
      </c>
      <c r="I181" s="329">
        <v>0</v>
      </c>
      <c r="J181" s="450">
        <f t="shared" si="20"/>
        <v>0</v>
      </c>
      <c r="K181" s="451"/>
      <c r="L181" s="364"/>
      <c r="M181" s="452" t="s">
        <v>171</v>
      </c>
      <c r="N181" s="415" t="s">
        <v>185</v>
      </c>
      <c r="O181" s="453">
        <v>1.05</v>
      </c>
      <c r="P181" s="453">
        <f t="shared" si="21"/>
        <v>1.05</v>
      </c>
      <c r="Q181" s="453">
        <v>0.46371184999999998</v>
      </c>
      <c r="R181" s="453">
        <f t="shared" si="22"/>
        <v>0.46371184999999998</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1295</v>
      </c>
    </row>
    <row r="182" spans="2:65" s="365" customFormat="1" ht="16.5" customHeight="1" x14ac:dyDescent="0.25">
      <c r="B182" s="364"/>
      <c r="C182" s="457" t="s">
        <v>573</v>
      </c>
      <c r="D182" s="457" t="s">
        <v>259</v>
      </c>
      <c r="E182" s="458" t="s">
        <v>1157</v>
      </c>
      <c r="F182" s="459" t="s">
        <v>1158</v>
      </c>
      <c r="G182" s="460" t="s">
        <v>123</v>
      </c>
      <c r="H182" s="461">
        <v>1</v>
      </c>
      <c r="I182" s="330">
        <v>0</v>
      </c>
      <c r="J182" s="462">
        <f t="shared" si="20"/>
        <v>0</v>
      </c>
      <c r="K182" s="463"/>
      <c r="L182" s="464"/>
      <c r="M182" s="465" t="s">
        <v>171</v>
      </c>
      <c r="N182" s="466" t="s">
        <v>185</v>
      </c>
      <c r="O182" s="453">
        <v>0</v>
      </c>
      <c r="P182" s="453">
        <f t="shared" si="21"/>
        <v>0</v>
      </c>
      <c r="Q182" s="453">
        <v>2.93E-2</v>
      </c>
      <c r="R182" s="453">
        <f t="shared" si="22"/>
        <v>2.93E-2</v>
      </c>
      <c r="S182" s="453">
        <v>0</v>
      </c>
      <c r="T182" s="454">
        <f t="shared" si="23"/>
        <v>0</v>
      </c>
      <c r="AR182" s="455" t="s">
        <v>115</v>
      </c>
      <c r="AT182" s="455" t="s">
        <v>259</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1296</v>
      </c>
    </row>
    <row r="183" spans="2:65" s="365" customFormat="1" ht="24.2" customHeight="1" x14ac:dyDescent="0.25">
      <c r="B183" s="364"/>
      <c r="C183" s="445" t="s">
        <v>577</v>
      </c>
      <c r="D183" s="445" t="s">
        <v>218</v>
      </c>
      <c r="E183" s="446" t="s">
        <v>834</v>
      </c>
      <c r="F183" s="447" t="s">
        <v>835</v>
      </c>
      <c r="G183" s="448" t="s">
        <v>123</v>
      </c>
      <c r="H183" s="449">
        <v>5</v>
      </c>
      <c r="I183" s="329">
        <v>0</v>
      </c>
      <c r="J183" s="450">
        <f t="shared" si="20"/>
        <v>0</v>
      </c>
      <c r="K183" s="451"/>
      <c r="L183" s="364"/>
      <c r="M183" s="452" t="s">
        <v>171</v>
      </c>
      <c r="N183" s="415" t="s">
        <v>185</v>
      </c>
      <c r="O183" s="453">
        <v>0.42</v>
      </c>
      <c r="P183" s="453">
        <f t="shared" si="21"/>
        <v>2.1</v>
      </c>
      <c r="Q183" s="453">
        <v>0.119575</v>
      </c>
      <c r="R183" s="453">
        <f t="shared" si="22"/>
        <v>0.59787500000000005</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836</v>
      </c>
    </row>
    <row r="184" spans="2:65" s="365" customFormat="1" ht="24.2" customHeight="1" x14ac:dyDescent="0.25">
      <c r="B184" s="364"/>
      <c r="C184" s="445" t="s">
        <v>581</v>
      </c>
      <c r="D184" s="445" t="s">
        <v>218</v>
      </c>
      <c r="E184" s="446" t="s">
        <v>837</v>
      </c>
      <c r="F184" s="447" t="s">
        <v>267</v>
      </c>
      <c r="G184" s="448" t="s">
        <v>123</v>
      </c>
      <c r="H184" s="449">
        <v>5</v>
      </c>
      <c r="I184" s="329">
        <v>0</v>
      </c>
      <c r="J184" s="450">
        <f t="shared" si="20"/>
        <v>0</v>
      </c>
      <c r="K184" s="451"/>
      <c r="L184" s="364"/>
      <c r="M184" s="452" t="s">
        <v>171</v>
      </c>
      <c r="N184" s="415" t="s">
        <v>185</v>
      </c>
      <c r="O184" s="453">
        <v>0.746</v>
      </c>
      <c r="P184" s="453">
        <f t="shared" si="21"/>
        <v>3.73</v>
      </c>
      <c r="Q184" s="453">
        <v>0.22133</v>
      </c>
      <c r="R184" s="453">
        <f t="shared" si="22"/>
        <v>1.1066499999999999</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839</v>
      </c>
    </row>
    <row r="185" spans="2:65" s="365" customFormat="1" ht="16.5" customHeight="1" x14ac:dyDescent="0.25">
      <c r="B185" s="364"/>
      <c r="C185" s="457" t="s">
        <v>585</v>
      </c>
      <c r="D185" s="457" t="s">
        <v>259</v>
      </c>
      <c r="E185" s="458" t="s">
        <v>268</v>
      </c>
      <c r="F185" s="459" t="s">
        <v>840</v>
      </c>
      <c r="G185" s="460" t="s">
        <v>123</v>
      </c>
      <c r="H185" s="461">
        <v>5</v>
      </c>
      <c r="I185" s="330">
        <v>0</v>
      </c>
      <c r="J185" s="462">
        <f t="shared" si="20"/>
        <v>0</v>
      </c>
      <c r="K185" s="463"/>
      <c r="L185" s="464"/>
      <c r="M185" s="465" t="s">
        <v>171</v>
      </c>
      <c r="N185" s="466" t="s">
        <v>185</v>
      </c>
      <c r="O185" s="453">
        <v>0</v>
      </c>
      <c r="P185" s="453">
        <f t="shared" si="21"/>
        <v>0</v>
      </c>
      <c r="Q185" s="453">
        <v>1.4E-3</v>
      </c>
      <c r="R185" s="453">
        <f t="shared" si="22"/>
        <v>7.0000000000000001E-3</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841</v>
      </c>
    </row>
    <row r="186" spans="2:65" s="365" customFormat="1" ht="24.2" customHeight="1" x14ac:dyDescent="0.25">
      <c r="B186" s="364"/>
      <c r="C186" s="457" t="s">
        <v>589</v>
      </c>
      <c r="D186" s="457" t="s">
        <v>259</v>
      </c>
      <c r="E186" s="458" t="s">
        <v>842</v>
      </c>
      <c r="F186" s="459" t="s">
        <v>843</v>
      </c>
      <c r="G186" s="460" t="s">
        <v>123</v>
      </c>
      <c r="H186" s="461">
        <v>5</v>
      </c>
      <c r="I186" s="330">
        <v>0</v>
      </c>
      <c r="J186" s="462">
        <f t="shared" si="20"/>
        <v>0</v>
      </c>
      <c r="K186" s="463"/>
      <c r="L186" s="464"/>
      <c r="M186" s="465" t="s">
        <v>171</v>
      </c>
      <c r="N186" s="466" t="s">
        <v>185</v>
      </c>
      <c r="O186" s="453">
        <v>0</v>
      </c>
      <c r="P186" s="453">
        <f t="shared" si="21"/>
        <v>0</v>
      </c>
      <c r="Q186" s="453">
        <v>9.3000000000000005E-4</v>
      </c>
      <c r="R186" s="453">
        <f t="shared" si="22"/>
        <v>4.6500000000000005E-3</v>
      </c>
      <c r="S186" s="453">
        <v>0</v>
      </c>
      <c r="T186" s="454">
        <f t="shared" si="23"/>
        <v>0</v>
      </c>
      <c r="AR186" s="455" t="s">
        <v>115</v>
      </c>
      <c r="AT186" s="455" t="s">
        <v>259</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844</v>
      </c>
    </row>
    <row r="187" spans="2:65" s="365" customFormat="1" ht="16.5" customHeight="1" x14ac:dyDescent="0.25">
      <c r="B187" s="364"/>
      <c r="C187" s="445" t="s">
        <v>593</v>
      </c>
      <c r="D187" s="445" t="s">
        <v>218</v>
      </c>
      <c r="E187" s="446" t="s">
        <v>845</v>
      </c>
      <c r="F187" s="447" t="s">
        <v>846</v>
      </c>
      <c r="G187" s="448" t="s">
        <v>123</v>
      </c>
      <c r="H187" s="449">
        <v>2</v>
      </c>
      <c r="I187" s="329">
        <v>0</v>
      </c>
      <c r="J187" s="450">
        <f t="shared" si="20"/>
        <v>0</v>
      </c>
      <c r="K187" s="451"/>
      <c r="L187" s="364"/>
      <c r="M187" s="452" t="s">
        <v>171</v>
      </c>
      <c r="N187" s="415" t="s">
        <v>185</v>
      </c>
      <c r="O187" s="453">
        <v>1.1759999999999999</v>
      </c>
      <c r="P187" s="453">
        <f t="shared" si="21"/>
        <v>2.3519999999999999</v>
      </c>
      <c r="Q187" s="453">
        <v>0</v>
      </c>
      <c r="R187" s="453">
        <f t="shared" si="22"/>
        <v>0</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1297</v>
      </c>
    </row>
    <row r="188" spans="2:65" s="365" customFormat="1" ht="24.2" customHeight="1" x14ac:dyDescent="0.25">
      <c r="B188" s="364"/>
      <c r="C188" s="445" t="s">
        <v>597</v>
      </c>
      <c r="D188" s="445" t="s">
        <v>218</v>
      </c>
      <c r="E188" s="446" t="s">
        <v>848</v>
      </c>
      <c r="F188" s="447" t="s">
        <v>849</v>
      </c>
      <c r="G188" s="448" t="s">
        <v>123</v>
      </c>
      <c r="H188" s="449">
        <v>125</v>
      </c>
      <c r="I188" s="329">
        <v>0</v>
      </c>
      <c r="J188" s="450">
        <f t="shared" si="20"/>
        <v>0</v>
      </c>
      <c r="K188" s="451"/>
      <c r="L188" s="364"/>
      <c r="M188" s="452" t="s">
        <v>171</v>
      </c>
      <c r="N188" s="415" t="s">
        <v>185</v>
      </c>
      <c r="O188" s="453">
        <v>0.06</v>
      </c>
      <c r="P188" s="453">
        <f t="shared" si="21"/>
        <v>7.5</v>
      </c>
      <c r="Q188" s="453">
        <v>0</v>
      </c>
      <c r="R188" s="453">
        <f t="shared" si="22"/>
        <v>0</v>
      </c>
      <c r="S188" s="453">
        <v>0</v>
      </c>
      <c r="T188" s="454">
        <f t="shared" si="23"/>
        <v>0</v>
      </c>
      <c r="AR188" s="455" t="s">
        <v>110</v>
      </c>
      <c r="AT188" s="455" t="s">
        <v>218</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1298</v>
      </c>
    </row>
    <row r="189" spans="2:65" s="365" customFormat="1" ht="33" customHeight="1" x14ac:dyDescent="0.25">
      <c r="B189" s="364"/>
      <c r="C189" s="457" t="s">
        <v>601</v>
      </c>
      <c r="D189" s="457" t="s">
        <v>259</v>
      </c>
      <c r="E189" s="458" t="s">
        <v>851</v>
      </c>
      <c r="F189" s="459" t="s">
        <v>1299</v>
      </c>
      <c r="G189" s="460" t="s">
        <v>123</v>
      </c>
      <c r="H189" s="461">
        <v>7500</v>
      </c>
      <c r="I189" s="330">
        <v>0</v>
      </c>
      <c r="J189" s="462">
        <f t="shared" si="20"/>
        <v>0</v>
      </c>
      <c r="K189" s="463"/>
      <c r="L189" s="464"/>
      <c r="M189" s="465" t="s">
        <v>171</v>
      </c>
      <c r="N189" s="466" t="s">
        <v>185</v>
      </c>
      <c r="O189" s="453">
        <v>0</v>
      </c>
      <c r="P189" s="453">
        <f t="shared" si="21"/>
        <v>0</v>
      </c>
      <c r="Q189" s="453">
        <v>1.14E-2</v>
      </c>
      <c r="R189" s="453">
        <f t="shared" si="22"/>
        <v>85.5</v>
      </c>
      <c r="S189" s="453">
        <v>0</v>
      </c>
      <c r="T189" s="454">
        <f t="shared" si="23"/>
        <v>0</v>
      </c>
      <c r="AR189" s="455" t="s">
        <v>115</v>
      </c>
      <c r="AT189" s="455" t="s">
        <v>259</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1300</v>
      </c>
    </row>
    <row r="190" spans="2:65" s="365" customFormat="1" ht="37.9" customHeight="1" x14ac:dyDescent="0.25">
      <c r="B190" s="364"/>
      <c r="C190" s="445" t="s">
        <v>605</v>
      </c>
      <c r="D190" s="445" t="s">
        <v>218</v>
      </c>
      <c r="E190" s="446" t="s">
        <v>1165</v>
      </c>
      <c r="F190" s="447" t="s">
        <v>1301</v>
      </c>
      <c r="G190" s="448" t="s">
        <v>113</v>
      </c>
      <c r="H190" s="449">
        <v>870</v>
      </c>
      <c r="I190" s="329">
        <v>0</v>
      </c>
      <c r="J190" s="450">
        <f t="shared" si="20"/>
        <v>0</v>
      </c>
      <c r="K190" s="451"/>
      <c r="L190" s="364"/>
      <c r="M190" s="452" t="s">
        <v>171</v>
      </c>
      <c r="N190" s="415" t="s">
        <v>185</v>
      </c>
      <c r="O190" s="453">
        <v>2.1999999999999999E-2</v>
      </c>
      <c r="P190" s="453">
        <f t="shared" si="21"/>
        <v>19.14</v>
      </c>
      <c r="Q190" s="453">
        <v>3.0299999999999999E-4</v>
      </c>
      <c r="R190" s="453">
        <f t="shared" si="22"/>
        <v>0.26361000000000001</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1302</v>
      </c>
    </row>
    <row r="191" spans="2:65" s="365" customFormat="1" ht="37.9" customHeight="1" x14ac:dyDescent="0.25">
      <c r="B191" s="364"/>
      <c r="C191" s="445" t="s">
        <v>609</v>
      </c>
      <c r="D191" s="445" t="s">
        <v>218</v>
      </c>
      <c r="E191" s="446" t="s">
        <v>854</v>
      </c>
      <c r="F191" s="447" t="s">
        <v>1303</v>
      </c>
      <c r="G191" s="448" t="s">
        <v>113</v>
      </c>
      <c r="H191" s="449">
        <v>875</v>
      </c>
      <c r="I191" s="329">
        <v>0</v>
      </c>
      <c r="J191" s="450">
        <f t="shared" si="20"/>
        <v>0</v>
      </c>
      <c r="K191" s="451"/>
      <c r="L191" s="364"/>
      <c r="M191" s="452" t="s">
        <v>171</v>
      </c>
      <c r="N191" s="415" t="s">
        <v>185</v>
      </c>
      <c r="O191" s="453">
        <v>2.1999999999999999E-2</v>
      </c>
      <c r="P191" s="453">
        <f t="shared" si="21"/>
        <v>19.25</v>
      </c>
      <c r="Q191" s="453">
        <v>1.0119999999999999E-4</v>
      </c>
      <c r="R191" s="453">
        <f t="shared" si="22"/>
        <v>8.854999999999999E-2</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1304</v>
      </c>
    </row>
    <row r="192" spans="2:65" s="365" customFormat="1" ht="37.9" customHeight="1" x14ac:dyDescent="0.25">
      <c r="B192" s="364"/>
      <c r="C192" s="445" t="s">
        <v>613</v>
      </c>
      <c r="D192" s="445" t="s">
        <v>218</v>
      </c>
      <c r="E192" s="446" t="s">
        <v>1173</v>
      </c>
      <c r="F192" s="447" t="s">
        <v>1305</v>
      </c>
      <c r="G192" s="448" t="s">
        <v>111</v>
      </c>
      <c r="H192" s="449">
        <v>37</v>
      </c>
      <c r="I192" s="329">
        <v>0</v>
      </c>
      <c r="J192" s="450">
        <f t="shared" si="20"/>
        <v>0</v>
      </c>
      <c r="K192" s="451"/>
      <c r="L192" s="364"/>
      <c r="M192" s="452" t="s">
        <v>171</v>
      </c>
      <c r="N192" s="415" t="s">
        <v>185</v>
      </c>
      <c r="O192" s="453">
        <v>0.43</v>
      </c>
      <c r="P192" s="453">
        <f t="shared" si="21"/>
        <v>15.91</v>
      </c>
      <c r="Q192" s="453">
        <v>2.5249999999999999E-3</v>
      </c>
      <c r="R192" s="453">
        <f t="shared" si="22"/>
        <v>9.3424999999999994E-2</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1306</v>
      </c>
    </row>
    <row r="193" spans="2:65" s="365" customFormat="1" ht="24.2" customHeight="1" x14ac:dyDescent="0.25">
      <c r="B193" s="364"/>
      <c r="C193" s="445" t="s">
        <v>617</v>
      </c>
      <c r="D193" s="445" t="s">
        <v>218</v>
      </c>
      <c r="E193" s="446" t="s">
        <v>869</v>
      </c>
      <c r="F193" s="447" t="s">
        <v>269</v>
      </c>
      <c r="G193" s="448" t="s">
        <v>113</v>
      </c>
      <c r="H193" s="449">
        <v>1745</v>
      </c>
      <c r="I193" s="329">
        <v>0</v>
      </c>
      <c r="J193" s="450">
        <f t="shared" si="20"/>
        <v>0</v>
      </c>
      <c r="K193" s="451"/>
      <c r="L193" s="364"/>
      <c r="M193" s="452" t="s">
        <v>171</v>
      </c>
      <c r="N193" s="415" t="s">
        <v>185</v>
      </c>
      <c r="O193" s="453">
        <v>1.4999999999999999E-2</v>
      </c>
      <c r="P193" s="453">
        <f t="shared" si="21"/>
        <v>26.175000000000001</v>
      </c>
      <c r="Q193" s="453">
        <v>3.7500000000000001E-6</v>
      </c>
      <c r="R193" s="453">
        <f t="shared" si="22"/>
        <v>6.5437500000000001E-3</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1307</v>
      </c>
    </row>
    <row r="194" spans="2:65" s="365" customFormat="1" ht="24.2" customHeight="1" x14ac:dyDescent="0.25">
      <c r="B194" s="364"/>
      <c r="C194" s="445" t="s">
        <v>621</v>
      </c>
      <c r="D194" s="445" t="s">
        <v>218</v>
      </c>
      <c r="E194" s="446" t="s">
        <v>871</v>
      </c>
      <c r="F194" s="447" t="s">
        <v>872</v>
      </c>
      <c r="G194" s="448" t="s">
        <v>111</v>
      </c>
      <c r="H194" s="449">
        <v>37</v>
      </c>
      <c r="I194" s="329">
        <v>0</v>
      </c>
      <c r="J194" s="450">
        <f t="shared" si="20"/>
        <v>0</v>
      </c>
      <c r="K194" s="451"/>
      <c r="L194" s="364"/>
      <c r="M194" s="452" t="s">
        <v>171</v>
      </c>
      <c r="N194" s="415" t="s">
        <v>185</v>
      </c>
      <c r="O194" s="453">
        <v>0.11899999999999999</v>
      </c>
      <c r="P194" s="453">
        <f t="shared" si="21"/>
        <v>4.4029999999999996</v>
      </c>
      <c r="Q194" s="453">
        <v>9.3999999999999998E-6</v>
      </c>
      <c r="R194" s="453">
        <f t="shared" si="22"/>
        <v>3.478E-4</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1308</v>
      </c>
    </row>
    <row r="195" spans="2:65" s="365" customFormat="1" ht="16.5" customHeight="1" x14ac:dyDescent="0.25">
      <c r="B195" s="364"/>
      <c r="C195" s="445" t="s">
        <v>625</v>
      </c>
      <c r="D195" s="445" t="s">
        <v>218</v>
      </c>
      <c r="E195" s="446" t="s">
        <v>885</v>
      </c>
      <c r="F195" s="447" t="s">
        <v>886</v>
      </c>
      <c r="G195" s="448" t="s">
        <v>123</v>
      </c>
      <c r="H195" s="449">
        <v>500</v>
      </c>
      <c r="I195" s="329">
        <v>0</v>
      </c>
      <c r="J195" s="450">
        <f t="shared" si="20"/>
        <v>0</v>
      </c>
      <c r="K195" s="451"/>
      <c r="L195" s="364"/>
      <c r="M195" s="452" t="s">
        <v>171</v>
      </c>
      <c r="N195" s="415" t="s">
        <v>185</v>
      </c>
      <c r="O195" s="453">
        <v>8.5000000000000006E-2</v>
      </c>
      <c r="P195" s="453">
        <f t="shared" si="21"/>
        <v>42.5</v>
      </c>
      <c r="Q195" s="453">
        <v>2.0200000000000001E-3</v>
      </c>
      <c r="R195" s="453">
        <f t="shared" si="22"/>
        <v>1.01</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1309</v>
      </c>
    </row>
    <row r="196" spans="2:65" s="365" customFormat="1" ht="24.2" customHeight="1" x14ac:dyDescent="0.25">
      <c r="B196" s="364"/>
      <c r="C196" s="445" t="s">
        <v>629</v>
      </c>
      <c r="D196" s="445" t="s">
        <v>218</v>
      </c>
      <c r="E196" s="446" t="s">
        <v>1191</v>
      </c>
      <c r="F196" s="447" t="s">
        <v>1192</v>
      </c>
      <c r="G196" s="448" t="s">
        <v>123</v>
      </c>
      <c r="H196" s="449">
        <v>2</v>
      </c>
      <c r="I196" s="329">
        <v>0</v>
      </c>
      <c r="J196" s="450">
        <f t="shared" si="20"/>
        <v>0</v>
      </c>
      <c r="K196" s="451"/>
      <c r="L196" s="364"/>
      <c r="M196" s="452" t="s">
        <v>171</v>
      </c>
      <c r="N196" s="415" t="s">
        <v>185</v>
      </c>
      <c r="O196" s="453">
        <v>0.49</v>
      </c>
      <c r="P196" s="453">
        <f t="shared" si="21"/>
        <v>0.98</v>
      </c>
      <c r="Q196" s="453">
        <v>0</v>
      </c>
      <c r="R196" s="453">
        <f t="shared" si="22"/>
        <v>0</v>
      </c>
      <c r="S196" s="453">
        <v>3.4000000000000002E-2</v>
      </c>
      <c r="T196" s="454">
        <f t="shared" si="23"/>
        <v>6.8000000000000005E-2</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1310</v>
      </c>
    </row>
    <row r="197" spans="2:65" s="365" customFormat="1" ht="21.75" customHeight="1" x14ac:dyDescent="0.25">
      <c r="B197" s="364"/>
      <c r="C197" s="445" t="s">
        <v>634</v>
      </c>
      <c r="D197" s="445" t="s">
        <v>218</v>
      </c>
      <c r="E197" s="446" t="s">
        <v>897</v>
      </c>
      <c r="F197" s="447" t="s">
        <v>898</v>
      </c>
      <c r="G197" s="448" t="s">
        <v>113</v>
      </c>
      <c r="H197" s="449">
        <v>229</v>
      </c>
      <c r="I197" s="329">
        <v>0</v>
      </c>
      <c r="J197" s="450">
        <f t="shared" si="20"/>
        <v>0</v>
      </c>
      <c r="K197" s="451"/>
      <c r="L197" s="364"/>
      <c r="M197" s="452" t="s">
        <v>171</v>
      </c>
      <c r="N197" s="415" t="s">
        <v>185</v>
      </c>
      <c r="O197" s="453">
        <v>0.71809000000000001</v>
      </c>
      <c r="P197" s="453">
        <f t="shared" si="21"/>
        <v>164.44261</v>
      </c>
      <c r="Q197" s="453">
        <v>8.7000000000000001E-5</v>
      </c>
      <c r="R197" s="453">
        <f t="shared" si="22"/>
        <v>1.9923E-2</v>
      </c>
      <c r="S197" s="453">
        <v>4.2000000000000003E-2</v>
      </c>
      <c r="T197" s="454">
        <f t="shared" si="23"/>
        <v>9.6180000000000003</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1311</v>
      </c>
    </row>
    <row r="198" spans="2:65" s="365" customFormat="1" ht="24.2" customHeight="1" x14ac:dyDescent="0.25">
      <c r="B198" s="364"/>
      <c r="C198" s="445" t="s">
        <v>637</v>
      </c>
      <c r="D198" s="445" t="s">
        <v>218</v>
      </c>
      <c r="E198" s="446" t="s">
        <v>900</v>
      </c>
      <c r="F198" s="447" t="s">
        <v>1066</v>
      </c>
      <c r="G198" s="448" t="s">
        <v>123</v>
      </c>
      <c r="H198" s="449">
        <v>5</v>
      </c>
      <c r="I198" s="329">
        <v>0</v>
      </c>
      <c r="J198" s="450">
        <f t="shared" si="20"/>
        <v>0</v>
      </c>
      <c r="K198" s="451"/>
      <c r="L198" s="364"/>
      <c r="M198" s="452" t="s">
        <v>171</v>
      </c>
      <c r="N198" s="415" t="s">
        <v>185</v>
      </c>
      <c r="O198" s="453">
        <v>0.16500000000000001</v>
      </c>
      <c r="P198" s="453">
        <f t="shared" si="21"/>
        <v>0.82500000000000007</v>
      </c>
      <c r="Q198" s="453">
        <v>0</v>
      </c>
      <c r="R198" s="453">
        <f t="shared" si="22"/>
        <v>0</v>
      </c>
      <c r="S198" s="453">
        <v>4.0000000000000001E-3</v>
      </c>
      <c r="T198" s="454">
        <f t="shared" si="23"/>
        <v>0.02</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902</v>
      </c>
    </row>
    <row r="199" spans="2:65" s="365" customFormat="1" ht="24.2" customHeight="1" x14ac:dyDescent="0.25">
      <c r="B199" s="364"/>
      <c r="C199" s="445" t="s">
        <v>640</v>
      </c>
      <c r="D199" s="445" t="s">
        <v>218</v>
      </c>
      <c r="E199" s="446" t="s">
        <v>920</v>
      </c>
      <c r="F199" s="447" t="s">
        <v>921</v>
      </c>
      <c r="G199" s="448" t="s">
        <v>502</v>
      </c>
      <c r="H199" s="449">
        <v>25500</v>
      </c>
      <c r="I199" s="329">
        <v>0</v>
      </c>
      <c r="J199" s="450">
        <f t="shared" si="20"/>
        <v>0</v>
      </c>
      <c r="K199" s="451"/>
      <c r="L199" s="364"/>
      <c r="M199" s="452" t="s">
        <v>171</v>
      </c>
      <c r="N199" s="415" t="s">
        <v>185</v>
      </c>
      <c r="O199" s="453">
        <v>6.0699999999999999E-3</v>
      </c>
      <c r="P199" s="453">
        <f t="shared" si="21"/>
        <v>154.785</v>
      </c>
      <c r="Q199" s="453">
        <v>9.8600000000000005E-6</v>
      </c>
      <c r="R199" s="453">
        <f t="shared" si="22"/>
        <v>0.25142999999999999</v>
      </c>
      <c r="S199" s="453">
        <v>2.0000000000000002E-5</v>
      </c>
      <c r="T199" s="454">
        <f t="shared" si="23"/>
        <v>0.51</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1312</v>
      </c>
    </row>
    <row r="200" spans="2:65" s="365" customFormat="1" ht="66.75" customHeight="1" x14ac:dyDescent="0.25">
      <c r="B200" s="364"/>
      <c r="C200" s="445" t="s">
        <v>644</v>
      </c>
      <c r="D200" s="445" t="s">
        <v>218</v>
      </c>
      <c r="E200" s="446" t="s">
        <v>635</v>
      </c>
      <c r="F200" s="447" t="s">
        <v>3096</v>
      </c>
      <c r="G200" s="448" t="s">
        <v>112</v>
      </c>
      <c r="H200" s="449">
        <f>Ponuka!L118</f>
        <v>199.64699999999996</v>
      </c>
      <c r="I200" s="329">
        <v>0</v>
      </c>
      <c r="J200" s="450">
        <f t="shared" si="20"/>
        <v>0</v>
      </c>
      <c r="K200" s="451"/>
      <c r="L200" s="364"/>
      <c r="M200" s="452" t="s">
        <v>171</v>
      </c>
      <c r="N200" s="415" t="s">
        <v>185</v>
      </c>
      <c r="O200" s="453">
        <v>0</v>
      </c>
      <c r="P200" s="453">
        <f t="shared" si="21"/>
        <v>0</v>
      </c>
      <c r="Q200" s="453">
        <v>0</v>
      </c>
      <c r="R200" s="453">
        <f t="shared" si="22"/>
        <v>0</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1313</v>
      </c>
    </row>
    <row r="201" spans="2:65" s="365" customFormat="1" ht="66.75" customHeight="1" x14ac:dyDescent="0.25">
      <c r="B201" s="364"/>
      <c r="C201" s="445" t="s">
        <v>645</v>
      </c>
      <c r="D201" s="445" t="s">
        <v>218</v>
      </c>
      <c r="E201" s="446" t="s">
        <v>926</v>
      </c>
      <c r="F201" s="447" t="s">
        <v>3097</v>
      </c>
      <c r="G201" s="448" t="s">
        <v>112</v>
      </c>
      <c r="H201" s="449">
        <f>Ponuka!N118</f>
        <v>492.09999999999997</v>
      </c>
      <c r="I201" s="329">
        <v>0</v>
      </c>
      <c r="J201" s="450">
        <f t="shared" si="20"/>
        <v>0</v>
      </c>
      <c r="K201" s="451"/>
      <c r="L201" s="364"/>
      <c r="M201" s="452" t="s">
        <v>171</v>
      </c>
      <c r="N201" s="415" t="s">
        <v>185</v>
      </c>
      <c r="O201" s="453">
        <v>0</v>
      </c>
      <c r="P201" s="453">
        <f t="shared" si="21"/>
        <v>0</v>
      </c>
      <c r="Q201" s="453">
        <v>0</v>
      </c>
      <c r="R201" s="453">
        <f t="shared" si="22"/>
        <v>0</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1314</v>
      </c>
    </row>
    <row r="202" spans="2:65" s="365" customFormat="1" ht="62.65" customHeight="1" x14ac:dyDescent="0.25">
      <c r="B202" s="364"/>
      <c r="C202" s="445" t="s">
        <v>651</v>
      </c>
      <c r="D202" s="445" t="s">
        <v>218</v>
      </c>
      <c r="E202" s="446" t="s">
        <v>929</v>
      </c>
      <c r="F202" s="447" t="s">
        <v>3098</v>
      </c>
      <c r="G202" s="448" t="s">
        <v>112</v>
      </c>
      <c r="H202" s="449">
        <f>Ponuka!P118</f>
        <v>155.11999999999998</v>
      </c>
      <c r="I202" s="329">
        <v>0</v>
      </c>
      <c r="J202" s="450">
        <f t="shared" si="20"/>
        <v>0</v>
      </c>
      <c r="K202" s="451"/>
      <c r="L202" s="364"/>
      <c r="M202" s="452" t="s">
        <v>171</v>
      </c>
      <c r="N202" s="415" t="s">
        <v>185</v>
      </c>
      <c r="O202" s="453">
        <v>0</v>
      </c>
      <c r="P202" s="453">
        <f t="shared" si="21"/>
        <v>0</v>
      </c>
      <c r="Q202" s="453">
        <v>0</v>
      </c>
      <c r="R202" s="453">
        <f t="shared" si="22"/>
        <v>0</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1315</v>
      </c>
    </row>
    <row r="203" spans="2:65" s="365" customFormat="1" ht="66.75" customHeight="1" x14ac:dyDescent="0.25">
      <c r="B203" s="364"/>
      <c r="C203" s="445" t="s">
        <v>655</v>
      </c>
      <c r="D203" s="445" t="s">
        <v>218</v>
      </c>
      <c r="E203" s="446" t="s">
        <v>638</v>
      </c>
      <c r="F203" s="447" t="s">
        <v>3099</v>
      </c>
      <c r="G203" s="448" t="s">
        <v>112</v>
      </c>
      <c r="H203" s="449">
        <f>Ponuka!R118</f>
        <v>128.20499999999998</v>
      </c>
      <c r="I203" s="329">
        <v>0</v>
      </c>
      <c r="J203" s="450">
        <f t="shared" si="20"/>
        <v>0</v>
      </c>
      <c r="K203" s="451"/>
      <c r="L203" s="364"/>
      <c r="M203" s="452" t="s">
        <v>171</v>
      </c>
      <c r="N203" s="415" t="s">
        <v>185</v>
      </c>
      <c r="O203" s="453">
        <v>0</v>
      </c>
      <c r="P203" s="453">
        <f t="shared" si="21"/>
        <v>0</v>
      </c>
      <c r="Q203" s="453">
        <v>0</v>
      </c>
      <c r="R203" s="453">
        <f t="shared" si="22"/>
        <v>0</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1316</v>
      </c>
    </row>
    <row r="204" spans="2:65" s="365" customFormat="1" ht="24.2" customHeight="1" x14ac:dyDescent="0.25">
      <c r="B204" s="364"/>
      <c r="C204" s="445" t="s">
        <v>659</v>
      </c>
      <c r="D204" s="445" t="s">
        <v>218</v>
      </c>
      <c r="E204" s="446" t="s">
        <v>641</v>
      </c>
      <c r="F204" s="447" t="s">
        <v>642</v>
      </c>
      <c r="G204" s="448" t="s">
        <v>112</v>
      </c>
      <c r="H204" s="449">
        <f>H207</f>
        <v>362.9430000000001</v>
      </c>
      <c r="I204" s="329">
        <v>0</v>
      </c>
      <c r="J204" s="450">
        <f t="shared" si="20"/>
        <v>0</v>
      </c>
      <c r="K204" s="451"/>
      <c r="L204" s="364"/>
      <c r="M204" s="452" t="s">
        <v>171</v>
      </c>
      <c r="N204" s="415" t="s">
        <v>185</v>
      </c>
      <c r="O204" s="453">
        <v>6.0000000000000001E-3</v>
      </c>
      <c r="P204" s="453">
        <f t="shared" si="21"/>
        <v>2.1776580000000005</v>
      </c>
      <c r="Q204" s="453">
        <v>0</v>
      </c>
      <c r="R204" s="453">
        <f t="shared" si="22"/>
        <v>0</v>
      </c>
      <c r="S204" s="453">
        <v>0</v>
      </c>
      <c r="T204" s="454">
        <f t="shared" si="23"/>
        <v>0</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1317</v>
      </c>
    </row>
    <row r="205" spans="2:65" s="434" customFormat="1" ht="22.9" customHeight="1" x14ac:dyDescent="0.2">
      <c r="B205" s="433"/>
      <c r="D205" s="435" t="s">
        <v>216</v>
      </c>
      <c r="E205" s="443" t="s">
        <v>649</v>
      </c>
      <c r="F205" s="443" t="s">
        <v>650</v>
      </c>
      <c r="I205" s="331"/>
      <c r="J205" s="444">
        <f>BK205</f>
        <v>0</v>
      </c>
      <c r="L205" s="433"/>
      <c r="M205" s="438"/>
      <c r="P205" s="439">
        <f>SUM(P206:P210)</f>
        <v>394.44969600000007</v>
      </c>
      <c r="R205" s="439">
        <f>SUM(R206:R210)</f>
        <v>0</v>
      </c>
      <c r="T205" s="440">
        <f>SUM(T206:T210)</f>
        <v>0</v>
      </c>
      <c r="AR205" s="435" t="s">
        <v>109</v>
      </c>
      <c r="AT205" s="441" t="s">
        <v>216</v>
      </c>
      <c r="AU205" s="441" t="s">
        <v>109</v>
      </c>
      <c r="AY205" s="435" t="s">
        <v>217</v>
      </c>
      <c r="BK205" s="442">
        <f>SUM(BK206:BK210)</f>
        <v>0</v>
      </c>
    </row>
    <row r="206" spans="2:65" s="365" customFormat="1" ht="24.2" customHeight="1" x14ac:dyDescent="0.25">
      <c r="B206" s="364"/>
      <c r="C206" s="445" t="s">
        <v>664</v>
      </c>
      <c r="D206" s="445" t="s">
        <v>218</v>
      </c>
      <c r="E206" s="446" t="s">
        <v>665</v>
      </c>
      <c r="F206" s="447" t="s">
        <v>936</v>
      </c>
      <c r="G206" s="448" t="s">
        <v>112</v>
      </c>
      <c r="H206" s="449">
        <v>3037.9140000000002</v>
      </c>
      <c r="I206" s="329">
        <v>0</v>
      </c>
      <c r="J206" s="450">
        <f>ROUND(I206*H206,2)</f>
        <v>0</v>
      </c>
      <c r="K206" s="451"/>
      <c r="L206" s="364"/>
      <c r="M206" s="452" t="s">
        <v>171</v>
      </c>
      <c r="N206" s="415" t="s">
        <v>185</v>
      </c>
      <c r="O206" s="453">
        <v>0.04</v>
      </c>
      <c r="P206" s="453">
        <f>O206*H206</f>
        <v>121.51656000000001</v>
      </c>
      <c r="Q206" s="453">
        <v>0</v>
      </c>
      <c r="R206" s="453">
        <f>Q206*H206</f>
        <v>0</v>
      </c>
      <c r="S206" s="453">
        <v>0</v>
      </c>
      <c r="T206" s="454">
        <f>S206*H206</f>
        <v>0</v>
      </c>
      <c r="AR206" s="455" t="s">
        <v>110</v>
      </c>
      <c r="AT206" s="455" t="s">
        <v>218</v>
      </c>
      <c r="AU206" s="455" t="s">
        <v>108</v>
      </c>
      <c r="AY206" s="357" t="s">
        <v>217</v>
      </c>
      <c r="BE206" s="456">
        <f>IF(N206="základná",J206,0)</f>
        <v>0</v>
      </c>
      <c r="BF206" s="456">
        <f>IF(N206="znížená",J206,0)</f>
        <v>0</v>
      </c>
      <c r="BG206" s="456">
        <f>IF(N206="zákl. prenesená",J206,0)</f>
        <v>0</v>
      </c>
      <c r="BH206" s="456">
        <f>IF(N206="zníž. prenesená",J206,0)</f>
        <v>0</v>
      </c>
      <c r="BI206" s="456">
        <f>IF(N206="nulová",J206,0)</f>
        <v>0</v>
      </c>
      <c r="BJ206" s="357" t="s">
        <v>108</v>
      </c>
      <c r="BK206" s="456">
        <f>ROUND(I206*H206,2)</f>
        <v>0</v>
      </c>
      <c r="BL206" s="357" t="s">
        <v>110</v>
      </c>
      <c r="BM206" s="455" t="s">
        <v>937</v>
      </c>
    </row>
    <row r="207" spans="2:65" s="365" customFormat="1" ht="24.2" customHeight="1" x14ac:dyDescent="0.25">
      <c r="B207" s="364"/>
      <c r="C207" s="445" t="s">
        <v>670</v>
      </c>
      <c r="D207" s="445" t="s">
        <v>218</v>
      </c>
      <c r="E207" s="446" t="s">
        <v>652</v>
      </c>
      <c r="F207" s="447" t="s">
        <v>3100</v>
      </c>
      <c r="G207" s="448" t="s">
        <v>112</v>
      </c>
      <c r="H207" s="449">
        <f>H209+H210+Ponuka!Q118</f>
        <v>362.9430000000001</v>
      </c>
      <c r="I207" s="329">
        <v>0</v>
      </c>
      <c r="J207" s="450">
        <f>ROUND(I207*H207,2)</f>
        <v>0</v>
      </c>
      <c r="K207" s="451"/>
      <c r="L207" s="364"/>
      <c r="M207" s="452" t="s">
        <v>171</v>
      </c>
      <c r="N207" s="415" t="s">
        <v>185</v>
      </c>
      <c r="O207" s="453">
        <v>0.59799999999999998</v>
      </c>
      <c r="P207" s="453">
        <f>O207*H207</f>
        <v>217.03991400000004</v>
      </c>
      <c r="Q207" s="453">
        <v>0</v>
      </c>
      <c r="R207" s="453">
        <f>Q207*H207</f>
        <v>0</v>
      </c>
      <c r="S207" s="453">
        <v>0</v>
      </c>
      <c r="T207" s="454">
        <f>S207*H207</f>
        <v>0</v>
      </c>
      <c r="AR207" s="455" t="s">
        <v>110</v>
      </c>
      <c r="AT207" s="455" t="s">
        <v>218</v>
      </c>
      <c r="AU207" s="455" t="s">
        <v>108</v>
      </c>
      <c r="AY207" s="357" t="s">
        <v>217</v>
      </c>
      <c r="BE207" s="456">
        <f>IF(N207="základná",J207,0)</f>
        <v>0</v>
      </c>
      <c r="BF207" s="456">
        <f>IF(N207="znížená",J207,0)</f>
        <v>0</v>
      </c>
      <c r="BG207" s="456">
        <f>IF(N207="zákl. prenesená",J207,0)</f>
        <v>0</v>
      </c>
      <c r="BH207" s="456">
        <f>IF(N207="zníž. prenesená",J207,0)</f>
        <v>0</v>
      </c>
      <c r="BI207" s="456">
        <f>IF(N207="nulová",J207,0)</f>
        <v>0</v>
      </c>
      <c r="BJ207" s="357" t="s">
        <v>108</v>
      </c>
      <c r="BK207" s="456">
        <f>ROUND(I207*H207,2)</f>
        <v>0</v>
      </c>
      <c r="BL207" s="357" t="s">
        <v>110</v>
      </c>
      <c r="BM207" s="455" t="s">
        <v>940</v>
      </c>
    </row>
    <row r="208" spans="2:65" s="365" customFormat="1" ht="24.2" customHeight="1" x14ac:dyDescent="0.25">
      <c r="B208" s="364"/>
      <c r="C208" s="445" t="s">
        <v>674</v>
      </c>
      <c r="D208" s="445" t="s">
        <v>218</v>
      </c>
      <c r="E208" s="446" t="s">
        <v>942</v>
      </c>
      <c r="F208" s="447" t="s">
        <v>1318</v>
      </c>
      <c r="G208" s="448" t="s">
        <v>112</v>
      </c>
      <c r="H208" s="449">
        <f>H207*22</f>
        <v>7984.7460000000019</v>
      </c>
      <c r="I208" s="329">
        <v>0</v>
      </c>
      <c r="J208" s="450">
        <f>ROUND(I208*H208,2)</f>
        <v>0</v>
      </c>
      <c r="K208" s="451"/>
      <c r="L208" s="364"/>
      <c r="M208" s="452" t="s">
        <v>171</v>
      </c>
      <c r="N208" s="415" t="s">
        <v>185</v>
      </c>
      <c r="O208" s="453">
        <v>7.0000000000000001E-3</v>
      </c>
      <c r="P208" s="453">
        <f>O208*H208</f>
        <v>55.893222000000016</v>
      </c>
      <c r="Q208" s="453">
        <v>0</v>
      </c>
      <c r="R208" s="453">
        <f>Q208*H208</f>
        <v>0</v>
      </c>
      <c r="S208" s="453">
        <v>0</v>
      </c>
      <c r="T208" s="454">
        <f>S208*H208</f>
        <v>0</v>
      </c>
      <c r="AR208" s="455" t="s">
        <v>110</v>
      </c>
      <c r="AT208" s="455" t="s">
        <v>218</v>
      </c>
      <c r="AU208" s="455" t="s">
        <v>108</v>
      </c>
      <c r="AY208" s="357" t="s">
        <v>217</v>
      </c>
      <c r="BE208" s="456">
        <f>IF(N208="základná",J208,0)</f>
        <v>0</v>
      </c>
      <c r="BF208" s="456">
        <f>IF(N208="znížená",J208,0)</f>
        <v>0</v>
      </c>
      <c r="BG208" s="456">
        <f>IF(N208="zákl. prenesená",J208,0)</f>
        <v>0</v>
      </c>
      <c r="BH208" s="456">
        <f>IF(N208="zníž. prenesená",J208,0)</f>
        <v>0</v>
      </c>
      <c r="BI208" s="456">
        <f>IF(N208="nulová",J208,0)</f>
        <v>0</v>
      </c>
      <c r="BJ208" s="357" t="s">
        <v>108</v>
      </c>
      <c r="BK208" s="456">
        <f>ROUND(I208*H208,2)</f>
        <v>0</v>
      </c>
      <c r="BL208" s="357" t="s">
        <v>110</v>
      </c>
      <c r="BM208" s="455" t="s">
        <v>944</v>
      </c>
    </row>
    <row r="209" spans="2:65" s="365" customFormat="1" ht="24.2" customHeight="1" x14ac:dyDescent="0.25">
      <c r="B209" s="364"/>
      <c r="C209" s="445" t="s">
        <v>678</v>
      </c>
      <c r="D209" s="445" t="s">
        <v>218</v>
      </c>
      <c r="E209" s="446" t="s">
        <v>946</v>
      </c>
      <c r="F209" s="447" t="s">
        <v>3101</v>
      </c>
      <c r="G209" s="448" t="s">
        <v>112</v>
      </c>
      <c r="H209" s="449">
        <f>Ponuka!M118</f>
        <v>85.563000000000017</v>
      </c>
      <c r="I209" s="329">
        <v>0</v>
      </c>
      <c r="J209" s="450">
        <f>ROUND(I209*H209,2)</f>
        <v>0</v>
      </c>
      <c r="K209" s="451"/>
      <c r="L209" s="364"/>
      <c r="M209" s="452" t="s">
        <v>171</v>
      </c>
      <c r="N209" s="415" t="s">
        <v>185</v>
      </c>
      <c r="O209" s="453">
        <v>0</v>
      </c>
      <c r="P209" s="453">
        <f>O209*H209</f>
        <v>0</v>
      </c>
      <c r="Q209" s="453">
        <v>0</v>
      </c>
      <c r="R209" s="453">
        <f>Q209*H209</f>
        <v>0</v>
      </c>
      <c r="S209" s="453">
        <v>0</v>
      </c>
      <c r="T209" s="454">
        <f>S209*H209</f>
        <v>0</v>
      </c>
      <c r="AR209" s="455" t="s">
        <v>110</v>
      </c>
      <c r="AT209" s="455" t="s">
        <v>218</v>
      </c>
      <c r="AU209" s="455" t="s">
        <v>108</v>
      </c>
      <c r="AY209" s="357" t="s">
        <v>217</v>
      </c>
      <c r="BE209" s="456">
        <f>IF(N209="základná",J209,0)</f>
        <v>0</v>
      </c>
      <c r="BF209" s="456">
        <f>IF(N209="znížená",J209,0)</f>
        <v>0</v>
      </c>
      <c r="BG209" s="456">
        <f>IF(N209="zákl. prenesená",J209,0)</f>
        <v>0</v>
      </c>
      <c r="BH209" s="456">
        <f>IF(N209="zníž. prenesená",J209,0)</f>
        <v>0</v>
      </c>
      <c r="BI209" s="456">
        <f>IF(N209="nulová",J209,0)</f>
        <v>0</v>
      </c>
      <c r="BJ209" s="357" t="s">
        <v>108</v>
      </c>
      <c r="BK209" s="456">
        <f>ROUND(I209*H209,2)</f>
        <v>0</v>
      </c>
      <c r="BL209" s="357" t="s">
        <v>110</v>
      </c>
      <c r="BM209" s="455" t="s">
        <v>947</v>
      </c>
    </row>
    <row r="210" spans="2:65" s="365" customFormat="1" ht="24.2" customHeight="1" x14ac:dyDescent="0.25">
      <c r="B210" s="364"/>
      <c r="C210" s="445" t="s">
        <v>903</v>
      </c>
      <c r="D210" s="445" t="s">
        <v>218</v>
      </c>
      <c r="E210" s="446" t="s">
        <v>949</v>
      </c>
      <c r="F210" s="472" t="s">
        <v>3102</v>
      </c>
      <c r="G210" s="473" t="s">
        <v>112</v>
      </c>
      <c r="H210" s="474">
        <f>Ponuka!O118</f>
        <v>210.90000000000003</v>
      </c>
      <c r="I210" s="329">
        <v>0</v>
      </c>
      <c r="J210" s="450">
        <f>ROUND(I210*H210,2)</f>
        <v>0</v>
      </c>
      <c r="K210" s="451"/>
      <c r="L210" s="364"/>
      <c r="M210" s="452" t="s">
        <v>171</v>
      </c>
      <c r="N210" s="415" t="s">
        <v>185</v>
      </c>
      <c r="O210" s="453">
        <v>0</v>
      </c>
      <c r="P210" s="453">
        <f>O210*H210</f>
        <v>0</v>
      </c>
      <c r="Q210" s="453">
        <v>0</v>
      </c>
      <c r="R210" s="453">
        <f>Q210*H210</f>
        <v>0</v>
      </c>
      <c r="S210" s="453">
        <v>0</v>
      </c>
      <c r="T210" s="454">
        <f>S210*H210</f>
        <v>0</v>
      </c>
      <c r="AR210" s="455" t="s">
        <v>110</v>
      </c>
      <c r="AT210" s="455" t="s">
        <v>218</v>
      </c>
      <c r="AU210" s="455" t="s">
        <v>108</v>
      </c>
      <c r="AY210" s="357" t="s">
        <v>217</v>
      </c>
      <c r="BE210" s="456">
        <f>IF(N210="základná",J210,0)</f>
        <v>0</v>
      </c>
      <c r="BF210" s="456">
        <f>IF(N210="znížená",J210,0)</f>
        <v>0</v>
      </c>
      <c r="BG210" s="456">
        <f>IF(N210="zákl. prenesená",J210,0)</f>
        <v>0</v>
      </c>
      <c r="BH210" s="456">
        <f>IF(N210="zníž. prenesená",J210,0)</f>
        <v>0</v>
      </c>
      <c r="BI210" s="456">
        <f>IF(N210="nulová",J210,0)</f>
        <v>0</v>
      </c>
      <c r="BJ210" s="357" t="s">
        <v>108</v>
      </c>
      <c r="BK210" s="456">
        <f>ROUND(I210*H210,2)</f>
        <v>0</v>
      </c>
      <c r="BL210" s="357" t="s">
        <v>110</v>
      </c>
      <c r="BM210" s="455" t="s">
        <v>950</v>
      </c>
    </row>
    <row r="211" spans="2:65" s="434" customFormat="1" ht="25.9" customHeight="1" x14ac:dyDescent="0.2">
      <c r="B211" s="433"/>
      <c r="D211" s="435" t="s">
        <v>216</v>
      </c>
      <c r="E211" s="436" t="s">
        <v>662</v>
      </c>
      <c r="F211" s="436" t="s">
        <v>663</v>
      </c>
      <c r="I211" s="331"/>
      <c r="J211" s="437">
        <f>BK211</f>
        <v>0</v>
      </c>
      <c r="L211" s="433"/>
      <c r="M211" s="438"/>
      <c r="P211" s="439">
        <f>P212</f>
        <v>4.2749999999999995</v>
      </c>
      <c r="R211" s="439">
        <f>R212</f>
        <v>0</v>
      </c>
      <c r="T211" s="440">
        <f>T212</f>
        <v>0.13499999999999998</v>
      </c>
      <c r="AR211" s="435" t="s">
        <v>108</v>
      </c>
      <c r="AT211" s="441" t="s">
        <v>216</v>
      </c>
      <c r="AU211" s="441" t="s">
        <v>165</v>
      </c>
      <c r="AY211" s="435" t="s">
        <v>217</v>
      </c>
      <c r="BK211" s="442">
        <f>BK212</f>
        <v>0</v>
      </c>
    </row>
    <row r="212" spans="2:65" s="434" customFormat="1" ht="22.9" customHeight="1" x14ac:dyDescent="0.2">
      <c r="B212" s="433"/>
      <c r="D212" s="435" t="s">
        <v>216</v>
      </c>
      <c r="E212" s="443" t="s">
        <v>1319</v>
      </c>
      <c r="F212" s="443" t="s">
        <v>1320</v>
      </c>
      <c r="I212" s="331"/>
      <c r="J212" s="444">
        <f>BK212</f>
        <v>0</v>
      </c>
      <c r="L212" s="433"/>
      <c r="M212" s="438"/>
      <c r="P212" s="439">
        <f>P213</f>
        <v>4.2749999999999995</v>
      </c>
      <c r="R212" s="439">
        <f>R213</f>
        <v>0</v>
      </c>
      <c r="T212" s="440">
        <f>T213</f>
        <v>0.13499999999999998</v>
      </c>
      <c r="AR212" s="435" t="s">
        <v>108</v>
      </c>
      <c r="AT212" s="441" t="s">
        <v>216</v>
      </c>
      <c r="AU212" s="441" t="s">
        <v>109</v>
      </c>
      <c r="AY212" s="435" t="s">
        <v>217</v>
      </c>
      <c r="BK212" s="442">
        <f>BK213</f>
        <v>0</v>
      </c>
    </row>
    <row r="213" spans="2:65" s="365" customFormat="1" ht="24.2" customHeight="1" x14ac:dyDescent="0.25">
      <c r="B213" s="364"/>
      <c r="C213" s="445" t="s">
        <v>907</v>
      </c>
      <c r="D213" s="445" t="s">
        <v>218</v>
      </c>
      <c r="E213" s="446" t="s">
        <v>1321</v>
      </c>
      <c r="F213" s="447" t="s">
        <v>1322</v>
      </c>
      <c r="G213" s="448" t="s">
        <v>113</v>
      </c>
      <c r="H213" s="449">
        <v>15</v>
      </c>
      <c r="I213" s="329">
        <v>0</v>
      </c>
      <c r="J213" s="450">
        <f>ROUND(I213*H213,2)</f>
        <v>0</v>
      </c>
      <c r="K213" s="451"/>
      <c r="L213" s="364"/>
      <c r="M213" s="468" t="s">
        <v>171</v>
      </c>
      <c r="N213" s="469" t="s">
        <v>185</v>
      </c>
      <c r="O213" s="470">
        <v>0.28499999999999998</v>
      </c>
      <c r="P213" s="470">
        <f>O213*H213</f>
        <v>4.2749999999999995</v>
      </c>
      <c r="Q213" s="470">
        <v>0</v>
      </c>
      <c r="R213" s="470">
        <f>Q213*H213</f>
        <v>0</v>
      </c>
      <c r="S213" s="470">
        <v>8.9999999999999993E-3</v>
      </c>
      <c r="T213" s="471">
        <f>S213*H213</f>
        <v>0.13499999999999998</v>
      </c>
      <c r="AR213" s="455" t="s">
        <v>228</v>
      </c>
      <c r="AT213" s="455" t="s">
        <v>218</v>
      </c>
      <c r="AU213" s="455" t="s">
        <v>108</v>
      </c>
      <c r="AY213" s="357" t="s">
        <v>217</v>
      </c>
      <c r="BE213" s="456">
        <f>IF(N213="základná",J213,0)</f>
        <v>0</v>
      </c>
      <c r="BF213" s="456">
        <f>IF(N213="znížená",J213,0)</f>
        <v>0</v>
      </c>
      <c r="BG213" s="456">
        <f>IF(N213="zákl. prenesená",J213,0)</f>
        <v>0</v>
      </c>
      <c r="BH213" s="456">
        <f>IF(N213="zníž. prenesená",J213,0)</f>
        <v>0</v>
      </c>
      <c r="BI213" s="456">
        <f>IF(N213="nulová",J213,0)</f>
        <v>0</v>
      </c>
      <c r="BJ213" s="357" t="s">
        <v>108</v>
      </c>
      <c r="BK213" s="456">
        <f>ROUND(I213*H213,2)</f>
        <v>0</v>
      </c>
      <c r="BL213" s="357" t="s">
        <v>228</v>
      </c>
      <c r="BM213" s="455" t="s">
        <v>1323</v>
      </c>
    </row>
    <row r="214" spans="2:65" s="365" customFormat="1" ht="6.95" customHeight="1" x14ac:dyDescent="0.25">
      <c r="B214" s="397"/>
      <c r="C214" s="398"/>
      <c r="D214" s="398"/>
      <c r="E214" s="398"/>
      <c r="F214" s="398"/>
      <c r="G214" s="398"/>
      <c r="H214" s="398"/>
      <c r="I214" s="398"/>
      <c r="J214" s="398"/>
      <c r="K214" s="398"/>
      <c r="L214" s="364"/>
    </row>
  </sheetData>
  <sheetProtection algorithmName="SHA-512" hashValue="y2MaGerFYHWP2qLIlo9u4K/TQWIigmYBuZ4HeeIdPyswjnVAxcP1C3ci0PrBXDbuNYsqOzVDCNqvVbBUy4WMZQ==" saltValue="aP/fY188XP+fQbvFD7AgPg==" spinCount="100000" sheet="1" objects="1" scenarios="1"/>
  <autoFilter ref="C126:K213" xr:uid="{00000000-0009-0000-0000-000005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A5F19-12BE-4557-9248-F4E4F54F79EF}">
  <sheetPr codeName="Hárok11">
    <pageSetUpPr fitToPage="1"/>
  </sheetPr>
  <dimension ref="B2:BM146"/>
  <sheetViews>
    <sheetView topLeftCell="A124" workbookViewId="0">
      <selection activeCell="I144" activeCellId="8" sqref="I131 I133 I135 I138 I137 I140 I141 I143 I144"/>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350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1324</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021 - VRN - úsek A</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1325</v>
      </c>
      <c r="E97" s="407"/>
      <c r="F97" s="407"/>
      <c r="G97" s="407"/>
      <c r="H97" s="407"/>
      <c r="I97" s="407"/>
      <c r="J97" s="408">
        <f>J129</f>
        <v>0</v>
      </c>
      <c r="L97" s="404"/>
    </row>
    <row r="98" spans="2:14" s="410" customFormat="1" ht="19.899999999999999" customHeight="1" x14ac:dyDescent="0.25">
      <c r="B98" s="409"/>
      <c r="D98" s="411" t="s">
        <v>1326</v>
      </c>
      <c r="E98" s="412"/>
      <c r="F98" s="412"/>
      <c r="G98" s="412"/>
      <c r="H98" s="412"/>
      <c r="I98" s="412"/>
      <c r="J98" s="413">
        <f>J130</f>
        <v>0</v>
      </c>
      <c r="L98" s="409"/>
    </row>
    <row r="99" spans="2:14" s="410" customFormat="1" ht="19.899999999999999" customHeight="1" x14ac:dyDescent="0.25">
      <c r="B99" s="409"/>
      <c r="D99" s="411" t="s">
        <v>1327</v>
      </c>
      <c r="E99" s="412"/>
      <c r="F99" s="412"/>
      <c r="G99" s="412"/>
      <c r="H99" s="412"/>
      <c r="I99" s="412"/>
      <c r="J99" s="413">
        <f>J132</f>
        <v>0</v>
      </c>
      <c r="L99" s="409"/>
    </row>
    <row r="100" spans="2:14" s="410" customFormat="1" ht="19.899999999999999" customHeight="1" x14ac:dyDescent="0.25">
      <c r="B100" s="409"/>
      <c r="D100" s="411" t="s">
        <v>1328</v>
      </c>
      <c r="E100" s="412"/>
      <c r="F100" s="412"/>
      <c r="G100" s="412"/>
      <c r="H100" s="412"/>
      <c r="I100" s="412"/>
      <c r="J100" s="413">
        <f>J134</f>
        <v>0</v>
      </c>
      <c r="L100" s="409"/>
    </row>
    <row r="101" spans="2:14" s="410" customFormat="1" ht="19.899999999999999" customHeight="1" x14ac:dyDescent="0.25">
      <c r="B101" s="409"/>
      <c r="D101" s="411" t="s">
        <v>1329</v>
      </c>
      <c r="E101" s="412"/>
      <c r="F101" s="412"/>
      <c r="G101" s="412"/>
      <c r="H101" s="412"/>
      <c r="I101" s="412"/>
      <c r="J101" s="413">
        <f>J136</f>
        <v>0</v>
      </c>
      <c r="L101" s="409"/>
    </row>
    <row r="102" spans="2:14" s="410" customFormat="1" ht="19.899999999999999" customHeight="1" x14ac:dyDescent="0.25">
      <c r="B102" s="409"/>
      <c r="D102" s="411" t="s">
        <v>1330</v>
      </c>
      <c r="E102" s="412"/>
      <c r="F102" s="412"/>
      <c r="G102" s="412"/>
      <c r="H102" s="412"/>
      <c r="I102" s="412"/>
      <c r="J102" s="413">
        <f>J139</f>
        <v>0</v>
      </c>
      <c r="L102" s="409"/>
    </row>
    <row r="103" spans="2:14" s="410" customFormat="1" ht="19.899999999999999" customHeight="1" x14ac:dyDescent="0.25">
      <c r="B103" s="409"/>
      <c r="D103" s="411" t="s">
        <v>1331</v>
      </c>
      <c r="E103" s="412"/>
      <c r="F103" s="412"/>
      <c r="G103" s="412"/>
      <c r="H103" s="412"/>
      <c r="I103" s="412"/>
      <c r="J103" s="413">
        <f>J142</f>
        <v>0</v>
      </c>
      <c r="L103" s="409"/>
    </row>
    <row r="104" spans="2:14" s="410" customFormat="1" ht="19.899999999999999" customHeight="1" x14ac:dyDescent="0.25">
      <c r="B104" s="409"/>
      <c r="D104" s="411" t="s">
        <v>1332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021 - VRN - úsek A</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1333</v>
      </c>
      <c r="F129" s="436" t="s">
        <v>1334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1335</v>
      </c>
      <c r="F130" s="443" t="s">
        <v>1336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1337</v>
      </c>
      <c r="F131" s="447" t="s">
        <v>1338</v>
      </c>
      <c r="G131" s="448" t="s">
        <v>3188</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1339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1339</v>
      </c>
      <c r="BM131" s="455" t="s">
        <v>1340</v>
      </c>
    </row>
    <row r="132" spans="2:65" s="434" customFormat="1" ht="22.9" customHeight="1" x14ac:dyDescent="0.2">
      <c r="B132" s="433"/>
      <c r="D132" s="435" t="s">
        <v>216</v>
      </c>
      <c r="E132" s="443" t="s">
        <v>1341</v>
      </c>
      <c r="F132" s="443" t="s">
        <v>1342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1343</v>
      </c>
      <c r="F133" s="447" t="s">
        <v>1344</v>
      </c>
      <c r="G133" s="448" t="s">
        <v>3188</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1339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1339</v>
      </c>
      <c r="BM133" s="455" t="s">
        <v>1345</v>
      </c>
    </row>
    <row r="134" spans="2:65" s="434" customFormat="1" ht="22.9" customHeight="1" x14ac:dyDescent="0.2">
      <c r="B134" s="433"/>
      <c r="D134" s="435" t="s">
        <v>216</v>
      </c>
      <c r="E134" s="443" t="s">
        <v>1346</v>
      </c>
      <c r="F134" s="443" t="s">
        <v>1347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1348</v>
      </c>
      <c r="F135" s="447" t="s">
        <v>1349</v>
      </c>
      <c r="G135" s="448" t="s">
        <v>3188</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1339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1339</v>
      </c>
      <c r="BM135" s="455" t="s">
        <v>1350</v>
      </c>
    </row>
    <row r="136" spans="2:65" s="434" customFormat="1" ht="22.9" customHeight="1" x14ac:dyDescent="0.2">
      <c r="B136" s="433"/>
      <c r="D136" s="435" t="s">
        <v>216</v>
      </c>
      <c r="E136" s="443" t="s">
        <v>1351</v>
      </c>
      <c r="F136" s="443" t="s">
        <v>1352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1353</v>
      </c>
      <c r="F137" s="447" t="s">
        <v>1354</v>
      </c>
      <c r="G137" s="448" t="s">
        <v>3188</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1339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1339</v>
      </c>
      <c r="BM137" s="455" t="s">
        <v>1355</v>
      </c>
    </row>
    <row r="138" spans="2:65" s="365" customFormat="1" ht="33" customHeight="1" x14ac:dyDescent="0.25">
      <c r="B138" s="364"/>
      <c r="C138" s="445" t="s">
        <v>118</v>
      </c>
      <c r="D138" s="445" t="s">
        <v>218</v>
      </c>
      <c r="E138" s="446" t="s">
        <v>1356</v>
      </c>
      <c r="F138" s="447" t="s">
        <v>1357</v>
      </c>
      <c r="G138" s="448" t="s">
        <v>3188</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1339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1339</v>
      </c>
      <c r="BM138" s="455" t="s">
        <v>1358</v>
      </c>
    </row>
    <row r="139" spans="2:65" s="434" customFormat="1" ht="22.9" customHeight="1" x14ac:dyDescent="0.2">
      <c r="B139" s="433"/>
      <c r="D139" s="435" t="s">
        <v>216</v>
      </c>
      <c r="E139" s="443" t="s">
        <v>1359</v>
      </c>
      <c r="F139" s="443" t="s">
        <v>1360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162</v>
      </c>
      <c r="D140" s="445" t="s">
        <v>218</v>
      </c>
      <c r="E140" s="446" t="s">
        <v>1361</v>
      </c>
      <c r="F140" s="447" t="s">
        <v>1362</v>
      </c>
      <c r="G140" s="448" t="s">
        <v>3188</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1339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1339</v>
      </c>
      <c r="BM140" s="455" t="s">
        <v>1363</v>
      </c>
    </row>
    <row r="141" spans="2:65" s="365" customFormat="1" ht="24.2" customHeight="1" x14ac:dyDescent="0.25">
      <c r="B141" s="364"/>
      <c r="C141" s="445" t="s">
        <v>115</v>
      </c>
      <c r="D141" s="445" t="s">
        <v>218</v>
      </c>
      <c r="E141" s="446" t="s">
        <v>1364</v>
      </c>
      <c r="F141" s="447" t="s">
        <v>1365</v>
      </c>
      <c r="G141" s="448" t="s">
        <v>3188</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1339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1339</v>
      </c>
      <c r="BM141" s="455" t="s">
        <v>1366</v>
      </c>
    </row>
    <row r="142" spans="2:65" s="434" customFormat="1" ht="22.9" customHeight="1" x14ac:dyDescent="0.2">
      <c r="B142" s="433"/>
      <c r="D142" s="435" t="s">
        <v>216</v>
      </c>
      <c r="E142" s="443" t="s">
        <v>1367</v>
      </c>
      <c r="F142" s="443" t="s">
        <v>1368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1369</v>
      </c>
      <c r="F143" s="447" t="s">
        <v>1370</v>
      </c>
      <c r="G143" s="448" t="s">
        <v>3188</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1339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1339</v>
      </c>
      <c r="BM143" s="455" t="s">
        <v>1371</v>
      </c>
    </row>
    <row r="144" spans="2:65" s="365" customFormat="1" ht="21.75" customHeight="1" x14ac:dyDescent="0.25">
      <c r="B144" s="364"/>
      <c r="C144" s="445" t="s">
        <v>116</v>
      </c>
      <c r="D144" s="445" t="s">
        <v>218</v>
      </c>
      <c r="E144" s="446" t="s">
        <v>1372</v>
      </c>
      <c r="F144" s="447" t="s">
        <v>1373</v>
      </c>
      <c r="G144" s="448" t="s">
        <v>3188</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1339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1339</v>
      </c>
      <c r="BM144" s="455" t="s">
        <v>1374</v>
      </c>
    </row>
    <row r="145" spans="2:63" s="434" customFormat="1" ht="22.9" customHeight="1" x14ac:dyDescent="0.2">
      <c r="B145" s="433"/>
      <c r="D145" s="435" t="s">
        <v>216</v>
      </c>
      <c r="E145" s="443" t="s">
        <v>1375</v>
      </c>
      <c r="F145" s="443" t="s">
        <v>1376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RqP4U3cfuJ0PlPjFVxgXb2tdPvlWrcRq4MplJE+Q74J681rV3vjimhm3Qik4IYeUWKZOGkxGUPzptXkrd5hzSw==" saltValue="+PNBwLkWtlta4WCnfCyPbA==" spinCount="100000" sheet="1" objects="1" scenarios="1"/>
  <autoFilter ref="C127:K145" xr:uid="{00000000-0009-0000-0000-000006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FC453-3542-428A-A301-0AB816B45885}">
  <sheetPr codeName="Hárok12">
    <pageSetUpPr fitToPage="1"/>
  </sheetPr>
  <dimension ref="B2:BM146"/>
  <sheetViews>
    <sheetView topLeftCell="A121" workbookViewId="0">
      <selection activeCell="F140" sqref="F140"/>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356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1381</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024 - VRN - úsek B</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1325</v>
      </c>
      <c r="E97" s="407"/>
      <c r="F97" s="407"/>
      <c r="G97" s="407"/>
      <c r="H97" s="407"/>
      <c r="I97" s="407"/>
      <c r="J97" s="408">
        <f>J129</f>
        <v>0</v>
      </c>
      <c r="L97" s="404"/>
    </row>
    <row r="98" spans="2:14" s="410" customFormat="1" ht="19.899999999999999" customHeight="1" x14ac:dyDescent="0.25">
      <c r="B98" s="409"/>
      <c r="D98" s="411" t="s">
        <v>1326</v>
      </c>
      <c r="E98" s="412"/>
      <c r="F98" s="412"/>
      <c r="G98" s="412"/>
      <c r="H98" s="412"/>
      <c r="I98" s="412"/>
      <c r="J98" s="413">
        <f>J130</f>
        <v>0</v>
      </c>
      <c r="L98" s="409"/>
    </row>
    <row r="99" spans="2:14" s="410" customFormat="1" ht="19.899999999999999" customHeight="1" x14ac:dyDescent="0.25">
      <c r="B99" s="409"/>
      <c r="D99" s="411" t="s">
        <v>1327</v>
      </c>
      <c r="E99" s="412"/>
      <c r="F99" s="412"/>
      <c r="G99" s="412"/>
      <c r="H99" s="412"/>
      <c r="I99" s="412"/>
      <c r="J99" s="413">
        <f>J132</f>
        <v>0</v>
      </c>
      <c r="L99" s="409"/>
    </row>
    <row r="100" spans="2:14" s="410" customFormat="1" ht="19.899999999999999" customHeight="1" x14ac:dyDescent="0.25">
      <c r="B100" s="409"/>
      <c r="D100" s="411" t="s">
        <v>1328</v>
      </c>
      <c r="E100" s="412"/>
      <c r="F100" s="412"/>
      <c r="G100" s="412"/>
      <c r="H100" s="412"/>
      <c r="I100" s="412"/>
      <c r="J100" s="413">
        <f>J134</f>
        <v>0</v>
      </c>
      <c r="L100" s="409"/>
    </row>
    <row r="101" spans="2:14" s="410" customFormat="1" ht="19.899999999999999" customHeight="1" x14ac:dyDescent="0.25">
      <c r="B101" s="409"/>
      <c r="D101" s="411" t="s">
        <v>1329</v>
      </c>
      <c r="E101" s="412"/>
      <c r="F101" s="412"/>
      <c r="G101" s="412"/>
      <c r="H101" s="412"/>
      <c r="I101" s="412"/>
      <c r="J101" s="413">
        <f>J136</f>
        <v>0</v>
      </c>
      <c r="L101" s="409"/>
    </row>
    <row r="102" spans="2:14" s="410" customFormat="1" ht="19.899999999999999" customHeight="1" x14ac:dyDescent="0.25">
      <c r="B102" s="409"/>
      <c r="D102" s="411" t="s">
        <v>1330</v>
      </c>
      <c r="E102" s="412"/>
      <c r="F102" s="412"/>
      <c r="G102" s="412"/>
      <c r="H102" s="412"/>
      <c r="I102" s="412"/>
      <c r="J102" s="413">
        <f>J139</f>
        <v>0</v>
      </c>
      <c r="L102" s="409"/>
    </row>
    <row r="103" spans="2:14" s="410" customFormat="1" ht="19.899999999999999" customHeight="1" x14ac:dyDescent="0.25">
      <c r="B103" s="409"/>
      <c r="D103" s="411" t="s">
        <v>1331</v>
      </c>
      <c r="E103" s="412"/>
      <c r="F103" s="412"/>
      <c r="G103" s="412"/>
      <c r="H103" s="412"/>
      <c r="I103" s="412"/>
      <c r="J103" s="413">
        <f>J142</f>
        <v>0</v>
      </c>
      <c r="L103" s="409"/>
    </row>
    <row r="104" spans="2:14" s="410" customFormat="1" ht="19.899999999999999" customHeight="1" x14ac:dyDescent="0.25">
      <c r="B104" s="409"/>
      <c r="D104" s="411" t="s">
        <v>1332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024 - VRN - úsek B</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1333</v>
      </c>
      <c r="F129" s="436" t="s">
        <v>1334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1335</v>
      </c>
      <c r="F130" s="443" t="s">
        <v>1336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1337</v>
      </c>
      <c r="F131" s="447" t="s">
        <v>1338</v>
      </c>
      <c r="G131" s="448" t="s">
        <v>3188</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1339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1339</v>
      </c>
      <c r="BM131" s="455" t="s">
        <v>1340</v>
      </c>
    </row>
    <row r="132" spans="2:65" s="434" customFormat="1" ht="22.9" customHeight="1" x14ac:dyDescent="0.2">
      <c r="B132" s="433"/>
      <c r="D132" s="435" t="s">
        <v>216</v>
      </c>
      <c r="E132" s="443" t="s">
        <v>1341</v>
      </c>
      <c r="F132" s="443" t="s">
        <v>1342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1343</v>
      </c>
      <c r="F133" s="447" t="s">
        <v>1344</v>
      </c>
      <c r="G133" s="448" t="s">
        <v>3188</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1339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1339</v>
      </c>
      <c r="BM133" s="455" t="s">
        <v>1345</v>
      </c>
    </row>
    <row r="134" spans="2:65" s="434" customFormat="1" ht="22.9" customHeight="1" x14ac:dyDescent="0.2">
      <c r="B134" s="433"/>
      <c r="D134" s="435" t="s">
        <v>216</v>
      </c>
      <c r="E134" s="443" t="s">
        <v>1346</v>
      </c>
      <c r="F134" s="443" t="s">
        <v>1347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1348</v>
      </c>
      <c r="F135" s="447" t="s">
        <v>1378</v>
      </c>
      <c r="G135" s="448" t="s">
        <v>3188</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1339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1339</v>
      </c>
      <c r="BM135" s="455" t="s">
        <v>1350</v>
      </c>
    </row>
    <row r="136" spans="2:65" s="434" customFormat="1" ht="22.9" customHeight="1" x14ac:dyDescent="0.2">
      <c r="B136" s="433"/>
      <c r="D136" s="435" t="s">
        <v>216</v>
      </c>
      <c r="E136" s="443" t="s">
        <v>1351</v>
      </c>
      <c r="F136" s="443" t="s">
        <v>1352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1353</v>
      </c>
      <c r="F137" s="447" t="s">
        <v>1354</v>
      </c>
      <c r="G137" s="448" t="s">
        <v>3188</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1339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1339</v>
      </c>
      <c r="BM137" s="455" t="s">
        <v>1355</v>
      </c>
    </row>
    <row r="138" spans="2:65" s="365" customFormat="1" ht="33" customHeight="1" x14ac:dyDescent="0.25">
      <c r="B138" s="364"/>
      <c r="C138" s="445" t="s">
        <v>118</v>
      </c>
      <c r="D138" s="445" t="s">
        <v>218</v>
      </c>
      <c r="E138" s="446" t="s">
        <v>1356</v>
      </c>
      <c r="F138" s="447" t="s">
        <v>1357</v>
      </c>
      <c r="G138" s="448" t="s">
        <v>3188</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1339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1339</v>
      </c>
      <c r="BM138" s="455" t="s">
        <v>1358</v>
      </c>
    </row>
    <row r="139" spans="2:65" s="434" customFormat="1" ht="22.9" customHeight="1" x14ac:dyDescent="0.2">
      <c r="B139" s="433"/>
      <c r="D139" s="435" t="s">
        <v>216</v>
      </c>
      <c r="E139" s="443" t="s">
        <v>1359</v>
      </c>
      <c r="F139" s="443" t="s">
        <v>1360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1361</v>
      </c>
      <c r="F140" s="447" t="s">
        <v>1362</v>
      </c>
      <c r="G140" s="448" t="s">
        <v>3188</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1339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1339</v>
      </c>
      <c r="BM140" s="455" t="s">
        <v>1382</v>
      </c>
    </row>
    <row r="141" spans="2:65" s="365" customFormat="1" ht="24.2" customHeight="1" x14ac:dyDescent="0.25">
      <c r="B141" s="364"/>
      <c r="C141" s="445" t="s">
        <v>162</v>
      </c>
      <c r="D141" s="445" t="s">
        <v>218</v>
      </c>
      <c r="E141" s="446" t="s">
        <v>1364</v>
      </c>
      <c r="F141" s="447" t="s">
        <v>1365</v>
      </c>
      <c r="G141" s="448" t="s">
        <v>3188</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1339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1339</v>
      </c>
      <c r="BM141" s="455" t="s">
        <v>1383</v>
      </c>
    </row>
    <row r="142" spans="2:65" s="434" customFormat="1" ht="22.9" customHeight="1" x14ac:dyDescent="0.2">
      <c r="B142" s="433"/>
      <c r="D142" s="435" t="s">
        <v>216</v>
      </c>
      <c r="E142" s="443" t="s">
        <v>1367</v>
      </c>
      <c r="F142" s="443" t="s">
        <v>1368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1369</v>
      </c>
      <c r="F143" s="447" t="s">
        <v>1370</v>
      </c>
      <c r="G143" s="448" t="s">
        <v>3188</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1339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1339</v>
      </c>
      <c r="BM143" s="455" t="s">
        <v>1371</v>
      </c>
    </row>
    <row r="144" spans="2:65" s="365" customFormat="1" ht="21.75" customHeight="1" x14ac:dyDescent="0.25">
      <c r="B144" s="364"/>
      <c r="C144" s="445" t="s">
        <v>116</v>
      </c>
      <c r="D144" s="445" t="s">
        <v>218</v>
      </c>
      <c r="E144" s="446" t="s">
        <v>1372</v>
      </c>
      <c r="F144" s="447" t="s">
        <v>1373</v>
      </c>
      <c r="G144" s="448" t="s">
        <v>3188</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1339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1339</v>
      </c>
      <c r="BM144" s="455" t="s">
        <v>1374</v>
      </c>
    </row>
    <row r="145" spans="2:63" s="434" customFormat="1" ht="22.9" customHeight="1" x14ac:dyDescent="0.2">
      <c r="B145" s="433"/>
      <c r="D145" s="435" t="s">
        <v>216</v>
      </c>
      <c r="E145" s="443" t="s">
        <v>1375</v>
      </c>
      <c r="F145" s="443" t="s">
        <v>1376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oqkZpnl/rk604tX/3R/0juEMkwcGwey6SltMJ6IewJJvD9Kn72J7m24gcQeUtDOc3sHy7hp3F7u8grz3895F5g==" saltValue="d/RvFxFqbrLk+8+do8VXiQ==" spinCount="100000" sheet="1" objects="1" scenarios="1"/>
  <autoFilter ref="C127:K145" xr:uid="{00000000-0009-0000-0000-000008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2493-305A-4EB0-A3A4-91A003BC4705}">
  <sheetPr codeName="Hárok13">
    <pageSetUpPr fitToPage="1"/>
  </sheetPr>
  <dimension ref="B2:BM146"/>
  <sheetViews>
    <sheetView topLeftCell="A124" workbookViewId="0">
      <selection activeCell="J144" sqref="J144"/>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359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1384</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025 - VRN - úsek C</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1325</v>
      </c>
      <c r="E97" s="407"/>
      <c r="F97" s="407"/>
      <c r="G97" s="407"/>
      <c r="H97" s="407"/>
      <c r="I97" s="407"/>
      <c r="J97" s="408">
        <f>J129</f>
        <v>0</v>
      </c>
      <c r="L97" s="404"/>
    </row>
    <row r="98" spans="2:14" s="410" customFormat="1" ht="19.899999999999999" customHeight="1" x14ac:dyDescent="0.25">
      <c r="B98" s="409"/>
      <c r="D98" s="411" t="s">
        <v>1326</v>
      </c>
      <c r="E98" s="412"/>
      <c r="F98" s="412"/>
      <c r="G98" s="412"/>
      <c r="H98" s="412"/>
      <c r="I98" s="412"/>
      <c r="J98" s="413">
        <f>J130</f>
        <v>0</v>
      </c>
      <c r="L98" s="409"/>
    </row>
    <row r="99" spans="2:14" s="410" customFormat="1" ht="19.899999999999999" customHeight="1" x14ac:dyDescent="0.25">
      <c r="B99" s="409"/>
      <c r="D99" s="411" t="s">
        <v>1327</v>
      </c>
      <c r="E99" s="412"/>
      <c r="F99" s="412"/>
      <c r="G99" s="412"/>
      <c r="H99" s="412"/>
      <c r="I99" s="412"/>
      <c r="J99" s="413">
        <f>J132</f>
        <v>0</v>
      </c>
      <c r="L99" s="409"/>
    </row>
    <row r="100" spans="2:14" s="410" customFormat="1" ht="19.899999999999999" customHeight="1" x14ac:dyDescent="0.25">
      <c r="B100" s="409"/>
      <c r="D100" s="411" t="s">
        <v>1328</v>
      </c>
      <c r="E100" s="412"/>
      <c r="F100" s="412"/>
      <c r="G100" s="412"/>
      <c r="H100" s="412"/>
      <c r="I100" s="412"/>
      <c r="J100" s="413">
        <f>J134</f>
        <v>0</v>
      </c>
      <c r="L100" s="409"/>
    </row>
    <row r="101" spans="2:14" s="410" customFormat="1" ht="19.899999999999999" customHeight="1" x14ac:dyDescent="0.25">
      <c r="B101" s="409"/>
      <c r="D101" s="411" t="s">
        <v>1329</v>
      </c>
      <c r="E101" s="412"/>
      <c r="F101" s="412"/>
      <c r="G101" s="412"/>
      <c r="H101" s="412"/>
      <c r="I101" s="412"/>
      <c r="J101" s="413">
        <f>J136</f>
        <v>0</v>
      </c>
      <c r="L101" s="409"/>
    </row>
    <row r="102" spans="2:14" s="410" customFormat="1" ht="19.899999999999999" customHeight="1" x14ac:dyDescent="0.25">
      <c r="B102" s="409"/>
      <c r="D102" s="411" t="s">
        <v>1330</v>
      </c>
      <c r="E102" s="412"/>
      <c r="F102" s="412"/>
      <c r="G102" s="412"/>
      <c r="H102" s="412"/>
      <c r="I102" s="412"/>
      <c r="J102" s="413">
        <f>J139</f>
        <v>0</v>
      </c>
      <c r="L102" s="409"/>
    </row>
    <row r="103" spans="2:14" s="410" customFormat="1" ht="19.899999999999999" customHeight="1" x14ac:dyDescent="0.25">
      <c r="B103" s="409"/>
      <c r="D103" s="411" t="s">
        <v>1331</v>
      </c>
      <c r="E103" s="412"/>
      <c r="F103" s="412"/>
      <c r="G103" s="412"/>
      <c r="H103" s="412"/>
      <c r="I103" s="412"/>
      <c r="J103" s="413">
        <f>J142</f>
        <v>0</v>
      </c>
      <c r="L103" s="409"/>
    </row>
    <row r="104" spans="2:14" s="410" customFormat="1" ht="19.899999999999999" customHeight="1" x14ac:dyDescent="0.25">
      <c r="B104" s="409"/>
      <c r="D104" s="411" t="s">
        <v>1332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025 - VRN - úsek C</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1333</v>
      </c>
      <c r="F129" s="436" t="s">
        <v>1334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1335</v>
      </c>
      <c r="F130" s="443" t="s">
        <v>1336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1337</v>
      </c>
      <c r="F131" s="447" t="s">
        <v>1338</v>
      </c>
      <c r="G131" s="448" t="s">
        <v>3188</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1339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1339</v>
      </c>
      <c r="BM131" s="455" t="s">
        <v>1340</v>
      </c>
    </row>
    <row r="132" spans="2:65" s="434" customFormat="1" ht="22.9" customHeight="1" x14ac:dyDescent="0.2">
      <c r="B132" s="433"/>
      <c r="D132" s="435" t="s">
        <v>216</v>
      </c>
      <c r="E132" s="443" t="s">
        <v>1341</v>
      </c>
      <c r="F132" s="443" t="s">
        <v>1342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1343</v>
      </c>
      <c r="F133" s="447" t="s">
        <v>1344</v>
      </c>
      <c r="G133" s="448" t="s">
        <v>3188</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1339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1339</v>
      </c>
      <c r="BM133" s="455" t="s">
        <v>1345</v>
      </c>
    </row>
    <row r="134" spans="2:65" s="434" customFormat="1" ht="22.9" customHeight="1" x14ac:dyDescent="0.2">
      <c r="B134" s="433"/>
      <c r="D134" s="435" t="s">
        <v>216</v>
      </c>
      <c r="E134" s="443" t="s">
        <v>1346</v>
      </c>
      <c r="F134" s="443" t="s">
        <v>1347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1348</v>
      </c>
      <c r="F135" s="447" t="s">
        <v>1378</v>
      </c>
      <c r="G135" s="448" t="s">
        <v>3188</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1339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1339</v>
      </c>
      <c r="BM135" s="455" t="s">
        <v>1350</v>
      </c>
    </row>
    <row r="136" spans="2:65" s="434" customFormat="1" ht="22.9" customHeight="1" x14ac:dyDescent="0.2">
      <c r="B136" s="433"/>
      <c r="D136" s="435" t="s">
        <v>216</v>
      </c>
      <c r="E136" s="443" t="s">
        <v>1351</v>
      </c>
      <c r="F136" s="443" t="s">
        <v>1352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1353</v>
      </c>
      <c r="F137" s="447" t="s">
        <v>1354</v>
      </c>
      <c r="G137" s="448" t="s">
        <v>3188</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1339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1339</v>
      </c>
      <c r="BM137" s="455" t="s">
        <v>1355</v>
      </c>
    </row>
    <row r="138" spans="2:65" s="365" customFormat="1" ht="33" customHeight="1" x14ac:dyDescent="0.25">
      <c r="B138" s="364"/>
      <c r="C138" s="445" t="s">
        <v>118</v>
      </c>
      <c r="D138" s="445" t="s">
        <v>218</v>
      </c>
      <c r="E138" s="446" t="s">
        <v>1356</v>
      </c>
      <c r="F138" s="447" t="s">
        <v>1357</v>
      </c>
      <c r="G138" s="448" t="s">
        <v>3188</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1339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1339</v>
      </c>
      <c r="BM138" s="455" t="s">
        <v>1358</v>
      </c>
    </row>
    <row r="139" spans="2:65" s="434" customFormat="1" ht="22.9" customHeight="1" x14ac:dyDescent="0.2">
      <c r="B139" s="433"/>
      <c r="D139" s="435" t="s">
        <v>216</v>
      </c>
      <c r="E139" s="443" t="s">
        <v>1359</v>
      </c>
      <c r="F139" s="443" t="s">
        <v>1360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1361</v>
      </c>
      <c r="F140" s="447" t="s">
        <v>1362</v>
      </c>
      <c r="G140" s="448" t="s">
        <v>3188</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1339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1339</v>
      </c>
      <c r="BM140" s="455" t="s">
        <v>1385</v>
      </c>
    </row>
    <row r="141" spans="2:65" s="365" customFormat="1" ht="24.2" customHeight="1" x14ac:dyDescent="0.25">
      <c r="B141" s="364"/>
      <c r="C141" s="445" t="s">
        <v>162</v>
      </c>
      <c r="D141" s="445" t="s">
        <v>218</v>
      </c>
      <c r="E141" s="446" t="s">
        <v>1364</v>
      </c>
      <c r="F141" s="447" t="s">
        <v>1365</v>
      </c>
      <c r="G141" s="448" t="s">
        <v>3188</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1339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1339</v>
      </c>
      <c r="BM141" s="455" t="s">
        <v>1386</v>
      </c>
    </row>
    <row r="142" spans="2:65" s="434" customFormat="1" ht="22.9" customHeight="1" x14ac:dyDescent="0.2">
      <c r="B142" s="433"/>
      <c r="D142" s="435" t="s">
        <v>216</v>
      </c>
      <c r="E142" s="443" t="s">
        <v>1367</v>
      </c>
      <c r="F142" s="443" t="s">
        <v>1368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1369</v>
      </c>
      <c r="F143" s="447" t="s">
        <v>1370</v>
      </c>
      <c r="G143" s="448" t="s">
        <v>3188</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1339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1339</v>
      </c>
      <c r="BM143" s="455" t="s">
        <v>1371</v>
      </c>
    </row>
    <row r="144" spans="2:65" s="365" customFormat="1" ht="21.75" customHeight="1" x14ac:dyDescent="0.25">
      <c r="B144" s="364"/>
      <c r="C144" s="445" t="s">
        <v>116</v>
      </c>
      <c r="D144" s="445" t="s">
        <v>218</v>
      </c>
      <c r="E144" s="446" t="s">
        <v>1372</v>
      </c>
      <c r="F144" s="447" t="s">
        <v>1373</v>
      </c>
      <c r="G144" s="448" t="s">
        <v>3188</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1339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1339</v>
      </c>
      <c r="BM144" s="455" t="s">
        <v>1374</v>
      </c>
    </row>
    <row r="145" spans="2:63" s="434" customFormat="1" ht="22.9" customHeight="1" x14ac:dyDescent="0.2">
      <c r="B145" s="433"/>
      <c r="D145" s="435" t="s">
        <v>216</v>
      </c>
      <c r="E145" s="443" t="s">
        <v>1375</v>
      </c>
      <c r="F145" s="443" t="s">
        <v>1376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Ccwp/TQ5Z9lpjHVI/hUQSMvIsTnDiNMo/Ix+pMBRXto9u19DE4TI0c22N8XNDA563hQlOMZh9fLqMpNGpbjPig==" saltValue="wGLVH/oq2M/gMTpxqdj7ag==" spinCount="100000" sheet="1" objects="1" scenarios="1"/>
  <autoFilter ref="C127:K145" xr:uid="{00000000-0009-0000-0000-000009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B413-3A45-4618-A69E-1F338BDEAAC3}">
  <sheetPr codeName="Hárok14">
    <pageSetUpPr fitToPage="1"/>
  </sheetPr>
  <dimension ref="B2:BM146"/>
  <sheetViews>
    <sheetView topLeftCell="A129" workbookViewId="0">
      <selection activeCell="L162" sqref="L162"/>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353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1377</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022 - VRN - úsek D</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1325</v>
      </c>
      <c r="E97" s="407"/>
      <c r="F97" s="407"/>
      <c r="G97" s="407"/>
      <c r="H97" s="407"/>
      <c r="I97" s="407"/>
      <c r="J97" s="408">
        <f>J129</f>
        <v>0</v>
      </c>
      <c r="L97" s="404"/>
    </row>
    <row r="98" spans="2:14" s="410" customFormat="1" ht="19.899999999999999" customHeight="1" x14ac:dyDescent="0.25">
      <c r="B98" s="409"/>
      <c r="D98" s="411" t="s">
        <v>1326</v>
      </c>
      <c r="E98" s="412"/>
      <c r="F98" s="412"/>
      <c r="G98" s="412"/>
      <c r="H98" s="412"/>
      <c r="I98" s="412"/>
      <c r="J98" s="413">
        <f>J130</f>
        <v>0</v>
      </c>
      <c r="L98" s="409"/>
    </row>
    <row r="99" spans="2:14" s="410" customFormat="1" ht="19.899999999999999" customHeight="1" x14ac:dyDescent="0.25">
      <c r="B99" s="409"/>
      <c r="D99" s="411" t="s">
        <v>1327</v>
      </c>
      <c r="E99" s="412"/>
      <c r="F99" s="412"/>
      <c r="G99" s="412"/>
      <c r="H99" s="412"/>
      <c r="I99" s="412"/>
      <c r="J99" s="413">
        <f>J132</f>
        <v>0</v>
      </c>
      <c r="L99" s="409"/>
    </row>
    <row r="100" spans="2:14" s="410" customFormat="1" ht="19.899999999999999" customHeight="1" x14ac:dyDescent="0.25">
      <c r="B100" s="409"/>
      <c r="D100" s="411" t="s">
        <v>1328</v>
      </c>
      <c r="E100" s="412"/>
      <c r="F100" s="412"/>
      <c r="G100" s="412"/>
      <c r="H100" s="412"/>
      <c r="I100" s="412"/>
      <c r="J100" s="413">
        <f>J134</f>
        <v>0</v>
      </c>
      <c r="L100" s="409"/>
    </row>
    <row r="101" spans="2:14" s="410" customFormat="1" ht="19.899999999999999" customHeight="1" x14ac:dyDescent="0.25">
      <c r="B101" s="409"/>
      <c r="D101" s="411" t="s">
        <v>1329</v>
      </c>
      <c r="E101" s="412"/>
      <c r="F101" s="412"/>
      <c r="G101" s="412"/>
      <c r="H101" s="412"/>
      <c r="I101" s="412"/>
      <c r="J101" s="413">
        <f>J136</f>
        <v>0</v>
      </c>
      <c r="L101" s="409"/>
    </row>
    <row r="102" spans="2:14" s="410" customFormat="1" ht="19.899999999999999" customHeight="1" x14ac:dyDescent="0.25">
      <c r="B102" s="409"/>
      <c r="D102" s="411" t="s">
        <v>1330</v>
      </c>
      <c r="E102" s="412"/>
      <c r="F102" s="412"/>
      <c r="G102" s="412"/>
      <c r="H102" s="412"/>
      <c r="I102" s="412"/>
      <c r="J102" s="413">
        <f>J139</f>
        <v>0</v>
      </c>
      <c r="L102" s="409"/>
    </row>
    <row r="103" spans="2:14" s="410" customFormat="1" ht="19.899999999999999" customHeight="1" x14ac:dyDescent="0.25">
      <c r="B103" s="409"/>
      <c r="D103" s="411" t="s">
        <v>1331</v>
      </c>
      <c r="E103" s="412"/>
      <c r="F103" s="412"/>
      <c r="G103" s="412"/>
      <c r="H103" s="412"/>
      <c r="I103" s="412"/>
      <c r="J103" s="413">
        <f>J142</f>
        <v>0</v>
      </c>
      <c r="L103" s="409"/>
    </row>
    <row r="104" spans="2:14" s="410" customFormat="1" ht="19.899999999999999" customHeight="1" x14ac:dyDescent="0.25">
      <c r="B104" s="409"/>
      <c r="D104" s="411" t="s">
        <v>1332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022 - VRN - úsek D</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1333</v>
      </c>
      <c r="F129" s="436" t="s">
        <v>1334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1335</v>
      </c>
      <c r="F130" s="443" t="s">
        <v>1336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1337</v>
      </c>
      <c r="F131" s="447" t="s">
        <v>1338</v>
      </c>
      <c r="G131" s="448" t="s">
        <v>3188</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1339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1339</v>
      </c>
      <c r="BM131" s="455" t="s">
        <v>1340</v>
      </c>
    </row>
    <row r="132" spans="2:65" s="434" customFormat="1" ht="22.9" customHeight="1" x14ac:dyDescent="0.2">
      <c r="B132" s="433"/>
      <c r="D132" s="435" t="s">
        <v>216</v>
      </c>
      <c r="E132" s="443" t="s">
        <v>1341</v>
      </c>
      <c r="F132" s="443" t="s">
        <v>1342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1343</v>
      </c>
      <c r="F133" s="447" t="s">
        <v>1344</v>
      </c>
      <c r="G133" s="448" t="s">
        <v>3188</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1339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1339</v>
      </c>
      <c r="BM133" s="455" t="s">
        <v>1345</v>
      </c>
    </row>
    <row r="134" spans="2:65" s="434" customFormat="1" ht="22.9" customHeight="1" x14ac:dyDescent="0.2">
      <c r="B134" s="433"/>
      <c r="D134" s="435" t="s">
        <v>216</v>
      </c>
      <c r="E134" s="443" t="s">
        <v>1346</v>
      </c>
      <c r="F134" s="443" t="s">
        <v>1347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1348</v>
      </c>
      <c r="F135" s="447" t="s">
        <v>1378</v>
      </c>
      <c r="G135" s="448" t="s">
        <v>3188</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1339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1339</v>
      </c>
      <c r="BM135" s="455" t="s">
        <v>1350</v>
      </c>
    </row>
    <row r="136" spans="2:65" s="434" customFormat="1" ht="22.9" customHeight="1" x14ac:dyDescent="0.2">
      <c r="B136" s="433"/>
      <c r="D136" s="435" t="s">
        <v>216</v>
      </c>
      <c r="E136" s="443" t="s">
        <v>1351</v>
      </c>
      <c r="F136" s="443" t="s">
        <v>1352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1353</v>
      </c>
      <c r="F137" s="447" t="s">
        <v>1354</v>
      </c>
      <c r="G137" s="448" t="s">
        <v>3188</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1339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1339</v>
      </c>
      <c r="BM137" s="455" t="s">
        <v>1355</v>
      </c>
    </row>
    <row r="138" spans="2:65" s="365" customFormat="1" ht="33" customHeight="1" x14ac:dyDescent="0.25">
      <c r="B138" s="364"/>
      <c r="C138" s="445" t="s">
        <v>118</v>
      </c>
      <c r="D138" s="445" t="s">
        <v>218</v>
      </c>
      <c r="E138" s="446" t="s">
        <v>1356</v>
      </c>
      <c r="F138" s="447" t="s">
        <v>1357</v>
      </c>
      <c r="G138" s="448" t="s">
        <v>3188</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1339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1339</v>
      </c>
      <c r="BM138" s="455" t="s">
        <v>1358</v>
      </c>
    </row>
    <row r="139" spans="2:65" s="434" customFormat="1" ht="22.9" customHeight="1" x14ac:dyDescent="0.2">
      <c r="B139" s="433"/>
      <c r="D139" s="435" t="s">
        <v>216</v>
      </c>
      <c r="E139" s="443" t="s">
        <v>1359</v>
      </c>
      <c r="F139" s="443" t="s">
        <v>1360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1361</v>
      </c>
      <c r="F140" s="447" t="s">
        <v>1362</v>
      </c>
      <c r="G140" s="448" t="s">
        <v>3188</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1339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1339</v>
      </c>
      <c r="BM140" s="455" t="s">
        <v>1379</v>
      </c>
    </row>
    <row r="141" spans="2:65" s="365" customFormat="1" ht="24.2" customHeight="1" x14ac:dyDescent="0.25">
      <c r="B141" s="364"/>
      <c r="C141" s="445" t="s">
        <v>162</v>
      </c>
      <c r="D141" s="445" t="s">
        <v>218</v>
      </c>
      <c r="E141" s="446" t="s">
        <v>1364</v>
      </c>
      <c r="F141" s="447" t="s">
        <v>1365</v>
      </c>
      <c r="G141" s="448" t="s">
        <v>3188</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1339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1339</v>
      </c>
      <c r="BM141" s="455" t="s">
        <v>1380</v>
      </c>
    </row>
    <row r="142" spans="2:65" s="434" customFormat="1" ht="22.9" customHeight="1" x14ac:dyDescent="0.2">
      <c r="B142" s="433"/>
      <c r="D142" s="435" t="s">
        <v>216</v>
      </c>
      <c r="E142" s="443" t="s">
        <v>1367</v>
      </c>
      <c r="F142" s="443" t="s">
        <v>1368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1369</v>
      </c>
      <c r="F143" s="447" t="s">
        <v>1370</v>
      </c>
      <c r="G143" s="448" t="s">
        <v>3188</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1339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1339</v>
      </c>
      <c r="BM143" s="455" t="s">
        <v>1371</v>
      </c>
    </row>
    <row r="144" spans="2:65" s="365" customFormat="1" ht="21.75" customHeight="1" x14ac:dyDescent="0.25">
      <c r="B144" s="364"/>
      <c r="C144" s="445" t="s">
        <v>116</v>
      </c>
      <c r="D144" s="445" t="s">
        <v>218</v>
      </c>
      <c r="E144" s="446" t="s">
        <v>1372</v>
      </c>
      <c r="F144" s="447" t="s">
        <v>1373</v>
      </c>
      <c r="G144" s="448" t="s">
        <v>3188</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1339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1339</v>
      </c>
      <c r="BM144" s="455" t="s">
        <v>1374</v>
      </c>
    </row>
    <row r="145" spans="2:63" s="434" customFormat="1" ht="22.9" customHeight="1" x14ac:dyDescent="0.2">
      <c r="B145" s="433"/>
      <c r="D145" s="435" t="s">
        <v>216</v>
      </c>
      <c r="E145" s="443" t="s">
        <v>1375</v>
      </c>
      <c r="F145" s="443" t="s">
        <v>1376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HHLUff1Ohg7mhztpEW7pRdKVucwF7oq6iD4FLVFn5oKaqzRUt7czI9G7jUaTX2DjF75rn8YYmy6ZuJsBO0QCzw==" saltValue="SCeozul/1TlrwtcThgcS+w==" spinCount="100000" sheet="1" objects="1" scenarios="1"/>
  <autoFilter ref="C127:K145" xr:uid="{00000000-0009-0000-0000-000007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3E521-5050-4724-89F4-D9AFE1A88C57}">
  <sheetPr codeName="Hárok15">
    <pageSetUpPr fitToPage="1"/>
  </sheetPr>
  <dimension ref="B2:BM213"/>
  <sheetViews>
    <sheetView topLeftCell="A199" workbookViewId="0">
      <selection activeCell="J175" sqref="J175"/>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335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409</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SUM(BE128:BE212)),  2)</f>
        <v>0</v>
      </c>
      <c r="G35" s="380"/>
      <c r="H35" s="380"/>
      <c r="I35" s="381">
        <v>0.23</v>
      </c>
      <c r="J35" s="379">
        <f>ROUND(((SUM(BE107:BE108) + SUM(BE128:BE212))*I35),  2)</f>
        <v>0</v>
      </c>
      <c r="L35" s="364"/>
    </row>
    <row r="36" spans="2:12" s="365" customFormat="1" ht="14.45" customHeight="1" x14ac:dyDescent="0.25">
      <c r="B36" s="364"/>
      <c r="E36" s="378" t="s">
        <v>185</v>
      </c>
      <c r="F36" s="382">
        <f>ROUND((SUM(BF107:BF108) + SUM(BF128:BF212)),  2)</f>
        <v>0</v>
      </c>
      <c r="I36" s="383">
        <v>0.23</v>
      </c>
      <c r="J36" s="382">
        <f>ROUND(((SUM(BF107:BF108) + SUM(BF128:BF212))*I36),  2)</f>
        <v>0</v>
      </c>
      <c r="L36" s="364"/>
    </row>
    <row r="37" spans="2:12" s="365" customFormat="1" ht="14.45" hidden="1" customHeight="1" x14ac:dyDescent="0.25">
      <c r="B37" s="364"/>
      <c r="E37" s="363" t="s">
        <v>186</v>
      </c>
      <c r="F37" s="382">
        <f>ROUND((SUM(BG107:BG108) + SUM(BG128:BG212)),  2)</f>
        <v>0</v>
      </c>
      <c r="I37" s="383">
        <v>0.23</v>
      </c>
      <c r="J37" s="382">
        <f>0</f>
        <v>0</v>
      </c>
      <c r="L37" s="364"/>
    </row>
    <row r="38" spans="2:12" s="365" customFormat="1" ht="14.45" hidden="1" customHeight="1" x14ac:dyDescent="0.25">
      <c r="B38" s="364"/>
      <c r="E38" s="363" t="s">
        <v>187</v>
      </c>
      <c r="F38" s="382">
        <f>ROUND((SUM(BH107:BH108) + SUM(BH128:BH212)),  2)</f>
        <v>0</v>
      </c>
      <c r="I38" s="383">
        <v>0.23</v>
      </c>
      <c r="J38" s="382">
        <f>0</f>
        <v>0</v>
      </c>
      <c r="L38" s="364"/>
    </row>
    <row r="39" spans="2:12" s="365" customFormat="1" ht="14.45" hidden="1" customHeight="1" x14ac:dyDescent="0.25">
      <c r="B39" s="364"/>
      <c r="E39" s="378" t="s">
        <v>188</v>
      </c>
      <c r="F39" s="379">
        <f>ROUND((SUM(BI107:BI108) + SUM(BI128:BI212)),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102.1 - SO 102.1 OM - úsek A</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J172</f>
        <v>0</v>
      </c>
      <c r="L100" s="409"/>
    </row>
    <row r="101" spans="2:14" s="410" customFormat="1" ht="19.899999999999999" customHeight="1" x14ac:dyDescent="0.25">
      <c r="B101" s="409"/>
      <c r="D101" s="411" t="s">
        <v>414</v>
      </c>
      <c r="E101" s="412"/>
      <c r="F101" s="412"/>
      <c r="G101" s="412"/>
      <c r="H101" s="412"/>
      <c r="I101" s="412"/>
      <c r="J101" s="413">
        <f>J198</f>
        <v>0</v>
      </c>
      <c r="L101" s="409"/>
    </row>
    <row r="102" spans="2:14" s="410" customFormat="1" ht="19.899999999999999" customHeight="1" x14ac:dyDescent="0.25">
      <c r="B102" s="409"/>
      <c r="D102" s="411" t="s">
        <v>415</v>
      </c>
      <c r="E102" s="412"/>
      <c r="F102" s="412"/>
      <c r="G102" s="412"/>
      <c r="H102" s="412"/>
      <c r="I102" s="412"/>
      <c r="J102" s="413">
        <f>J203</f>
        <v>0</v>
      </c>
      <c r="L102" s="409"/>
    </row>
    <row r="103" spans="2:14" s="405" customFormat="1" ht="24.95" customHeight="1" x14ac:dyDescent="0.25">
      <c r="B103" s="404"/>
      <c r="D103" s="406" t="s">
        <v>416</v>
      </c>
      <c r="E103" s="407"/>
      <c r="F103" s="407"/>
      <c r="G103" s="407"/>
      <c r="H103" s="407"/>
      <c r="I103" s="407"/>
      <c r="J103" s="408">
        <f>J207</f>
        <v>0</v>
      </c>
      <c r="L103" s="404"/>
    </row>
    <row r="104" spans="2:14" s="410" customFormat="1" ht="19.899999999999999" customHeight="1" x14ac:dyDescent="0.25">
      <c r="B104" s="409"/>
      <c r="D104" s="411" t="s">
        <v>417</v>
      </c>
      <c r="E104" s="412"/>
      <c r="F104" s="412"/>
      <c r="G104" s="412"/>
      <c r="H104" s="412"/>
      <c r="I104" s="412"/>
      <c r="J104" s="413">
        <f>J209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102.1 - SO 102.1 OM - úsek A</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P129+P207</f>
        <v>23466.981276260001</v>
      </c>
      <c r="Q128" s="371"/>
      <c r="R128" s="430">
        <f>R129+R207</f>
        <v>5932.4823086595989</v>
      </c>
      <c r="S128" s="371"/>
      <c r="T128" s="431">
        <f>T129+T207</f>
        <v>32.535000000000004</v>
      </c>
      <c r="AT128" s="357" t="s">
        <v>216</v>
      </c>
      <c r="AU128" s="357" t="s">
        <v>202</v>
      </c>
      <c r="BK128" s="432">
        <f>BK129+BK207</f>
        <v>0</v>
      </c>
    </row>
    <row r="129" spans="2:65" s="434" customFormat="1" ht="25.9" customHeight="1" x14ac:dyDescent="0.2">
      <c r="B129" s="433"/>
      <c r="D129" s="435" t="s">
        <v>216</v>
      </c>
      <c r="E129" s="436" t="s">
        <v>418</v>
      </c>
      <c r="F129" s="436" t="s">
        <v>419</v>
      </c>
      <c r="J129" s="437">
        <f>BK129</f>
        <v>0</v>
      </c>
      <c r="L129" s="433"/>
      <c r="M129" s="438"/>
      <c r="P129" s="439">
        <f>P130+P148+P172+P198+P203</f>
        <v>22917.149426260003</v>
      </c>
      <c r="R129" s="439">
        <f>R130+R148+R172+R198+R203</f>
        <v>5931.9100769595989</v>
      </c>
      <c r="T129" s="440">
        <f>T130+T148+T172+T198+T203</f>
        <v>32.535000000000004</v>
      </c>
      <c r="AR129" s="435" t="s">
        <v>109</v>
      </c>
      <c r="AT129" s="441" t="s">
        <v>216</v>
      </c>
      <c r="AU129" s="441" t="s">
        <v>165</v>
      </c>
      <c r="AY129" s="435" t="s">
        <v>217</v>
      </c>
      <c r="BK129" s="442">
        <f>BK130+BK148+BK172+BK198+BK203</f>
        <v>0</v>
      </c>
    </row>
    <row r="130" spans="2:65" s="434" customFormat="1" ht="22.9" customHeight="1" x14ac:dyDescent="0.2">
      <c r="B130" s="433"/>
      <c r="D130" s="435" t="s">
        <v>216</v>
      </c>
      <c r="E130" s="443" t="s">
        <v>109</v>
      </c>
      <c r="F130" s="443" t="s">
        <v>220</v>
      </c>
      <c r="J130" s="444">
        <f>BK130</f>
        <v>0</v>
      </c>
      <c r="L130" s="433"/>
      <c r="M130" s="438"/>
      <c r="P130" s="439">
        <f>SUM(P131:P147)</f>
        <v>6460.3714699999991</v>
      </c>
      <c r="R130" s="439">
        <f>SUM(R131:R147)</f>
        <v>4472.4276599999994</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4598</v>
      </c>
      <c r="I131" s="329">
        <v>0</v>
      </c>
      <c r="J131" s="450">
        <f t="shared" ref="J131:J147" si="0">ROUND(I131*H131,2)</f>
        <v>0</v>
      </c>
      <c r="K131" s="451"/>
      <c r="L131" s="364"/>
      <c r="M131" s="452" t="s">
        <v>171</v>
      </c>
      <c r="N131" s="415" t="s">
        <v>185</v>
      </c>
      <c r="O131" s="453">
        <v>5.2500000000000003E-3</v>
      </c>
      <c r="P131" s="453">
        <f t="shared" ref="P131:P147" si="1">O131*H131</f>
        <v>24.139500000000002</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689.7</v>
      </c>
      <c r="I132" s="329">
        <v>0</v>
      </c>
      <c r="J132" s="450">
        <f t="shared" si="0"/>
        <v>0</v>
      </c>
      <c r="K132" s="451"/>
      <c r="L132" s="364"/>
      <c r="M132" s="452" t="s">
        <v>171</v>
      </c>
      <c r="N132" s="415" t="s">
        <v>185</v>
      </c>
      <c r="O132" s="453">
        <v>0.16300000000000001</v>
      </c>
      <c r="P132" s="453">
        <f t="shared" si="1"/>
        <v>112.42110000000001</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4598</v>
      </c>
      <c r="I133" s="329">
        <v>0</v>
      </c>
      <c r="J133" s="450">
        <f t="shared" si="0"/>
        <v>0</v>
      </c>
      <c r="K133" s="451"/>
      <c r="L133" s="364"/>
      <c r="M133" s="452" t="s">
        <v>171</v>
      </c>
      <c r="N133" s="415" t="s">
        <v>185</v>
      </c>
      <c r="O133" s="453">
        <v>6.6000000000000003E-2</v>
      </c>
      <c r="P133" s="453">
        <f t="shared" si="1"/>
        <v>303.46800000000002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3581</v>
      </c>
      <c r="I134" s="329">
        <v>0</v>
      </c>
      <c r="J134" s="450">
        <f t="shared" si="0"/>
        <v>0</v>
      </c>
      <c r="K134" s="451"/>
      <c r="L134" s="364"/>
      <c r="M134" s="452" t="s">
        <v>171</v>
      </c>
      <c r="N134" s="415" t="s">
        <v>185</v>
      </c>
      <c r="O134" s="453">
        <v>0.15</v>
      </c>
      <c r="P134" s="453">
        <f t="shared" si="1"/>
        <v>537.15</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3581</v>
      </c>
      <c r="I135" s="329">
        <v>0</v>
      </c>
      <c r="J135" s="450">
        <f t="shared" si="0"/>
        <v>0</v>
      </c>
      <c r="K135" s="451"/>
      <c r="L135" s="364"/>
      <c r="M135" s="452" t="s">
        <v>171</v>
      </c>
      <c r="N135" s="415" t="s">
        <v>185</v>
      </c>
      <c r="O135" s="453">
        <v>7.6999999999999999E-2</v>
      </c>
      <c r="P135" s="453">
        <f t="shared" si="1"/>
        <v>275.73700000000002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v>990.3</v>
      </c>
      <c r="I136" s="329">
        <v>0</v>
      </c>
      <c r="J136" s="450">
        <f t="shared" si="0"/>
        <v>0</v>
      </c>
      <c r="K136" s="451"/>
      <c r="L136" s="364"/>
      <c r="M136" s="452" t="s">
        <v>171</v>
      </c>
      <c r="N136" s="415" t="s">
        <v>185</v>
      </c>
      <c r="O136" s="453">
        <v>8.6999999999999994E-2</v>
      </c>
      <c r="P136" s="453">
        <f t="shared" si="1"/>
        <v>86.156099999999995</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439</v>
      </c>
      <c r="G137" s="448" t="s">
        <v>114</v>
      </c>
      <c r="H137" s="449">
        <v>990.3</v>
      </c>
      <c r="I137" s="329">
        <v>0</v>
      </c>
      <c r="J137" s="450">
        <f t="shared" si="0"/>
        <v>0</v>
      </c>
      <c r="K137" s="451"/>
      <c r="L137" s="364"/>
      <c r="M137" s="452" t="s">
        <v>171</v>
      </c>
      <c r="N137" s="415" t="s">
        <v>185</v>
      </c>
      <c r="O137" s="453">
        <v>4.4499999999999998E-2</v>
      </c>
      <c r="P137" s="453">
        <f t="shared" si="1"/>
        <v>44.068349999999995</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46" t="s">
        <v>441</v>
      </c>
      <c r="F138" s="447" t="s">
        <v>442</v>
      </c>
      <c r="G138" s="448" t="s">
        <v>114</v>
      </c>
      <c r="H138" s="449">
        <v>21786.6</v>
      </c>
      <c r="I138" s="329">
        <v>0</v>
      </c>
      <c r="J138" s="450">
        <f t="shared" si="0"/>
        <v>0</v>
      </c>
      <c r="K138" s="451"/>
      <c r="L138" s="364"/>
      <c r="M138" s="452" t="s">
        <v>171</v>
      </c>
      <c r="N138" s="415" t="s">
        <v>185</v>
      </c>
      <c r="O138" s="453">
        <v>5.1999999999999998E-3</v>
      </c>
      <c r="P138" s="453">
        <f t="shared" si="1"/>
        <v>113.29031999999999</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3067</v>
      </c>
      <c r="G139" s="448" t="s">
        <v>112</v>
      </c>
      <c r="H139" s="449">
        <f>Ponuka!S119</f>
        <v>1782.6000000000004</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280</v>
      </c>
      <c r="I140" s="329">
        <v>0</v>
      </c>
      <c r="J140" s="450">
        <f t="shared" si="0"/>
        <v>0</v>
      </c>
      <c r="K140" s="451"/>
      <c r="L140" s="364"/>
      <c r="M140" s="452" t="s">
        <v>171</v>
      </c>
      <c r="N140" s="415" t="s">
        <v>185</v>
      </c>
      <c r="O140" s="453">
        <v>0.22900000000000001</v>
      </c>
      <c r="P140" s="453">
        <f t="shared" si="1"/>
        <v>64.12</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1830</v>
      </c>
      <c r="I141" s="329">
        <v>0</v>
      </c>
      <c r="J141" s="450">
        <f t="shared" si="0"/>
        <v>0</v>
      </c>
      <c r="K141" s="451"/>
      <c r="L141" s="364"/>
      <c r="M141" s="452" t="s">
        <v>171</v>
      </c>
      <c r="N141" s="415" t="s">
        <v>185</v>
      </c>
      <c r="O141" s="453">
        <v>0.216</v>
      </c>
      <c r="P141" s="453">
        <f t="shared" si="1"/>
        <v>395.28</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3294</v>
      </c>
      <c r="I142" s="330">
        <v>0</v>
      </c>
      <c r="J142" s="462">
        <f t="shared" si="0"/>
        <v>0</v>
      </c>
      <c r="K142" s="463"/>
      <c r="L142" s="464"/>
      <c r="M142" s="465" t="s">
        <v>171</v>
      </c>
      <c r="N142" s="466" t="s">
        <v>185</v>
      </c>
      <c r="O142" s="453">
        <v>0</v>
      </c>
      <c r="P142" s="453">
        <f t="shared" si="1"/>
        <v>0</v>
      </c>
      <c r="Q142" s="453">
        <v>1</v>
      </c>
      <c r="R142" s="453">
        <f t="shared" si="2"/>
        <v>3294</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4732.3</v>
      </c>
      <c r="I143" s="329">
        <v>0</v>
      </c>
      <c r="J143" s="450">
        <f t="shared" si="0"/>
        <v>0</v>
      </c>
      <c r="K143" s="451"/>
      <c r="L143" s="364"/>
      <c r="M143" s="452" t="s">
        <v>171</v>
      </c>
      <c r="N143" s="415" t="s">
        <v>185</v>
      </c>
      <c r="O143" s="453">
        <v>1.7000000000000001E-2</v>
      </c>
      <c r="P143" s="453">
        <f t="shared" si="1"/>
        <v>80.449100000000016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1852</v>
      </c>
      <c r="I144" s="329">
        <v>0</v>
      </c>
      <c r="J144" s="450">
        <f t="shared" si="0"/>
        <v>0</v>
      </c>
      <c r="K144" s="451"/>
      <c r="L144" s="364"/>
      <c r="M144" s="452" t="s">
        <v>171</v>
      </c>
      <c r="N144" s="415" t="s">
        <v>185</v>
      </c>
      <c r="O144" s="453">
        <v>9.8000000000000004E-2</v>
      </c>
      <c r="P144" s="453">
        <f t="shared" si="1"/>
        <v>181.49600000000001</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2037.2</v>
      </c>
      <c r="I145" s="330">
        <v>0</v>
      </c>
      <c r="J145" s="462">
        <f t="shared" si="0"/>
        <v>0</v>
      </c>
      <c r="K145" s="463"/>
      <c r="L145" s="464"/>
      <c r="M145" s="465" t="s">
        <v>171</v>
      </c>
      <c r="N145" s="466" t="s">
        <v>185</v>
      </c>
      <c r="O145" s="453">
        <v>0</v>
      </c>
      <c r="P145" s="453">
        <f t="shared" si="1"/>
        <v>0</v>
      </c>
      <c r="Q145" s="453">
        <v>8.9999999999999998E-4</v>
      </c>
      <c r="R145" s="453">
        <f t="shared" si="2"/>
        <v>1.83348</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1852</v>
      </c>
      <c r="I146" s="329">
        <v>0</v>
      </c>
      <c r="J146" s="450">
        <f t="shared" si="0"/>
        <v>0</v>
      </c>
      <c r="K146" s="451"/>
      <c r="L146" s="364"/>
      <c r="M146" s="452" t="s">
        <v>171</v>
      </c>
      <c r="N146" s="415" t="s">
        <v>185</v>
      </c>
      <c r="O146" s="453">
        <v>1.77</v>
      </c>
      <c r="P146" s="453">
        <f t="shared" si="1"/>
        <v>3278.04</v>
      </c>
      <c r="Q146" s="453">
        <v>1.2149999999999999E-3</v>
      </c>
      <c r="R146" s="453">
        <f t="shared" si="2"/>
        <v>2.2501799999999998</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586</v>
      </c>
      <c r="I147" s="329">
        <v>0</v>
      </c>
      <c r="J147" s="450">
        <f t="shared" si="0"/>
        <v>0</v>
      </c>
      <c r="K147" s="451"/>
      <c r="L147" s="364"/>
      <c r="M147" s="452" t="s">
        <v>171</v>
      </c>
      <c r="N147" s="415" t="s">
        <v>185</v>
      </c>
      <c r="O147" s="453">
        <v>1.6459999999999999</v>
      </c>
      <c r="P147" s="453">
        <f t="shared" si="1"/>
        <v>964.55599999999993</v>
      </c>
      <c r="Q147" s="453">
        <v>2.004</v>
      </c>
      <c r="R147" s="453">
        <f t="shared" si="2"/>
        <v>1174.3440000000001</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SUM(P149:P171)</f>
        <v>9853.1217515999997</v>
      </c>
      <c r="R148" s="439">
        <f>SUM(R149:R171)</f>
        <v>1192.4457001075798</v>
      </c>
      <c r="T148" s="440">
        <f>SUM(T149:T171)</f>
        <v>0</v>
      </c>
      <c r="AR148" s="435" t="s">
        <v>109</v>
      </c>
      <c r="AT148" s="441" t="s">
        <v>216</v>
      </c>
      <c r="AU148" s="441" t="s">
        <v>109</v>
      </c>
      <c r="AY148" s="435" t="s">
        <v>217</v>
      </c>
      <c r="BK148" s="442">
        <f>SUM(BK149:BK171)</f>
        <v>0</v>
      </c>
    </row>
    <row r="149" spans="2:65" s="365" customFormat="1" ht="33" customHeight="1" x14ac:dyDescent="0.25">
      <c r="B149" s="364"/>
      <c r="C149" s="445" t="s">
        <v>231</v>
      </c>
      <c r="D149" s="445" t="s">
        <v>218</v>
      </c>
      <c r="E149" s="446" t="s">
        <v>470</v>
      </c>
      <c r="F149" s="447" t="s">
        <v>471</v>
      </c>
      <c r="G149" s="448" t="s">
        <v>111</v>
      </c>
      <c r="H149" s="449">
        <v>1728</v>
      </c>
      <c r="I149" s="329">
        <v>0</v>
      </c>
      <c r="J149" s="450">
        <f t="shared" ref="J149:J171" si="10">ROUND(I149*H149,2)</f>
        <v>0</v>
      </c>
      <c r="K149" s="451"/>
      <c r="L149" s="364"/>
      <c r="M149" s="452" t="s">
        <v>171</v>
      </c>
      <c r="N149" s="415" t="s">
        <v>185</v>
      </c>
      <c r="O149" s="453">
        <v>4.0000000000000001E-3</v>
      </c>
      <c r="P149" s="453">
        <f t="shared" ref="P149:P171" si="11">O149*H149</f>
        <v>6.9119999999999999</v>
      </c>
      <c r="Q149" s="453">
        <v>0</v>
      </c>
      <c r="R149" s="453">
        <f t="shared" ref="R149:R171" si="12">Q149*H149</f>
        <v>0</v>
      </c>
      <c r="S149" s="453">
        <v>0</v>
      </c>
      <c r="T149" s="454">
        <f t="shared" ref="T149:T171" si="13">S149*H149</f>
        <v>0</v>
      </c>
      <c r="AR149" s="455" t="s">
        <v>110</v>
      </c>
      <c r="AT149" s="455" t="s">
        <v>218</v>
      </c>
      <c r="AU149" s="455" t="s">
        <v>108</v>
      </c>
      <c r="AY149" s="357" t="s">
        <v>217</v>
      </c>
      <c r="BE149" s="456">
        <f t="shared" ref="BE149:BE171" si="14">IF(N149="základná",J149,0)</f>
        <v>0</v>
      </c>
      <c r="BF149" s="456">
        <f t="shared" ref="BF149:BF171" si="15">IF(N149="znížená",J149,0)</f>
        <v>0</v>
      </c>
      <c r="BG149" s="456">
        <f t="shared" ref="BG149:BG171" si="16">IF(N149="zákl. prenesená",J149,0)</f>
        <v>0</v>
      </c>
      <c r="BH149" s="456">
        <f t="shared" ref="BH149:BH171" si="17">IF(N149="zníž. prenesená",J149,0)</f>
        <v>0</v>
      </c>
      <c r="BI149" s="456">
        <f t="shared" ref="BI149:BI171" si="18">IF(N149="nulová",J149,0)</f>
        <v>0</v>
      </c>
      <c r="BJ149" s="357" t="s">
        <v>108</v>
      </c>
      <c r="BK149" s="456">
        <f t="shared" ref="BK149:BK171"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5603</v>
      </c>
      <c r="I150" s="329">
        <v>0</v>
      </c>
      <c r="J150" s="450">
        <f t="shared" si="10"/>
        <v>0</v>
      </c>
      <c r="K150" s="451"/>
      <c r="L150" s="364"/>
      <c r="M150" s="452" t="s">
        <v>171</v>
      </c>
      <c r="N150" s="415" t="s">
        <v>185</v>
      </c>
      <c r="O150" s="453">
        <v>0.105</v>
      </c>
      <c r="P150" s="453">
        <f t="shared" si="11"/>
        <v>588.31499999999994</v>
      </c>
      <c r="Q150" s="453">
        <v>3.1981000000000002E-4</v>
      </c>
      <c r="R150" s="453">
        <f t="shared" si="12"/>
        <v>1.7918954300000001</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6163.3</v>
      </c>
      <c r="I151" s="330">
        <v>0</v>
      </c>
      <c r="J151" s="462">
        <f t="shared" si="10"/>
        <v>0</v>
      </c>
      <c r="K151" s="463"/>
      <c r="L151" s="464"/>
      <c r="M151" s="465" t="s">
        <v>171</v>
      </c>
      <c r="N151" s="466" t="s">
        <v>185</v>
      </c>
      <c r="O151" s="453">
        <v>0</v>
      </c>
      <c r="P151" s="453">
        <f t="shared" si="11"/>
        <v>0</v>
      </c>
      <c r="Q151" s="453">
        <v>2.7999999999999998E-4</v>
      </c>
      <c r="R151" s="453">
        <f t="shared" si="12"/>
        <v>1.7257239999999998</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590</v>
      </c>
      <c r="I152" s="329">
        <v>0</v>
      </c>
      <c r="J152" s="450">
        <f t="shared" si="10"/>
        <v>0</v>
      </c>
      <c r="K152" s="451"/>
      <c r="L152" s="364"/>
      <c r="M152" s="452" t="s">
        <v>171</v>
      </c>
      <c r="N152" s="415" t="s">
        <v>185</v>
      </c>
      <c r="O152" s="453">
        <v>6.6000000000000003E-2</v>
      </c>
      <c r="P152" s="453">
        <f t="shared" si="11"/>
        <v>38.940000000000005</v>
      </c>
      <c r="Q152" s="453">
        <v>1.7979999999999999E-2</v>
      </c>
      <c r="R152" s="453">
        <f t="shared" si="12"/>
        <v>10.6082</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590</v>
      </c>
      <c r="I153" s="329">
        <v>0</v>
      </c>
      <c r="J153" s="450">
        <f t="shared" si="10"/>
        <v>0</v>
      </c>
      <c r="K153" s="451"/>
      <c r="L153" s="364"/>
      <c r="M153" s="452" t="s">
        <v>171</v>
      </c>
      <c r="N153" s="415" t="s">
        <v>185</v>
      </c>
      <c r="O153" s="453">
        <v>3.9600000000000003E-2</v>
      </c>
      <c r="P153" s="453">
        <f t="shared" si="11"/>
        <v>23.364000000000001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590</v>
      </c>
      <c r="I154" s="330">
        <v>0</v>
      </c>
      <c r="J154" s="462">
        <f t="shared" si="10"/>
        <v>0</v>
      </c>
      <c r="K154" s="463"/>
      <c r="L154" s="464"/>
      <c r="M154" s="465" t="s">
        <v>171</v>
      </c>
      <c r="N154" s="466" t="s">
        <v>185</v>
      </c>
      <c r="O154" s="453">
        <v>0</v>
      </c>
      <c r="P154" s="453">
        <f t="shared" si="11"/>
        <v>0</v>
      </c>
      <c r="Q154" s="453">
        <v>1E-3</v>
      </c>
      <c r="R154" s="453">
        <f t="shared" si="12"/>
        <v>0.59</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590</v>
      </c>
      <c r="I155" s="329">
        <v>0</v>
      </c>
      <c r="J155" s="450">
        <f t="shared" si="10"/>
        <v>0</v>
      </c>
      <c r="K155" s="451"/>
      <c r="L155" s="364"/>
      <c r="M155" s="452" t="s">
        <v>171</v>
      </c>
      <c r="N155" s="415" t="s">
        <v>185</v>
      </c>
      <c r="O155" s="453">
        <v>5.2010000000000001E-2</v>
      </c>
      <c r="P155" s="453">
        <f t="shared" si="11"/>
        <v>30.6859</v>
      </c>
      <c r="Q155" s="453">
        <v>1.584E-4</v>
      </c>
      <c r="R155" s="453">
        <f t="shared" si="12"/>
        <v>9.3455999999999997E-2</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6050</v>
      </c>
      <c r="I156" s="329">
        <v>0</v>
      </c>
      <c r="J156" s="450">
        <f t="shared" si="10"/>
        <v>0</v>
      </c>
      <c r="K156" s="451"/>
      <c r="L156" s="364"/>
      <c r="M156" s="452" t="s">
        <v>171</v>
      </c>
      <c r="N156" s="415" t="s">
        <v>185</v>
      </c>
      <c r="O156" s="453">
        <v>0.18</v>
      </c>
      <c r="P156" s="453">
        <f t="shared" si="11"/>
        <v>1089</v>
      </c>
      <c r="Q156" s="453">
        <v>2.4139999999999999E-3</v>
      </c>
      <c r="R156" s="453">
        <f t="shared" si="12"/>
        <v>14.604699999999999</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1070</v>
      </c>
      <c r="I157" s="329">
        <v>0</v>
      </c>
      <c r="J157" s="450">
        <f t="shared" si="10"/>
        <v>0</v>
      </c>
      <c r="K157" s="451"/>
      <c r="L157" s="364"/>
      <c r="M157" s="452" t="s">
        <v>171</v>
      </c>
      <c r="N157" s="415" t="s">
        <v>185</v>
      </c>
      <c r="O157" s="453">
        <v>1.1359999999999999</v>
      </c>
      <c r="P157" s="453">
        <f t="shared" si="11"/>
        <v>1215.52</v>
      </c>
      <c r="Q157" s="453">
        <v>1.7139999999999999E-2</v>
      </c>
      <c r="R157" s="453">
        <f t="shared" si="12"/>
        <v>18.3398</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585</v>
      </c>
      <c r="I158" s="329">
        <v>0</v>
      </c>
      <c r="J158" s="450">
        <f t="shared" si="10"/>
        <v>0</v>
      </c>
      <c r="K158" s="451"/>
      <c r="L158" s="364"/>
      <c r="M158" s="452" t="s">
        <v>171</v>
      </c>
      <c r="N158" s="415" t="s">
        <v>185</v>
      </c>
      <c r="O158" s="453">
        <v>8.5020000000000007</v>
      </c>
      <c r="P158" s="453">
        <f t="shared" si="11"/>
        <v>4973.67</v>
      </c>
      <c r="Q158" s="453">
        <v>1.7816399999999999</v>
      </c>
      <c r="R158" s="453">
        <f t="shared" si="12"/>
        <v>1042.2593999999999</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42336</v>
      </c>
      <c r="I159" s="329">
        <v>0</v>
      </c>
      <c r="J159" s="450">
        <f t="shared" si="10"/>
        <v>0</v>
      </c>
      <c r="K159" s="451"/>
      <c r="L159" s="364"/>
      <c r="M159" s="452" t="s">
        <v>171</v>
      </c>
      <c r="N159" s="415" t="s">
        <v>185</v>
      </c>
      <c r="O159" s="453">
        <v>3.8100000000000002E-2</v>
      </c>
      <c r="P159" s="453">
        <f t="shared" si="11"/>
        <v>1613.0016000000001</v>
      </c>
      <c r="Q159" s="453">
        <v>2.5910000000000001E-5</v>
      </c>
      <c r="R159" s="453">
        <f t="shared" si="12"/>
        <v>1.09692576</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365" customFormat="1" ht="24.2" customHeight="1" x14ac:dyDescent="0.25">
      <c r="B160" s="364"/>
      <c r="C160" s="445" t="s">
        <v>243</v>
      </c>
      <c r="D160" s="445" t="s">
        <v>218</v>
      </c>
      <c r="E160" s="446" t="s">
        <v>504</v>
      </c>
      <c r="F160" s="447" t="s">
        <v>505</v>
      </c>
      <c r="G160" s="448" t="s">
        <v>114</v>
      </c>
      <c r="H160" s="449">
        <v>4.4000000000000004</v>
      </c>
      <c r="I160" s="329">
        <v>0</v>
      </c>
      <c r="J160" s="450">
        <f t="shared" si="10"/>
        <v>0</v>
      </c>
      <c r="K160" s="451"/>
      <c r="L160" s="364"/>
      <c r="M160" s="452" t="s">
        <v>171</v>
      </c>
      <c r="N160" s="415" t="s">
        <v>185</v>
      </c>
      <c r="O160" s="453">
        <v>0.61770999999999998</v>
      </c>
      <c r="P160" s="453">
        <f t="shared" si="11"/>
        <v>2.717924</v>
      </c>
      <c r="Q160" s="453">
        <v>2.2354352</v>
      </c>
      <c r="R160" s="453">
        <f t="shared" si="12"/>
        <v>9.8359148800000007</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506</v>
      </c>
    </row>
    <row r="161" spans="2:65" s="365" customFormat="1" ht="24.2" customHeight="1" x14ac:dyDescent="0.25">
      <c r="B161" s="364"/>
      <c r="C161" s="445" t="s">
        <v>244</v>
      </c>
      <c r="D161" s="445" t="s">
        <v>218</v>
      </c>
      <c r="E161" s="446" t="s">
        <v>507</v>
      </c>
      <c r="F161" s="447" t="s">
        <v>508</v>
      </c>
      <c r="G161" s="448" t="s">
        <v>114</v>
      </c>
      <c r="H161" s="449">
        <v>36.950000000000003</v>
      </c>
      <c r="I161" s="329">
        <v>0</v>
      </c>
      <c r="J161" s="450">
        <f t="shared" si="10"/>
        <v>0</v>
      </c>
      <c r="K161" s="451"/>
      <c r="L161" s="364"/>
      <c r="M161" s="452" t="s">
        <v>171</v>
      </c>
      <c r="N161" s="415" t="s">
        <v>185</v>
      </c>
      <c r="O161" s="453">
        <v>0.58269000000000004</v>
      </c>
      <c r="P161" s="453">
        <f t="shared" si="11"/>
        <v>21.530395500000004</v>
      </c>
      <c r="Q161" s="453">
        <v>2.3223457000000001</v>
      </c>
      <c r="R161" s="453">
        <f t="shared" si="12"/>
        <v>85.810673615000013</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509</v>
      </c>
    </row>
    <row r="162" spans="2:65" s="365" customFormat="1" ht="21.75" customHeight="1" x14ac:dyDescent="0.25">
      <c r="B162" s="364"/>
      <c r="C162" s="445" t="s">
        <v>245</v>
      </c>
      <c r="D162" s="445" t="s">
        <v>218</v>
      </c>
      <c r="E162" s="446" t="s">
        <v>510</v>
      </c>
      <c r="F162" s="447" t="s">
        <v>511</v>
      </c>
      <c r="G162" s="448" t="s">
        <v>111</v>
      </c>
      <c r="H162" s="449">
        <v>97.1</v>
      </c>
      <c r="I162" s="329">
        <v>0</v>
      </c>
      <c r="J162" s="450">
        <f t="shared" si="10"/>
        <v>0</v>
      </c>
      <c r="K162" s="451"/>
      <c r="L162" s="364"/>
      <c r="M162" s="452" t="s">
        <v>171</v>
      </c>
      <c r="N162" s="415" t="s">
        <v>185</v>
      </c>
      <c r="O162" s="453">
        <v>0.35799999999999998</v>
      </c>
      <c r="P162" s="453">
        <f t="shared" si="11"/>
        <v>34.761799999999994</v>
      </c>
      <c r="Q162" s="453">
        <v>1.5947400000000001E-3</v>
      </c>
      <c r="R162" s="453">
        <f t="shared" si="12"/>
        <v>0.15484925399999999</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512</v>
      </c>
    </row>
    <row r="163" spans="2:65" s="365" customFormat="1" ht="21.75" customHeight="1" x14ac:dyDescent="0.25">
      <c r="B163" s="364"/>
      <c r="C163" s="445" t="s">
        <v>246</v>
      </c>
      <c r="D163" s="445" t="s">
        <v>218</v>
      </c>
      <c r="E163" s="446" t="s">
        <v>513</v>
      </c>
      <c r="F163" s="447" t="s">
        <v>514</v>
      </c>
      <c r="G163" s="448" t="s">
        <v>111</v>
      </c>
      <c r="H163" s="449">
        <v>97.1</v>
      </c>
      <c r="I163" s="329">
        <v>0</v>
      </c>
      <c r="J163" s="450">
        <f t="shared" si="10"/>
        <v>0</v>
      </c>
      <c r="K163" s="451"/>
      <c r="L163" s="364"/>
      <c r="M163" s="452" t="s">
        <v>171</v>
      </c>
      <c r="N163" s="415" t="s">
        <v>185</v>
      </c>
      <c r="O163" s="453">
        <v>0.19900000000000001</v>
      </c>
      <c r="P163" s="453">
        <f t="shared" si="11"/>
        <v>19.322900000000001</v>
      </c>
      <c r="Q163" s="453">
        <v>0</v>
      </c>
      <c r="R163" s="453">
        <f t="shared" si="12"/>
        <v>0</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515</v>
      </c>
    </row>
    <row r="164" spans="2:65" s="365" customFormat="1" ht="16.5" customHeight="1" x14ac:dyDescent="0.25">
      <c r="B164" s="364"/>
      <c r="C164" s="445" t="s">
        <v>247</v>
      </c>
      <c r="D164" s="445" t="s">
        <v>218</v>
      </c>
      <c r="E164" s="446" t="s">
        <v>516</v>
      </c>
      <c r="F164" s="447" t="s">
        <v>517</v>
      </c>
      <c r="G164" s="448" t="s">
        <v>112</v>
      </c>
      <c r="H164" s="449">
        <v>4.8419999999999996</v>
      </c>
      <c r="I164" s="329">
        <v>0</v>
      </c>
      <c r="J164" s="450">
        <f t="shared" si="10"/>
        <v>0</v>
      </c>
      <c r="K164" s="451"/>
      <c r="L164" s="364"/>
      <c r="M164" s="452" t="s">
        <v>171</v>
      </c>
      <c r="N164" s="415" t="s">
        <v>185</v>
      </c>
      <c r="O164" s="453">
        <v>35.362000000000002</v>
      </c>
      <c r="P164" s="453">
        <f t="shared" si="11"/>
        <v>171.222804</v>
      </c>
      <c r="Q164" s="453">
        <v>1.0189584899999999</v>
      </c>
      <c r="R164" s="453">
        <f t="shared" si="12"/>
        <v>4.9337970085799991</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518</v>
      </c>
    </row>
    <row r="165" spans="2:65" s="365" customFormat="1" ht="24.2" customHeight="1" x14ac:dyDescent="0.25">
      <c r="B165" s="364"/>
      <c r="C165" s="445" t="s">
        <v>248</v>
      </c>
      <c r="D165" s="445" t="s">
        <v>218</v>
      </c>
      <c r="E165" s="446" t="s">
        <v>519</v>
      </c>
      <c r="F165" s="447" t="s">
        <v>520</v>
      </c>
      <c r="G165" s="448" t="s">
        <v>113</v>
      </c>
      <c r="H165" s="449">
        <v>16</v>
      </c>
      <c r="I165" s="329">
        <v>0</v>
      </c>
      <c r="J165" s="450">
        <f t="shared" si="10"/>
        <v>0</v>
      </c>
      <c r="K165" s="451"/>
      <c r="L165" s="364"/>
      <c r="M165" s="452" t="s">
        <v>171</v>
      </c>
      <c r="N165" s="415" t="s">
        <v>185</v>
      </c>
      <c r="O165" s="453">
        <v>0.40357999999999999</v>
      </c>
      <c r="P165" s="453">
        <f t="shared" si="11"/>
        <v>6.4572799999999999</v>
      </c>
      <c r="Q165" s="453">
        <v>1.2543E-2</v>
      </c>
      <c r="R165" s="453">
        <f t="shared" si="12"/>
        <v>0.20068800000000001</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521</v>
      </c>
    </row>
    <row r="166" spans="2:65" s="365" customFormat="1" ht="24.2" customHeight="1" x14ac:dyDescent="0.25">
      <c r="B166" s="364"/>
      <c r="C166" s="445" t="s">
        <v>249</v>
      </c>
      <c r="D166" s="445" t="s">
        <v>218</v>
      </c>
      <c r="E166" s="446" t="s">
        <v>522</v>
      </c>
      <c r="F166" s="447" t="s">
        <v>523</v>
      </c>
      <c r="G166" s="448" t="s">
        <v>111</v>
      </c>
      <c r="H166" s="449">
        <v>16</v>
      </c>
      <c r="I166" s="329">
        <v>0</v>
      </c>
      <c r="J166" s="450">
        <f t="shared" si="10"/>
        <v>0</v>
      </c>
      <c r="K166" s="451"/>
      <c r="L166" s="364"/>
      <c r="M166" s="452" t="s">
        <v>171</v>
      </c>
      <c r="N166" s="415" t="s">
        <v>185</v>
      </c>
      <c r="O166" s="453">
        <v>0.23102</v>
      </c>
      <c r="P166" s="453">
        <f t="shared" si="11"/>
        <v>3.6963200000000001</v>
      </c>
      <c r="Q166" s="453">
        <v>5.4226000000000003E-4</v>
      </c>
      <c r="R166" s="453">
        <f t="shared" si="12"/>
        <v>8.6761600000000005E-3</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524</v>
      </c>
    </row>
    <row r="167" spans="2:65" s="365" customFormat="1" ht="16.5" customHeight="1" x14ac:dyDescent="0.25">
      <c r="B167" s="364"/>
      <c r="C167" s="457" t="s">
        <v>250</v>
      </c>
      <c r="D167" s="457" t="s">
        <v>259</v>
      </c>
      <c r="E167" s="458" t="s">
        <v>525</v>
      </c>
      <c r="F167" s="459" t="s">
        <v>526</v>
      </c>
      <c r="G167" s="460" t="s">
        <v>111</v>
      </c>
      <c r="H167" s="461">
        <v>16</v>
      </c>
      <c r="I167" s="330">
        <v>0</v>
      </c>
      <c r="J167" s="462">
        <f t="shared" si="10"/>
        <v>0</v>
      </c>
      <c r="K167" s="463"/>
      <c r="L167" s="464"/>
      <c r="M167" s="465" t="s">
        <v>171</v>
      </c>
      <c r="N167" s="466" t="s">
        <v>185</v>
      </c>
      <c r="O167" s="453">
        <v>0</v>
      </c>
      <c r="P167" s="453">
        <f t="shared" si="11"/>
        <v>0</v>
      </c>
      <c r="Q167" s="453">
        <v>4.4999999999999997E-3</v>
      </c>
      <c r="R167" s="453">
        <f t="shared" si="12"/>
        <v>7.1999999999999995E-2</v>
      </c>
      <c r="S167" s="453">
        <v>0</v>
      </c>
      <c r="T167" s="454">
        <f t="shared" si="13"/>
        <v>0</v>
      </c>
      <c r="AR167" s="455" t="s">
        <v>115</v>
      </c>
      <c r="AT167" s="455" t="s">
        <v>259</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527</v>
      </c>
    </row>
    <row r="168" spans="2:65" s="365" customFormat="1" ht="24.2" customHeight="1" x14ac:dyDescent="0.25">
      <c r="B168" s="364"/>
      <c r="C168" s="445" t="s">
        <v>251</v>
      </c>
      <c r="D168" s="445" t="s">
        <v>218</v>
      </c>
      <c r="E168" s="446" t="s">
        <v>528</v>
      </c>
      <c r="F168" s="447" t="s">
        <v>529</v>
      </c>
      <c r="G168" s="448" t="s">
        <v>111</v>
      </c>
      <c r="H168" s="449">
        <v>96.3</v>
      </c>
      <c r="I168" s="329">
        <v>0</v>
      </c>
      <c r="J168" s="450">
        <f t="shared" si="10"/>
        <v>0</v>
      </c>
      <c r="K168" s="451"/>
      <c r="L168" s="364"/>
      <c r="M168" s="452" t="s">
        <v>171</v>
      </c>
      <c r="N168" s="415" t="s">
        <v>185</v>
      </c>
      <c r="O168" s="453">
        <v>5.7239999999999999E-2</v>
      </c>
      <c r="P168" s="453">
        <f t="shared" si="11"/>
        <v>5.5122119999999999</v>
      </c>
      <c r="Q168" s="453">
        <v>0</v>
      </c>
      <c r="R168" s="453">
        <f t="shared" si="12"/>
        <v>0</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530</v>
      </c>
    </row>
    <row r="169" spans="2:65" s="365" customFormat="1" ht="24.2" customHeight="1" x14ac:dyDescent="0.25">
      <c r="B169" s="364"/>
      <c r="C169" s="445" t="s">
        <v>252</v>
      </c>
      <c r="D169" s="445" t="s">
        <v>218</v>
      </c>
      <c r="E169" s="446" t="s">
        <v>531</v>
      </c>
      <c r="F169" s="447" t="s">
        <v>532</v>
      </c>
      <c r="G169" s="448" t="s">
        <v>111</v>
      </c>
      <c r="H169" s="449">
        <v>192.51</v>
      </c>
      <c r="I169" s="329">
        <v>0</v>
      </c>
      <c r="J169" s="450">
        <f t="shared" si="10"/>
        <v>0</v>
      </c>
      <c r="K169" s="451"/>
      <c r="L169" s="364"/>
      <c r="M169" s="452" t="s">
        <v>171</v>
      </c>
      <c r="N169" s="415" t="s">
        <v>185</v>
      </c>
      <c r="O169" s="453">
        <v>4.4110000000000003E-2</v>
      </c>
      <c r="P169" s="453">
        <f t="shared" si="11"/>
        <v>8.4916160999999999</v>
      </c>
      <c r="Q169" s="453">
        <v>0</v>
      </c>
      <c r="R169" s="453">
        <f t="shared" si="12"/>
        <v>0</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533</v>
      </c>
    </row>
    <row r="170" spans="2:65" s="365" customFormat="1" ht="16.5" customHeight="1" x14ac:dyDescent="0.25">
      <c r="B170" s="364"/>
      <c r="C170" s="457" t="s">
        <v>253</v>
      </c>
      <c r="D170" s="457" t="s">
        <v>259</v>
      </c>
      <c r="E170" s="458" t="s">
        <v>534</v>
      </c>
      <c r="F170" s="459" t="s">
        <v>535</v>
      </c>
      <c r="G170" s="460" t="s">
        <v>536</v>
      </c>
      <c r="H170" s="461">
        <v>29</v>
      </c>
      <c r="I170" s="330">
        <v>0</v>
      </c>
      <c r="J170" s="462">
        <f t="shared" si="10"/>
        <v>0</v>
      </c>
      <c r="K170" s="463"/>
      <c r="L170" s="464"/>
      <c r="M170" s="465" t="s">
        <v>171</v>
      </c>
      <c r="N170" s="466" t="s">
        <v>185</v>
      </c>
      <c r="O170" s="453">
        <v>0</v>
      </c>
      <c r="P170" s="453">
        <f t="shared" si="11"/>
        <v>0</v>
      </c>
      <c r="Q170" s="453">
        <v>1E-3</v>
      </c>
      <c r="R170" s="453">
        <f t="shared" si="12"/>
        <v>2.9000000000000001E-2</v>
      </c>
      <c r="S170" s="453">
        <v>0</v>
      </c>
      <c r="T170" s="454">
        <f t="shared" si="13"/>
        <v>0</v>
      </c>
      <c r="AR170" s="455" t="s">
        <v>115</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537</v>
      </c>
    </row>
    <row r="171" spans="2:65" s="365" customFormat="1" ht="16.5" customHeight="1" x14ac:dyDescent="0.25">
      <c r="B171" s="364"/>
      <c r="C171" s="457" t="s">
        <v>254</v>
      </c>
      <c r="D171" s="457" t="s">
        <v>259</v>
      </c>
      <c r="E171" s="458" t="s">
        <v>538</v>
      </c>
      <c r="F171" s="459" t="s">
        <v>539</v>
      </c>
      <c r="G171" s="460" t="s">
        <v>536</v>
      </c>
      <c r="H171" s="461">
        <v>290</v>
      </c>
      <c r="I171" s="330">
        <v>0</v>
      </c>
      <c r="J171" s="462">
        <f t="shared" si="10"/>
        <v>0</v>
      </c>
      <c r="K171" s="463"/>
      <c r="L171" s="464"/>
      <c r="M171" s="465" t="s">
        <v>171</v>
      </c>
      <c r="N171" s="466" t="s">
        <v>185</v>
      </c>
      <c r="O171" s="453">
        <v>0</v>
      </c>
      <c r="P171" s="453">
        <f t="shared" si="11"/>
        <v>0</v>
      </c>
      <c r="Q171" s="453">
        <v>1E-3</v>
      </c>
      <c r="R171" s="453">
        <f t="shared" si="12"/>
        <v>0.28999999999999998</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540</v>
      </c>
    </row>
    <row r="172" spans="2:65" s="434" customFormat="1" ht="22.9" customHeight="1" x14ac:dyDescent="0.2">
      <c r="B172" s="433"/>
      <c r="D172" s="435" t="s">
        <v>216</v>
      </c>
      <c r="E172" s="443" t="s">
        <v>119</v>
      </c>
      <c r="F172" s="443" t="s">
        <v>541</v>
      </c>
      <c r="I172" s="467"/>
      <c r="J172" s="444">
        <f>BK172</f>
        <v>0</v>
      </c>
      <c r="L172" s="433"/>
      <c r="M172" s="438"/>
      <c r="P172" s="439">
        <f>SUM(P173:P197)</f>
        <v>6439.5010646600003</v>
      </c>
      <c r="R172" s="439">
        <f>SUM(R173:R197)</f>
        <v>266.94583701201998</v>
      </c>
      <c r="T172" s="440">
        <f>SUM(T173:T197)</f>
        <v>0</v>
      </c>
      <c r="AR172" s="435" t="s">
        <v>109</v>
      </c>
      <c r="AT172" s="441" t="s">
        <v>216</v>
      </c>
      <c r="AU172" s="441" t="s">
        <v>109</v>
      </c>
      <c r="AY172" s="435" t="s">
        <v>217</v>
      </c>
      <c r="BK172" s="442">
        <f>SUM(BK173:BK197)</f>
        <v>0</v>
      </c>
    </row>
    <row r="173" spans="2:65" s="365" customFormat="1" ht="24.2" customHeight="1" x14ac:dyDescent="0.25">
      <c r="B173" s="364"/>
      <c r="C173" s="445" t="s">
        <v>255</v>
      </c>
      <c r="D173" s="445" t="s">
        <v>218</v>
      </c>
      <c r="E173" s="446" t="s">
        <v>542</v>
      </c>
      <c r="F173" s="447" t="s">
        <v>543</v>
      </c>
      <c r="G173" s="448" t="s">
        <v>114</v>
      </c>
      <c r="H173" s="449">
        <v>78.569999999999993</v>
      </c>
      <c r="I173" s="329">
        <v>0</v>
      </c>
      <c r="J173" s="450">
        <f t="shared" ref="J173:J197" si="20">ROUND(I173*H173,2)</f>
        <v>0</v>
      </c>
      <c r="K173" s="451"/>
      <c r="L173" s="364"/>
      <c r="M173" s="452" t="s">
        <v>171</v>
      </c>
      <c r="N173" s="415" t="s">
        <v>185</v>
      </c>
      <c r="O173" s="453">
        <v>1.54986</v>
      </c>
      <c r="P173" s="453">
        <f t="shared" ref="P173:P197" si="21">O173*H173</f>
        <v>121.7725002</v>
      </c>
      <c r="Q173" s="453">
        <v>2.3618923500000002</v>
      </c>
      <c r="R173" s="453">
        <f t="shared" ref="R173:R197" si="22">Q173*H173</f>
        <v>185.57388193950001</v>
      </c>
      <c r="S173" s="453">
        <v>0</v>
      </c>
      <c r="T173" s="454">
        <f t="shared" ref="T173:T197" si="23">S173*H173</f>
        <v>0</v>
      </c>
      <c r="AR173" s="455" t="s">
        <v>110</v>
      </c>
      <c r="AT173" s="455" t="s">
        <v>218</v>
      </c>
      <c r="AU173" s="455" t="s">
        <v>108</v>
      </c>
      <c r="AY173" s="357" t="s">
        <v>217</v>
      </c>
      <c r="BE173" s="456">
        <f t="shared" ref="BE173:BE197" si="24">IF(N173="základná",J173,0)</f>
        <v>0</v>
      </c>
      <c r="BF173" s="456">
        <f t="shared" ref="BF173:BF197" si="25">IF(N173="znížená",J173,0)</f>
        <v>0</v>
      </c>
      <c r="BG173" s="456">
        <f t="shared" ref="BG173:BG197" si="26">IF(N173="zákl. prenesená",J173,0)</f>
        <v>0</v>
      </c>
      <c r="BH173" s="456">
        <f t="shared" ref="BH173:BH197" si="27">IF(N173="zníž. prenesená",J173,0)</f>
        <v>0</v>
      </c>
      <c r="BI173" s="456">
        <f t="shared" ref="BI173:BI197" si="28">IF(N173="nulová",J173,0)</f>
        <v>0</v>
      </c>
      <c r="BJ173" s="357" t="s">
        <v>108</v>
      </c>
      <c r="BK173" s="456">
        <f t="shared" ref="BK173:BK197" si="29">ROUND(I173*H173,2)</f>
        <v>0</v>
      </c>
      <c r="BL173" s="357" t="s">
        <v>110</v>
      </c>
      <c r="BM173" s="455" t="s">
        <v>544</v>
      </c>
    </row>
    <row r="174" spans="2:65" s="365" customFormat="1" ht="16.5" customHeight="1" x14ac:dyDescent="0.25">
      <c r="B174" s="364"/>
      <c r="C174" s="457" t="s">
        <v>256</v>
      </c>
      <c r="D174" s="457" t="s">
        <v>259</v>
      </c>
      <c r="E174" s="458" t="s">
        <v>545</v>
      </c>
      <c r="F174" s="459" t="s">
        <v>546</v>
      </c>
      <c r="G174" s="460" t="s">
        <v>547</v>
      </c>
      <c r="H174" s="461">
        <v>95.602999999999994</v>
      </c>
      <c r="I174" s="330">
        <v>0</v>
      </c>
      <c r="J174" s="462">
        <f t="shared" si="20"/>
        <v>0</v>
      </c>
      <c r="K174" s="463"/>
      <c r="L174" s="464"/>
      <c r="M174" s="465" t="s">
        <v>171</v>
      </c>
      <c r="N174" s="466" t="s">
        <v>185</v>
      </c>
      <c r="O174" s="453">
        <v>0</v>
      </c>
      <c r="P174" s="453">
        <f t="shared" si="21"/>
        <v>0</v>
      </c>
      <c r="Q174" s="453">
        <v>7.5000000000000002E-4</v>
      </c>
      <c r="R174" s="453">
        <f t="shared" si="22"/>
        <v>7.1702249999999995E-2</v>
      </c>
      <c r="S174" s="453">
        <v>0</v>
      </c>
      <c r="T174" s="454">
        <f t="shared" si="23"/>
        <v>0</v>
      </c>
      <c r="AR174" s="455" t="s">
        <v>115</v>
      </c>
      <c r="AT174" s="455" t="s">
        <v>259</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548</v>
      </c>
    </row>
    <row r="175" spans="2:65" s="365" customFormat="1" ht="24.2" customHeight="1" x14ac:dyDescent="0.25">
      <c r="B175" s="364"/>
      <c r="C175" s="445" t="s">
        <v>257</v>
      </c>
      <c r="D175" s="445" t="s">
        <v>218</v>
      </c>
      <c r="E175" s="446" t="s">
        <v>549</v>
      </c>
      <c r="F175" s="447" t="s">
        <v>550</v>
      </c>
      <c r="G175" s="448" t="s">
        <v>111</v>
      </c>
      <c r="H175" s="449">
        <v>252.2</v>
      </c>
      <c r="I175" s="329">
        <v>0</v>
      </c>
      <c r="J175" s="450">
        <f t="shared" si="20"/>
        <v>0</v>
      </c>
      <c r="K175" s="451"/>
      <c r="L175" s="364"/>
      <c r="M175" s="452" t="s">
        <v>171</v>
      </c>
      <c r="N175" s="415" t="s">
        <v>185</v>
      </c>
      <c r="O175" s="453">
        <v>1.42767</v>
      </c>
      <c r="P175" s="453">
        <f t="shared" si="21"/>
        <v>360.05837399999996</v>
      </c>
      <c r="Q175" s="453">
        <v>7.6370300000000004E-3</v>
      </c>
      <c r="R175" s="453">
        <f t="shared" si="22"/>
        <v>1.926058966</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551</v>
      </c>
    </row>
    <row r="176" spans="2:65" s="365" customFormat="1" ht="24.2" customHeight="1" x14ac:dyDescent="0.25">
      <c r="B176" s="364"/>
      <c r="C176" s="445" t="s">
        <v>258</v>
      </c>
      <c r="D176" s="445" t="s">
        <v>218</v>
      </c>
      <c r="E176" s="446" t="s">
        <v>552</v>
      </c>
      <c r="F176" s="447" t="s">
        <v>553</v>
      </c>
      <c r="G176" s="448" t="s">
        <v>111</v>
      </c>
      <c r="H176" s="449">
        <v>252.2</v>
      </c>
      <c r="I176" s="329">
        <v>0</v>
      </c>
      <c r="J176" s="450">
        <f t="shared" si="20"/>
        <v>0</v>
      </c>
      <c r="K176" s="451"/>
      <c r="L176" s="364"/>
      <c r="M176" s="452" t="s">
        <v>171</v>
      </c>
      <c r="N176" s="415" t="s">
        <v>185</v>
      </c>
      <c r="O176" s="453">
        <v>0.49</v>
      </c>
      <c r="P176" s="453">
        <f t="shared" si="21"/>
        <v>123.57799999999999</v>
      </c>
      <c r="Q176" s="453">
        <v>0</v>
      </c>
      <c r="R176" s="453">
        <f t="shared" si="22"/>
        <v>0</v>
      </c>
      <c r="S176" s="453">
        <v>0</v>
      </c>
      <c r="T176" s="454">
        <f t="shared" si="23"/>
        <v>0</v>
      </c>
      <c r="AR176" s="455" t="s">
        <v>110</v>
      </c>
      <c r="AT176" s="455" t="s">
        <v>218</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554</v>
      </c>
    </row>
    <row r="177" spans="2:65" s="365" customFormat="1" ht="16.5" customHeight="1" x14ac:dyDescent="0.25">
      <c r="B177" s="364"/>
      <c r="C177" s="445" t="s">
        <v>260</v>
      </c>
      <c r="D177" s="445" t="s">
        <v>218</v>
      </c>
      <c r="E177" s="446" t="s">
        <v>555</v>
      </c>
      <c r="F177" s="447" t="s">
        <v>556</v>
      </c>
      <c r="G177" s="448" t="s">
        <v>112</v>
      </c>
      <c r="H177" s="449">
        <v>10.683999999999999</v>
      </c>
      <c r="I177" s="329">
        <v>0</v>
      </c>
      <c r="J177" s="450">
        <f t="shared" si="20"/>
        <v>0</v>
      </c>
      <c r="K177" s="451"/>
      <c r="L177" s="364"/>
      <c r="M177" s="452" t="s">
        <v>171</v>
      </c>
      <c r="N177" s="415" t="s">
        <v>185</v>
      </c>
      <c r="O177" s="453">
        <v>34.718159999999997</v>
      </c>
      <c r="P177" s="453">
        <f t="shared" si="21"/>
        <v>370.92882143999992</v>
      </c>
      <c r="Q177" s="453">
        <v>1.01144973</v>
      </c>
      <c r="R177" s="453">
        <f t="shared" si="22"/>
        <v>10.80632891532</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557</v>
      </c>
    </row>
    <row r="178" spans="2:65" s="365" customFormat="1" ht="16.5" customHeight="1" x14ac:dyDescent="0.25">
      <c r="B178" s="364"/>
      <c r="C178" s="445" t="s">
        <v>262</v>
      </c>
      <c r="D178" s="445" t="s">
        <v>218</v>
      </c>
      <c r="E178" s="446" t="s">
        <v>558</v>
      </c>
      <c r="F178" s="447" t="s">
        <v>559</v>
      </c>
      <c r="G178" s="448" t="s">
        <v>111</v>
      </c>
      <c r="H178" s="449">
        <v>523.79999999999995</v>
      </c>
      <c r="I178" s="329">
        <v>0</v>
      </c>
      <c r="J178" s="450">
        <f t="shared" si="20"/>
        <v>0</v>
      </c>
      <c r="K178" s="451"/>
      <c r="L178" s="364"/>
      <c r="M178" s="452" t="s">
        <v>171</v>
      </c>
      <c r="N178" s="415" t="s">
        <v>185</v>
      </c>
      <c r="O178" s="453">
        <v>0.14938000000000001</v>
      </c>
      <c r="P178" s="453">
        <f t="shared" si="21"/>
        <v>78.245244</v>
      </c>
      <c r="Q178" s="453">
        <v>2.9999999999999997E-4</v>
      </c>
      <c r="R178" s="453">
        <f t="shared" si="22"/>
        <v>0.15713999999999997</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560</v>
      </c>
    </row>
    <row r="179" spans="2:65" s="365" customFormat="1" ht="24.2" customHeight="1" x14ac:dyDescent="0.25">
      <c r="B179" s="364"/>
      <c r="C179" s="445" t="s">
        <v>263</v>
      </c>
      <c r="D179" s="445" t="s">
        <v>218</v>
      </c>
      <c r="E179" s="446" t="s">
        <v>561</v>
      </c>
      <c r="F179" s="447" t="s">
        <v>562</v>
      </c>
      <c r="G179" s="448" t="s">
        <v>113</v>
      </c>
      <c r="H179" s="449">
        <v>588</v>
      </c>
      <c r="I179" s="329">
        <v>0</v>
      </c>
      <c r="J179" s="450">
        <f t="shared" si="20"/>
        <v>0</v>
      </c>
      <c r="K179" s="451"/>
      <c r="L179" s="364"/>
      <c r="M179" s="452" t="s">
        <v>171</v>
      </c>
      <c r="N179" s="415" t="s">
        <v>185</v>
      </c>
      <c r="O179" s="453">
        <v>1.36602</v>
      </c>
      <c r="P179" s="453">
        <f t="shared" si="21"/>
        <v>803.21975999999995</v>
      </c>
      <c r="Q179" s="453">
        <v>3.3E-4</v>
      </c>
      <c r="R179" s="453">
        <f t="shared" si="22"/>
        <v>0.19403999999999999</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563</v>
      </c>
    </row>
    <row r="180" spans="2:65" s="365" customFormat="1" ht="24.2" customHeight="1" x14ac:dyDescent="0.25">
      <c r="B180" s="364"/>
      <c r="C180" s="445" t="s">
        <v>264</v>
      </c>
      <c r="D180" s="445" t="s">
        <v>218</v>
      </c>
      <c r="E180" s="446" t="s">
        <v>564</v>
      </c>
      <c r="F180" s="447" t="s">
        <v>565</v>
      </c>
      <c r="G180" s="448" t="s">
        <v>111</v>
      </c>
      <c r="H180" s="449">
        <v>21.638000000000002</v>
      </c>
      <c r="I180" s="329">
        <v>0</v>
      </c>
      <c r="J180" s="450">
        <f t="shared" si="20"/>
        <v>0</v>
      </c>
      <c r="K180" s="451"/>
      <c r="L180" s="364"/>
      <c r="M180" s="452" t="s">
        <v>171</v>
      </c>
      <c r="N180" s="415" t="s">
        <v>185</v>
      </c>
      <c r="O180" s="453">
        <v>0.26107000000000002</v>
      </c>
      <c r="P180" s="453">
        <f t="shared" si="21"/>
        <v>5.6490326600000014</v>
      </c>
      <c r="Q180" s="453">
        <v>2.2655000000000002E-2</v>
      </c>
      <c r="R180" s="453">
        <f t="shared" si="22"/>
        <v>0.49020889000000006</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566</v>
      </c>
    </row>
    <row r="181" spans="2:65" s="365" customFormat="1" ht="24.2" customHeight="1" x14ac:dyDescent="0.25">
      <c r="B181" s="364"/>
      <c r="C181" s="445" t="s">
        <v>265</v>
      </c>
      <c r="D181" s="445" t="s">
        <v>218</v>
      </c>
      <c r="E181" s="446" t="s">
        <v>567</v>
      </c>
      <c r="F181" s="447" t="s">
        <v>568</v>
      </c>
      <c r="G181" s="448" t="s">
        <v>536</v>
      </c>
      <c r="H181" s="449">
        <v>25525.75</v>
      </c>
      <c r="I181" s="329">
        <v>0</v>
      </c>
      <c r="J181" s="450">
        <f t="shared" si="20"/>
        <v>0</v>
      </c>
      <c r="K181" s="451"/>
      <c r="L181" s="364"/>
      <c r="M181" s="452" t="s">
        <v>171</v>
      </c>
      <c r="N181" s="415" t="s">
        <v>185</v>
      </c>
      <c r="O181" s="453">
        <v>0.125</v>
      </c>
      <c r="P181" s="453">
        <f t="shared" si="21"/>
        <v>3190.71875</v>
      </c>
      <c r="Q181" s="453">
        <v>0</v>
      </c>
      <c r="R181" s="453">
        <f t="shared" si="22"/>
        <v>0</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569</v>
      </c>
    </row>
    <row r="182" spans="2:65" s="365" customFormat="1" ht="16.5" customHeight="1" x14ac:dyDescent="0.25">
      <c r="B182" s="364"/>
      <c r="C182" s="457" t="s">
        <v>266</v>
      </c>
      <c r="D182" s="457" t="s">
        <v>259</v>
      </c>
      <c r="E182" s="458" t="s">
        <v>570</v>
      </c>
      <c r="F182" s="459" t="s">
        <v>571</v>
      </c>
      <c r="G182" s="460" t="s">
        <v>112</v>
      </c>
      <c r="H182" s="461">
        <v>11.228</v>
      </c>
      <c r="I182" s="330">
        <v>0</v>
      </c>
      <c r="J182" s="462">
        <f t="shared" si="20"/>
        <v>0</v>
      </c>
      <c r="K182" s="463"/>
      <c r="L182" s="464"/>
      <c r="M182" s="465" t="s">
        <v>171</v>
      </c>
      <c r="N182" s="466" t="s">
        <v>185</v>
      </c>
      <c r="O182" s="453">
        <v>0</v>
      </c>
      <c r="P182" s="453">
        <f t="shared" si="21"/>
        <v>0</v>
      </c>
      <c r="Q182" s="453">
        <v>1</v>
      </c>
      <c r="R182" s="453">
        <f t="shared" si="22"/>
        <v>11.228</v>
      </c>
      <c r="S182" s="453">
        <v>0</v>
      </c>
      <c r="T182" s="454">
        <f t="shared" si="23"/>
        <v>0</v>
      </c>
      <c r="AR182" s="455" t="s">
        <v>115</v>
      </c>
      <c r="AT182" s="455" t="s">
        <v>259</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572</v>
      </c>
    </row>
    <row r="183" spans="2:65" s="365" customFormat="1" ht="16.5" customHeight="1" x14ac:dyDescent="0.25">
      <c r="B183" s="364"/>
      <c r="C183" s="457" t="s">
        <v>573</v>
      </c>
      <c r="D183" s="457" t="s">
        <v>259</v>
      </c>
      <c r="E183" s="458" t="s">
        <v>574</v>
      </c>
      <c r="F183" s="459" t="s">
        <v>575</v>
      </c>
      <c r="G183" s="460" t="s">
        <v>114</v>
      </c>
      <c r="H183" s="461">
        <v>24.3</v>
      </c>
      <c r="I183" s="330">
        <v>0</v>
      </c>
      <c r="J183" s="462">
        <f t="shared" si="20"/>
        <v>0</v>
      </c>
      <c r="K183" s="463"/>
      <c r="L183" s="464"/>
      <c r="M183" s="465" t="s">
        <v>171</v>
      </c>
      <c r="N183" s="466" t="s">
        <v>185</v>
      </c>
      <c r="O183" s="453">
        <v>0</v>
      </c>
      <c r="P183" s="453">
        <f t="shared" si="21"/>
        <v>0</v>
      </c>
      <c r="Q183" s="453">
        <v>0.65</v>
      </c>
      <c r="R183" s="453">
        <f t="shared" si="22"/>
        <v>15.795000000000002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576</v>
      </c>
    </row>
    <row r="184" spans="2:65" s="365" customFormat="1" ht="24.2" customHeight="1" x14ac:dyDescent="0.25">
      <c r="B184" s="364"/>
      <c r="C184" s="445" t="s">
        <v>577</v>
      </c>
      <c r="D184" s="445" t="s">
        <v>218</v>
      </c>
      <c r="E184" s="446" t="s">
        <v>578</v>
      </c>
      <c r="F184" s="447" t="s">
        <v>579</v>
      </c>
      <c r="G184" s="448" t="s">
        <v>123</v>
      </c>
      <c r="H184" s="449">
        <v>2352</v>
      </c>
      <c r="I184" s="329">
        <v>0</v>
      </c>
      <c r="J184" s="450">
        <f t="shared" si="20"/>
        <v>0</v>
      </c>
      <c r="K184" s="451"/>
      <c r="L184" s="364"/>
      <c r="M184" s="452" t="s">
        <v>171</v>
      </c>
      <c r="N184" s="415" t="s">
        <v>185</v>
      </c>
      <c r="O184" s="453">
        <v>0.25</v>
      </c>
      <c r="P184" s="453">
        <f t="shared" si="21"/>
        <v>588</v>
      </c>
      <c r="Q184" s="453">
        <v>0</v>
      </c>
      <c r="R184" s="453">
        <f t="shared" si="22"/>
        <v>0</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580</v>
      </c>
    </row>
    <row r="185" spans="2:65" s="365" customFormat="1" ht="24.2" customHeight="1" x14ac:dyDescent="0.25">
      <c r="B185" s="364"/>
      <c r="C185" s="457" t="s">
        <v>581</v>
      </c>
      <c r="D185" s="457" t="s">
        <v>259</v>
      </c>
      <c r="E185" s="458" t="s">
        <v>582</v>
      </c>
      <c r="F185" s="459" t="s">
        <v>583</v>
      </c>
      <c r="G185" s="460" t="s">
        <v>123</v>
      </c>
      <c r="H185" s="461">
        <v>2352</v>
      </c>
      <c r="I185" s="330">
        <v>0</v>
      </c>
      <c r="J185" s="462">
        <f t="shared" si="20"/>
        <v>0</v>
      </c>
      <c r="K185" s="463"/>
      <c r="L185" s="464"/>
      <c r="M185" s="465" t="s">
        <v>171</v>
      </c>
      <c r="N185" s="466" t="s">
        <v>185</v>
      </c>
      <c r="O185" s="453">
        <v>0</v>
      </c>
      <c r="P185" s="453">
        <f t="shared" si="21"/>
        <v>0</v>
      </c>
      <c r="Q185" s="453">
        <v>1.3999999999999999E-4</v>
      </c>
      <c r="R185" s="453">
        <f t="shared" si="22"/>
        <v>0.32927999999999996</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584</v>
      </c>
    </row>
    <row r="186" spans="2:65" s="365" customFormat="1" ht="24.2" customHeight="1" x14ac:dyDescent="0.25">
      <c r="B186" s="364"/>
      <c r="C186" s="445" t="s">
        <v>585</v>
      </c>
      <c r="D186" s="445" t="s">
        <v>218</v>
      </c>
      <c r="E186" s="446" t="s">
        <v>586</v>
      </c>
      <c r="F186" s="447" t="s">
        <v>587</v>
      </c>
      <c r="G186" s="448" t="s">
        <v>123</v>
      </c>
      <c r="H186" s="449">
        <v>2352</v>
      </c>
      <c r="I186" s="329">
        <v>0</v>
      </c>
      <c r="J186" s="450">
        <f t="shared" si="20"/>
        <v>0</v>
      </c>
      <c r="K186" s="451"/>
      <c r="L186" s="364"/>
      <c r="M186" s="452" t="s">
        <v>171</v>
      </c>
      <c r="N186" s="415" t="s">
        <v>185</v>
      </c>
      <c r="O186" s="453">
        <v>0.27005000000000001</v>
      </c>
      <c r="P186" s="453">
        <f t="shared" si="21"/>
        <v>635.1576</v>
      </c>
      <c r="Q186" s="453">
        <v>4.4350000000000001E-5</v>
      </c>
      <c r="R186" s="453">
        <f t="shared" si="22"/>
        <v>0.10431120000000001</v>
      </c>
      <c r="S186" s="453">
        <v>0</v>
      </c>
      <c r="T186" s="454">
        <f t="shared" si="23"/>
        <v>0</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588</v>
      </c>
    </row>
    <row r="187" spans="2:65" s="365" customFormat="1" ht="24.2" customHeight="1" x14ac:dyDescent="0.25">
      <c r="B187" s="364"/>
      <c r="C187" s="445" t="s">
        <v>589</v>
      </c>
      <c r="D187" s="445" t="s">
        <v>218</v>
      </c>
      <c r="E187" s="446" t="s">
        <v>590</v>
      </c>
      <c r="F187" s="447" t="s">
        <v>591</v>
      </c>
      <c r="G187" s="448" t="s">
        <v>113</v>
      </c>
      <c r="H187" s="449">
        <v>407.4</v>
      </c>
      <c r="I187" s="329">
        <v>0</v>
      </c>
      <c r="J187" s="450">
        <f t="shared" si="20"/>
        <v>0</v>
      </c>
      <c r="K187" s="451"/>
      <c r="L187" s="364"/>
      <c r="M187" s="452" t="s">
        <v>171</v>
      </c>
      <c r="N187" s="415" t="s">
        <v>185</v>
      </c>
      <c r="O187" s="453">
        <v>5.5E-2</v>
      </c>
      <c r="P187" s="453">
        <f t="shared" si="21"/>
        <v>22.407</v>
      </c>
      <c r="Q187" s="453">
        <v>1.5400000000000002E-5</v>
      </c>
      <c r="R187" s="453">
        <f t="shared" si="22"/>
        <v>6.2739600000000003E-3</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592</v>
      </c>
    </row>
    <row r="188" spans="2:65" s="365" customFormat="1" ht="16.5" customHeight="1" x14ac:dyDescent="0.25">
      <c r="B188" s="364"/>
      <c r="C188" s="457" t="s">
        <v>593</v>
      </c>
      <c r="D188" s="457" t="s">
        <v>259</v>
      </c>
      <c r="E188" s="458" t="s">
        <v>594</v>
      </c>
      <c r="F188" s="459" t="s">
        <v>595</v>
      </c>
      <c r="G188" s="460" t="s">
        <v>123</v>
      </c>
      <c r="H188" s="461">
        <v>407.4</v>
      </c>
      <c r="I188" s="330">
        <v>0</v>
      </c>
      <c r="J188" s="462">
        <f t="shared" si="20"/>
        <v>0</v>
      </c>
      <c r="K188" s="463"/>
      <c r="L188" s="464"/>
      <c r="M188" s="465" t="s">
        <v>171</v>
      </c>
      <c r="N188" s="466" t="s">
        <v>185</v>
      </c>
      <c r="O188" s="453">
        <v>0</v>
      </c>
      <c r="P188" s="453">
        <f t="shared" si="21"/>
        <v>0</v>
      </c>
      <c r="Q188" s="453">
        <v>6.62E-3</v>
      </c>
      <c r="R188" s="453">
        <f t="shared" si="22"/>
        <v>2.6969879999999997</v>
      </c>
      <c r="S188" s="453">
        <v>0</v>
      </c>
      <c r="T188" s="454">
        <f t="shared" si="23"/>
        <v>0</v>
      </c>
      <c r="AR188" s="455" t="s">
        <v>115</v>
      </c>
      <c r="AT188" s="455" t="s">
        <v>259</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596</v>
      </c>
    </row>
    <row r="189" spans="2:65" s="365" customFormat="1" ht="24.2" customHeight="1" x14ac:dyDescent="0.25">
      <c r="B189" s="364"/>
      <c r="C189" s="445" t="s">
        <v>597</v>
      </c>
      <c r="D189" s="445" t="s">
        <v>218</v>
      </c>
      <c r="E189" s="446" t="s">
        <v>598</v>
      </c>
      <c r="F189" s="447" t="s">
        <v>599</v>
      </c>
      <c r="G189" s="448" t="s">
        <v>111</v>
      </c>
      <c r="H189" s="449">
        <v>10</v>
      </c>
      <c r="I189" s="329">
        <v>0</v>
      </c>
      <c r="J189" s="450">
        <f t="shared" si="20"/>
        <v>0</v>
      </c>
      <c r="K189" s="451"/>
      <c r="L189" s="364"/>
      <c r="M189" s="452" t="s">
        <v>171</v>
      </c>
      <c r="N189" s="415" t="s">
        <v>185</v>
      </c>
      <c r="O189" s="453">
        <v>0.19703000000000001</v>
      </c>
      <c r="P189" s="453">
        <f t="shared" si="21"/>
        <v>1.9703000000000002</v>
      </c>
      <c r="Q189" s="453">
        <v>6.3000000000000003E-4</v>
      </c>
      <c r="R189" s="453">
        <f t="shared" si="22"/>
        <v>6.3E-3</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600</v>
      </c>
    </row>
    <row r="190" spans="2:65" s="365" customFormat="1" ht="24.2" customHeight="1" x14ac:dyDescent="0.25">
      <c r="B190" s="364"/>
      <c r="C190" s="445" t="s">
        <v>601</v>
      </c>
      <c r="D190" s="445" t="s">
        <v>218</v>
      </c>
      <c r="E190" s="446" t="s">
        <v>602</v>
      </c>
      <c r="F190" s="447" t="s">
        <v>603</v>
      </c>
      <c r="G190" s="448" t="s">
        <v>113</v>
      </c>
      <c r="H190" s="449">
        <v>88.29</v>
      </c>
      <c r="I190" s="329">
        <v>0</v>
      </c>
      <c r="J190" s="450">
        <f t="shared" si="20"/>
        <v>0</v>
      </c>
      <c r="K190" s="451"/>
      <c r="L190" s="364"/>
      <c r="M190" s="452" t="s">
        <v>171</v>
      </c>
      <c r="N190" s="415" t="s">
        <v>185</v>
      </c>
      <c r="O190" s="453">
        <v>0.48901</v>
      </c>
      <c r="P190" s="453">
        <f t="shared" si="21"/>
        <v>43.174692900000004</v>
      </c>
      <c r="Q190" s="453">
        <v>2.7999999999999998E-4</v>
      </c>
      <c r="R190" s="453">
        <f t="shared" si="22"/>
        <v>2.4721199999999999E-2</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604</v>
      </c>
    </row>
    <row r="191" spans="2:65" s="365" customFormat="1" ht="24.2" customHeight="1" x14ac:dyDescent="0.25">
      <c r="B191" s="364"/>
      <c r="C191" s="445" t="s">
        <v>605</v>
      </c>
      <c r="D191" s="445" t="s">
        <v>218</v>
      </c>
      <c r="E191" s="446" t="s">
        <v>606</v>
      </c>
      <c r="F191" s="447" t="s">
        <v>607</v>
      </c>
      <c r="G191" s="448" t="s">
        <v>113</v>
      </c>
      <c r="H191" s="449">
        <v>88.29</v>
      </c>
      <c r="I191" s="329">
        <v>0</v>
      </c>
      <c r="J191" s="450">
        <f t="shared" si="20"/>
        <v>0</v>
      </c>
      <c r="K191" s="451"/>
      <c r="L191" s="364"/>
      <c r="M191" s="452" t="s">
        <v>171</v>
      </c>
      <c r="N191" s="415" t="s">
        <v>185</v>
      </c>
      <c r="O191" s="453">
        <v>0.23601</v>
      </c>
      <c r="P191" s="453">
        <f t="shared" si="21"/>
        <v>20.8373229</v>
      </c>
      <c r="Q191" s="453">
        <v>1.818E-4</v>
      </c>
      <c r="R191" s="453">
        <f t="shared" si="22"/>
        <v>1.6051122000000001E-2</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608</v>
      </c>
    </row>
    <row r="192" spans="2:65" s="365" customFormat="1" ht="21.75" customHeight="1" x14ac:dyDescent="0.25">
      <c r="B192" s="364"/>
      <c r="C192" s="445" t="s">
        <v>609</v>
      </c>
      <c r="D192" s="445" t="s">
        <v>218</v>
      </c>
      <c r="E192" s="446" t="s">
        <v>610</v>
      </c>
      <c r="F192" s="447" t="s">
        <v>611</v>
      </c>
      <c r="G192" s="448" t="s">
        <v>114</v>
      </c>
      <c r="H192" s="449">
        <v>14.976000000000001</v>
      </c>
      <c r="I192" s="329">
        <v>0</v>
      </c>
      <c r="J192" s="450">
        <f t="shared" si="20"/>
        <v>0</v>
      </c>
      <c r="K192" s="451"/>
      <c r="L192" s="364"/>
      <c r="M192" s="452" t="s">
        <v>171</v>
      </c>
      <c r="N192" s="415" t="s">
        <v>185</v>
      </c>
      <c r="O192" s="453">
        <v>0.58055999999999996</v>
      </c>
      <c r="P192" s="453">
        <f t="shared" si="21"/>
        <v>8.6944665600000004</v>
      </c>
      <c r="Q192" s="453">
        <v>2.4157202</v>
      </c>
      <c r="R192" s="453">
        <f t="shared" si="22"/>
        <v>36.177825715200001</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612</v>
      </c>
    </row>
    <row r="193" spans="2:65" s="365" customFormat="1" ht="16.5" customHeight="1" x14ac:dyDescent="0.25">
      <c r="B193" s="364"/>
      <c r="C193" s="445" t="s">
        <v>613</v>
      </c>
      <c r="D193" s="445" t="s">
        <v>218</v>
      </c>
      <c r="E193" s="446" t="s">
        <v>614</v>
      </c>
      <c r="F193" s="447" t="s">
        <v>615</v>
      </c>
      <c r="G193" s="448" t="s">
        <v>112</v>
      </c>
      <c r="H193" s="449">
        <v>0.85</v>
      </c>
      <c r="I193" s="329">
        <v>0</v>
      </c>
      <c r="J193" s="450">
        <f t="shared" si="20"/>
        <v>0</v>
      </c>
      <c r="K193" s="451"/>
      <c r="L193" s="364"/>
      <c r="M193" s="452" t="s">
        <v>171</v>
      </c>
      <c r="N193" s="415" t="s">
        <v>185</v>
      </c>
      <c r="O193" s="453">
        <v>15.24</v>
      </c>
      <c r="P193" s="453">
        <f t="shared" si="21"/>
        <v>12.954000000000001</v>
      </c>
      <c r="Q193" s="453">
        <v>1.2029614</v>
      </c>
      <c r="R193" s="453">
        <f t="shared" si="22"/>
        <v>1.0225171899999999</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616</v>
      </c>
    </row>
    <row r="194" spans="2:65" s="365" customFormat="1" ht="21.75" customHeight="1" x14ac:dyDescent="0.25">
      <c r="B194" s="364"/>
      <c r="C194" s="445" t="s">
        <v>617</v>
      </c>
      <c r="D194" s="445" t="s">
        <v>218</v>
      </c>
      <c r="E194" s="446" t="s">
        <v>618</v>
      </c>
      <c r="F194" s="447" t="s">
        <v>619</v>
      </c>
      <c r="G194" s="448" t="s">
        <v>111</v>
      </c>
      <c r="H194" s="449">
        <v>93.6</v>
      </c>
      <c r="I194" s="329">
        <v>0</v>
      </c>
      <c r="J194" s="450">
        <f t="shared" si="20"/>
        <v>0</v>
      </c>
      <c r="K194" s="451"/>
      <c r="L194" s="364"/>
      <c r="M194" s="452" t="s">
        <v>171</v>
      </c>
      <c r="N194" s="415" t="s">
        <v>185</v>
      </c>
      <c r="O194" s="453">
        <v>0.35799999999999998</v>
      </c>
      <c r="P194" s="453">
        <f t="shared" si="21"/>
        <v>33.508799999999994</v>
      </c>
      <c r="Q194" s="453">
        <v>1.5947400000000001E-3</v>
      </c>
      <c r="R194" s="453">
        <f t="shared" si="22"/>
        <v>0.14926766399999999</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620</v>
      </c>
    </row>
    <row r="195" spans="2:65" s="365" customFormat="1" ht="21.75" customHeight="1" x14ac:dyDescent="0.25">
      <c r="B195" s="364"/>
      <c r="C195" s="445" t="s">
        <v>621</v>
      </c>
      <c r="D195" s="445" t="s">
        <v>218</v>
      </c>
      <c r="E195" s="446" t="s">
        <v>622</v>
      </c>
      <c r="F195" s="447" t="s">
        <v>623</v>
      </c>
      <c r="G195" s="448" t="s">
        <v>111</v>
      </c>
      <c r="H195" s="449">
        <v>93.6</v>
      </c>
      <c r="I195" s="329">
        <v>0</v>
      </c>
      <c r="J195" s="450">
        <f t="shared" si="20"/>
        <v>0</v>
      </c>
      <c r="K195" s="451"/>
      <c r="L195" s="364"/>
      <c r="M195" s="452" t="s">
        <v>171</v>
      </c>
      <c r="N195" s="415" t="s">
        <v>185</v>
      </c>
      <c r="O195" s="453">
        <v>0.19900000000000001</v>
      </c>
      <c r="P195" s="453">
        <f t="shared" si="21"/>
        <v>18.6264</v>
      </c>
      <c r="Q195" s="453">
        <v>0</v>
      </c>
      <c r="R195" s="453">
        <f t="shared" si="22"/>
        <v>0</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624</v>
      </c>
    </row>
    <row r="196" spans="2:65" s="365" customFormat="1" ht="16.5" customHeight="1" x14ac:dyDescent="0.25">
      <c r="B196" s="364"/>
      <c r="C196" s="457" t="s">
        <v>625</v>
      </c>
      <c r="D196" s="457" t="s">
        <v>259</v>
      </c>
      <c r="E196" s="458" t="s">
        <v>626</v>
      </c>
      <c r="F196" s="459" t="s">
        <v>627</v>
      </c>
      <c r="G196" s="460" t="s">
        <v>113</v>
      </c>
      <c r="H196" s="461">
        <v>70</v>
      </c>
      <c r="I196" s="330">
        <v>0</v>
      </c>
      <c r="J196" s="462">
        <f t="shared" si="20"/>
        <v>0</v>
      </c>
      <c r="K196" s="463"/>
      <c r="L196" s="464"/>
      <c r="M196" s="465" t="s">
        <v>171</v>
      </c>
      <c r="N196" s="466" t="s">
        <v>185</v>
      </c>
      <c r="O196" s="453">
        <v>0</v>
      </c>
      <c r="P196" s="453">
        <f t="shared" si="21"/>
        <v>0</v>
      </c>
      <c r="Q196" s="453">
        <v>3.6999999999999999E-4</v>
      </c>
      <c r="R196" s="453">
        <f t="shared" si="22"/>
        <v>2.5899999999999999E-2</v>
      </c>
      <c r="S196" s="453">
        <v>0</v>
      </c>
      <c r="T196" s="454">
        <f t="shared" si="23"/>
        <v>0</v>
      </c>
      <c r="AR196" s="455" t="s">
        <v>115</v>
      </c>
      <c r="AT196" s="455" t="s">
        <v>259</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628</v>
      </c>
    </row>
    <row r="197" spans="2:65" s="365" customFormat="1" ht="16.5" customHeight="1" x14ac:dyDescent="0.25">
      <c r="B197" s="364"/>
      <c r="C197" s="457" t="s">
        <v>629</v>
      </c>
      <c r="D197" s="457" t="s">
        <v>259</v>
      </c>
      <c r="E197" s="458" t="s">
        <v>630</v>
      </c>
      <c r="F197" s="459" t="s">
        <v>631</v>
      </c>
      <c r="G197" s="460" t="s">
        <v>123</v>
      </c>
      <c r="H197" s="461">
        <v>26</v>
      </c>
      <c r="I197" s="330">
        <v>0</v>
      </c>
      <c r="J197" s="462">
        <f t="shared" si="20"/>
        <v>0</v>
      </c>
      <c r="K197" s="463"/>
      <c r="L197" s="464"/>
      <c r="M197" s="465" t="s">
        <v>171</v>
      </c>
      <c r="N197" s="466" t="s">
        <v>185</v>
      </c>
      <c r="O197" s="453">
        <v>0</v>
      </c>
      <c r="P197" s="453">
        <f t="shared" si="21"/>
        <v>0</v>
      </c>
      <c r="Q197" s="453">
        <v>5.5399999999999998E-3</v>
      </c>
      <c r="R197" s="453">
        <f t="shared" si="22"/>
        <v>0.14404</v>
      </c>
      <c r="S197" s="453">
        <v>0</v>
      </c>
      <c r="T197" s="454">
        <f t="shared" si="23"/>
        <v>0</v>
      </c>
      <c r="AR197" s="455" t="s">
        <v>115</v>
      </c>
      <c r="AT197" s="455" t="s">
        <v>259</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632</v>
      </c>
    </row>
    <row r="198" spans="2:65" s="434" customFormat="1" ht="22.9" customHeight="1" x14ac:dyDescent="0.2">
      <c r="B198" s="433"/>
      <c r="D198" s="435" t="s">
        <v>216</v>
      </c>
      <c r="E198" s="443" t="s">
        <v>162</v>
      </c>
      <c r="F198" s="443" t="s">
        <v>633</v>
      </c>
      <c r="I198" s="467"/>
      <c r="J198" s="444">
        <f>BK198</f>
        <v>0</v>
      </c>
      <c r="L198" s="433"/>
      <c r="M198" s="438"/>
      <c r="P198" s="439">
        <f>SUM(P199:P202)</f>
        <v>156.84570000000002</v>
      </c>
      <c r="R198" s="439">
        <f>SUM(R199:R202)</f>
        <v>9.0879840000000003E-2</v>
      </c>
      <c r="T198" s="440">
        <f>SUM(T199:T202)</f>
        <v>32.535000000000004</v>
      </c>
      <c r="AR198" s="435" t="s">
        <v>109</v>
      </c>
      <c r="AT198" s="441" t="s">
        <v>216</v>
      </c>
      <c r="AU198" s="441" t="s">
        <v>109</v>
      </c>
      <c r="AY198" s="435" t="s">
        <v>217</v>
      </c>
      <c r="BK198" s="442">
        <f>SUM(BK199:BK202)</f>
        <v>0</v>
      </c>
    </row>
    <row r="199" spans="2:65" s="365" customFormat="1" ht="66.75" customHeight="1" x14ac:dyDescent="0.25">
      <c r="B199" s="364"/>
      <c r="C199" s="445" t="s">
        <v>634</v>
      </c>
      <c r="D199" s="445" t="s">
        <v>218</v>
      </c>
      <c r="E199" s="446" t="s">
        <v>635</v>
      </c>
      <c r="F199" s="447" t="s">
        <v>3068</v>
      </c>
      <c r="G199" s="448" t="s">
        <v>112</v>
      </c>
      <c r="H199" s="449">
        <f>Ponuka!L119</f>
        <v>22.679999999999996</v>
      </c>
      <c r="I199" s="329">
        <v>0</v>
      </c>
      <c r="J199" s="450">
        <f>ROUND(I199*H199,2)</f>
        <v>0</v>
      </c>
      <c r="K199" s="451"/>
      <c r="L199" s="364"/>
      <c r="M199" s="452" t="s">
        <v>171</v>
      </c>
      <c r="N199" s="415" t="s">
        <v>185</v>
      </c>
      <c r="O199" s="453">
        <v>0</v>
      </c>
      <c r="P199" s="453">
        <f>O199*H199</f>
        <v>0</v>
      </c>
      <c r="Q199" s="453">
        <v>0</v>
      </c>
      <c r="R199" s="453">
        <f>Q199*H199</f>
        <v>0</v>
      </c>
      <c r="S199" s="453">
        <v>0</v>
      </c>
      <c r="T199" s="454">
        <f>S199*H199</f>
        <v>0</v>
      </c>
      <c r="AR199" s="455" t="s">
        <v>110</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110</v>
      </c>
      <c r="BM199" s="455" t="s">
        <v>636</v>
      </c>
    </row>
    <row r="200" spans="2:65" s="365" customFormat="1" ht="66.75" customHeight="1" x14ac:dyDescent="0.25">
      <c r="B200" s="364"/>
      <c r="C200" s="445" t="s">
        <v>637</v>
      </c>
      <c r="D200" s="445" t="s">
        <v>218</v>
      </c>
      <c r="E200" s="446" t="s">
        <v>638</v>
      </c>
      <c r="F200" s="447" t="s">
        <v>3069</v>
      </c>
      <c r="G200" s="448" t="s">
        <v>112</v>
      </c>
      <c r="H200" s="449">
        <f>Ponuka!R119</f>
        <v>4159.3999999999996</v>
      </c>
      <c r="I200" s="329">
        <v>0</v>
      </c>
      <c r="J200" s="450">
        <f>ROUND(I200*H200,2)</f>
        <v>0</v>
      </c>
      <c r="K200" s="451"/>
      <c r="L200" s="364"/>
      <c r="M200" s="452" t="s">
        <v>171</v>
      </c>
      <c r="N200" s="415" t="s">
        <v>185</v>
      </c>
      <c r="O200" s="453">
        <v>0</v>
      </c>
      <c r="P200" s="453">
        <f>O200*H200</f>
        <v>0</v>
      </c>
      <c r="Q200" s="453">
        <v>0</v>
      </c>
      <c r="R200" s="453">
        <f>Q200*H200</f>
        <v>0</v>
      </c>
      <c r="S200" s="453">
        <v>0</v>
      </c>
      <c r="T200" s="454">
        <f>S200*H200</f>
        <v>0</v>
      </c>
      <c r="AR200" s="455" t="s">
        <v>110</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110</v>
      </c>
      <c r="BM200" s="455" t="s">
        <v>639</v>
      </c>
    </row>
    <row r="201" spans="2:65" s="365" customFormat="1" ht="24.2" customHeight="1" x14ac:dyDescent="0.25">
      <c r="B201" s="364"/>
      <c r="C201" s="445" t="s">
        <v>640</v>
      </c>
      <c r="D201" s="445" t="s">
        <v>218</v>
      </c>
      <c r="E201" s="446" t="s">
        <v>641</v>
      </c>
      <c r="F201" s="447" t="s">
        <v>642</v>
      </c>
      <c r="G201" s="448" t="s">
        <v>112</v>
      </c>
      <c r="H201" s="449">
        <f>Ponuka!M119</f>
        <v>9.7200000000000024</v>
      </c>
      <c r="I201" s="329">
        <v>0</v>
      </c>
      <c r="J201" s="450">
        <f>ROUND(I201*H201,2)</f>
        <v>0</v>
      </c>
      <c r="K201" s="451"/>
      <c r="L201" s="364"/>
      <c r="M201" s="452" t="s">
        <v>171</v>
      </c>
      <c r="N201" s="415" t="s">
        <v>185</v>
      </c>
      <c r="O201" s="453">
        <v>6.0000000000000001E-3</v>
      </c>
      <c r="P201" s="453">
        <f>O201*H201</f>
        <v>5.8320000000000018E-2</v>
      </c>
      <c r="Q201" s="453">
        <v>0</v>
      </c>
      <c r="R201" s="453">
        <f>Q201*H201</f>
        <v>0</v>
      </c>
      <c r="S201" s="453">
        <v>0</v>
      </c>
      <c r="T201" s="454">
        <f>S201*H201</f>
        <v>0</v>
      </c>
      <c r="AR201" s="455" t="s">
        <v>110</v>
      </c>
      <c r="AT201" s="455" t="s">
        <v>218</v>
      </c>
      <c r="AU201" s="455" t="s">
        <v>108</v>
      </c>
      <c r="AY201" s="357" t="s">
        <v>217</v>
      </c>
      <c r="BE201" s="456">
        <f>IF(N201="základná",J201,0)</f>
        <v>0</v>
      </c>
      <c r="BF201" s="456">
        <f>IF(N201="znížená",J201,0)</f>
        <v>0</v>
      </c>
      <c r="BG201" s="456">
        <f>IF(N201="zákl. prenesená",J201,0)</f>
        <v>0</v>
      </c>
      <c r="BH201" s="456">
        <f>IF(N201="zníž. prenesená",J201,0)</f>
        <v>0</v>
      </c>
      <c r="BI201" s="456">
        <f>IF(N201="nulová",J201,0)</f>
        <v>0</v>
      </c>
      <c r="BJ201" s="357" t="s">
        <v>108</v>
      </c>
      <c r="BK201" s="456">
        <f>ROUND(I201*H201,2)</f>
        <v>0</v>
      </c>
      <c r="BL201" s="357" t="s">
        <v>110</v>
      </c>
      <c r="BM201" s="455" t="s">
        <v>643</v>
      </c>
    </row>
    <row r="202" spans="2:65" s="365" customFormat="1" ht="33" customHeight="1" x14ac:dyDescent="0.25">
      <c r="B202" s="364"/>
      <c r="C202" s="445" t="s">
        <v>644</v>
      </c>
      <c r="D202" s="445" t="s">
        <v>218</v>
      </c>
      <c r="E202" s="446" t="s">
        <v>646</v>
      </c>
      <c r="F202" s="447" t="s">
        <v>647</v>
      </c>
      <c r="G202" s="448" t="s">
        <v>114</v>
      </c>
      <c r="H202" s="449">
        <v>13.5</v>
      </c>
      <c r="I202" s="329">
        <v>0</v>
      </c>
      <c r="J202" s="450">
        <f>ROUND(I202*H202,2)</f>
        <v>0</v>
      </c>
      <c r="K202" s="451"/>
      <c r="L202" s="364"/>
      <c r="M202" s="452" t="s">
        <v>171</v>
      </c>
      <c r="N202" s="415" t="s">
        <v>185</v>
      </c>
      <c r="O202" s="453">
        <v>11.61388</v>
      </c>
      <c r="P202" s="453">
        <f>O202*H202</f>
        <v>156.78738000000001</v>
      </c>
      <c r="Q202" s="453">
        <v>6.7318400000000002E-3</v>
      </c>
      <c r="R202" s="453">
        <f>Q202*H202</f>
        <v>9.0879840000000003E-2</v>
      </c>
      <c r="S202" s="453">
        <v>2.41</v>
      </c>
      <c r="T202" s="454">
        <f>S202*H202</f>
        <v>32.535000000000004</v>
      </c>
      <c r="AR202" s="455" t="s">
        <v>110</v>
      </c>
      <c r="AT202" s="455" t="s">
        <v>218</v>
      </c>
      <c r="AU202" s="455" t="s">
        <v>108</v>
      </c>
      <c r="AY202" s="357" t="s">
        <v>217</v>
      </c>
      <c r="BE202" s="456">
        <f>IF(N202="základná",J202,0)</f>
        <v>0</v>
      </c>
      <c r="BF202" s="456">
        <f>IF(N202="znížená",J202,0)</f>
        <v>0</v>
      </c>
      <c r="BG202" s="456">
        <f>IF(N202="zákl. prenesená",J202,0)</f>
        <v>0</v>
      </c>
      <c r="BH202" s="456">
        <f>IF(N202="zníž. prenesená",J202,0)</f>
        <v>0</v>
      </c>
      <c r="BI202" s="456">
        <f>IF(N202="nulová",J202,0)</f>
        <v>0</v>
      </c>
      <c r="BJ202" s="357" t="s">
        <v>108</v>
      </c>
      <c r="BK202" s="456">
        <f>ROUND(I202*H202,2)</f>
        <v>0</v>
      </c>
      <c r="BL202" s="357" t="s">
        <v>110</v>
      </c>
      <c r="BM202" s="455" t="s">
        <v>648</v>
      </c>
    </row>
    <row r="203" spans="2:65" s="434" customFormat="1" ht="22.9" customHeight="1" x14ac:dyDescent="0.2">
      <c r="B203" s="433"/>
      <c r="D203" s="435" t="s">
        <v>216</v>
      </c>
      <c r="E203" s="443" t="s">
        <v>649</v>
      </c>
      <c r="F203" s="443" t="s">
        <v>650</v>
      </c>
      <c r="I203" s="467"/>
      <c r="J203" s="444">
        <f>BK203</f>
        <v>0</v>
      </c>
      <c r="L203" s="433"/>
      <c r="M203" s="438"/>
      <c r="P203" s="439">
        <f>SUM(P204:P206)</f>
        <v>7.3094400000000022</v>
      </c>
      <c r="R203" s="439">
        <f>SUM(R204:R206)</f>
        <v>0</v>
      </c>
      <c r="T203" s="440">
        <f>SUM(T204:T206)</f>
        <v>0</v>
      </c>
      <c r="AR203" s="435" t="s">
        <v>109</v>
      </c>
      <c r="AT203" s="441" t="s">
        <v>216</v>
      </c>
      <c r="AU203" s="441" t="s">
        <v>109</v>
      </c>
      <c r="AY203" s="435" t="s">
        <v>217</v>
      </c>
      <c r="BK203" s="442">
        <f>SUM(BK204:BK206)</f>
        <v>0</v>
      </c>
    </row>
    <row r="204" spans="2:65" s="365" customFormat="1" ht="24.2" customHeight="1" x14ac:dyDescent="0.25">
      <c r="B204" s="364"/>
      <c r="C204" s="445" t="s">
        <v>645</v>
      </c>
      <c r="D204" s="445" t="s">
        <v>218</v>
      </c>
      <c r="E204" s="446" t="s">
        <v>652</v>
      </c>
      <c r="F204" s="447" t="s">
        <v>3070</v>
      </c>
      <c r="G204" s="448" t="s">
        <v>112</v>
      </c>
      <c r="H204" s="449">
        <f>Ponuka!M119</f>
        <v>9.7200000000000024</v>
      </c>
      <c r="I204" s="329">
        <v>0</v>
      </c>
      <c r="J204" s="450">
        <f>ROUND(I204*H204,2)</f>
        <v>0</v>
      </c>
      <c r="K204" s="451"/>
      <c r="L204" s="364"/>
      <c r="M204" s="452" t="s">
        <v>171</v>
      </c>
      <c r="N204" s="415" t="s">
        <v>185</v>
      </c>
      <c r="O204" s="453">
        <v>0.59799999999999998</v>
      </c>
      <c r="P204" s="453">
        <f>O204*H204</f>
        <v>5.8125600000000013</v>
      </c>
      <c r="Q204" s="453">
        <v>0</v>
      </c>
      <c r="R204" s="453">
        <f>Q204*H204</f>
        <v>0</v>
      </c>
      <c r="S204" s="453">
        <v>0</v>
      </c>
      <c r="T204" s="454">
        <f>S204*H204</f>
        <v>0</v>
      </c>
      <c r="AR204" s="455" t="s">
        <v>110</v>
      </c>
      <c r="AT204" s="455" t="s">
        <v>218</v>
      </c>
      <c r="AU204" s="455" t="s">
        <v>108</v>
      </c>
      <c r="AY204" s="357" t="s">
        <v>217</v>
      </c>
      <c r="BE204" s="456">
        <f>IF(N204="základná",J204,0)</f>
        <v>0</v>
      </c>
      <c r="BF204" s="456">
        <f>IF(N204="znížená",J204,0)</f>
        <v>0</v>
      </c>
      <c r="BG204" s="456">
        <f>IF(N204="zákl. prenesená",J204,0)</f>
        <v>0</v>
      </c>
      <c r="BH204" s="456">
        <f>IF(N204="zníž. prenesená",J204,0)</f>
        <v>0</v>
      </c>
      <c r="BI204" s="456">
        <f>IF(N204="nulová",J204,0)</f>
        <v>0</v>
      </c>
      <c r="BJ204" s="357" t="s">
        <v>108</v>
      </c>
      <c r="BK204" s="456">
        <f>ROUND(I204*H204,2)</f>
        <v>0</v>
      </c>
      <c r="BL204" s="357" t="s">
        <v>110</v>
      </c>
      <c r="BM204" s="455" t="s">
        <v>654</v>
      </c>
    </row>
    <row r="205" spans="2:65" s="365" customFormat="1" ht="24.2" customHeight="1" x14ac:dyDescent="0.25">
      <c r="B205" s="364"/>
      <c r="C205" s="445" t="s">
        <v>651</v>
      </c>
      <c r="D205" s="445" t="s">
        <v>218</v>
      </c>
      <c r="E205" s="446" t="s">
        <v>656</v>
      </c>
      <c r="F205" s="447" t="s">
        <v>3071</v>
      </c>
      <c r="G205" s="448" t="s">
        <v>112</v>
      </c>
      <c r="H205" s="449">
        <f>Ponuka!M119*22</f>
        <v>213.84000000000006</v>
      </c>
      <c r="I205" s="329">
        <v>0</v>
      </c>
      <c r="J205" s="450">
        <f>ROUND(I205*H205,2)</f>
        <v>0</v>
      </c>
      <c r="K205" s="451"/>
      <c r="L205" s="364"/>
      <c r="M205" s="452" t="s">
        <v>171</v>
      </c>
      <c r="N205" s="415" t="s">
        <v>185</v>
      </c>
      <c r="O205" s="453">
        <v>7.0000000000000001E-3</v>
      </c>
      <c r="P205" s="453">
        <f>O205*H205</f>
        <v>1.4968800000000004</v>
      </c>
      <c r="Q205" s="453">
        <v>0</v>
      </c>
      <c r="R205" s="453">
        <f>Q205*H205</f>
        <v>0</v>
      </c>
      <c r="S205" s="453">
        <v>0</v>
      </c>
      <c r="T205" s="454">
        <f>S205*H205</f>
        <v>0</v>
      </c>
      <c r="AR205" s="455" t="s">
        <v>110</v>
      </c>
      <c r="AT205" s="455" t="s">
        <v>218</v>
      </c>
      <c r="AU205" s="455" t="s">
        <v>108</v>
      </c>
      <c r="AY205" s="357" t="s">
        <v>217</v>
      </c>
      <c r="BE205" s="456">
        <f>IF(N205="základná",J205,0)</f>
        <v>0</v>
      </c>
      <c r="BF205" s="456">
        <f>IF(N205="znížená",J205,0)</f>
        <v>0</v>
      </c>
      <c r="BG205" s="456">
        <f>IF(N205="zákl. prenesená",J205,0)</f>
        <v>0</v>
      </c>
      <c r="BH205" s="456">
        <f>IF(N205="zníž. prenesená",J205,0)</f>
        <v>0</v>
      </c>
      <c r="BI205" s="456">
        <f>IF(N205="nulová",J205,0)</f>
        <v>0</v>
      </c>
      <c r="BJ205" s="357" t="s">
        <v>108</v>
      </c>
      <c r="BK205" s="456">
        <f>ROUND(I205*H205,2)</f>
        <v>0</v>
      </c>
      <c r="BL205" s="357" t="s">
        <v>110</v>
      </c>
      <c r="BM205" s="455" t="s">
        <v>658</v>
      </c>
    </row>
    <row r="206" spans="2:65" s="365" customFormat="1" ht="24.2" customHeight="1" x14ac:dyDescent="0.25">
      <c r="B206" s="364"/>
      <c r="C206" s="445" t="s">
        <v>655</v>
      </c>
      <c r="D206" s="445" t="s">
        <v>218</v>
      </c>
      <c r="E206" s="446" t="s">
        <v>660</v>
      </c>
      <c r="F206" s="447" t="s">
        <v>3072</v>
      </c>
      <c r="G206" s="448" t="s">
        <v>112</v>
      </c>
      <c r="H206" s="449">
        <f>Ponuka!M119</f>
        <v>9.7200000000000024</v>
      </c>
      <c r="I206" s="329">
        <v>0</v>
      </c>
      <c r="J206" s="450">
        <f>ROUND(I206*H206,2)</f>
        <v>0</v>
      </c>
      <c r="K206" s="451"/>
      <c r="L206" s="364"/>
      <c r="M206" s="452" t="s">
        <v>171</v>
      </c>
      <c r="N206" s="415" t="s">
        <v>185</v>
      </c>
      <c r="O206" s="453">
        <v>0</v>
      </c>
      <c r="P206" s="453">
        <f>O206*H206</f>
        <v>0</v>
      </c>
      <c r="Q206" s="453">
        <v>0</v>
      </c>
      <c r="R206" s="453">
        <f>Q206*H206</f>
        <v>0</v>
      </c>
      <c r="S206" s="453">
        <v>0</v>
      </c>
      <c r="T206" s="454">
        <f>S206*H206</f>
        <v>0</v>
      </c>
      <c r="AR206" s="455" t="s">
        <v>110</v>
      </c>
      <c r="AT206" s="455" t="s">
        <v>218</v>
      </c>
      <c r="AU206" s="455" t="s">
        <v>108</v>
      </c>
      <c r="AY206" s="357" t="s">
        <v>217</v>
      </c>
      <c r="BE206" s="456">
        <f>IF(N206="základná",J206,0)</f>
        <v>0</v>
      </c>
      <c r="BF206" s="456">
        <f>IF(N206="znížená",J206,0)</f>
        <v>0</v>
      </c>
      <c r="BG206" s="456">
        <f>IF(N206="zákl. prenesená",J206,0)</f>
        <v>0</v>
      </c>
      <c r="BH206" s="456">
        <f>IF(N206="zníž. prenesená",J206,0)</f>
        <v>0</v>
      </c>
      <c r="BI206" s="456">
        <f>IF(N206="nulová",J206,0)</f>
        <v>0</v>
      </c>
      <c r="BJ206" s="357" t="s">
        <v>108</v>
      </c>
      <c r="BK206" s="456">
        <f>ROUND(I206*H206,2)</f>
        <v>0</v>
      </c>
      <c r="BL206" s="357" t="s">
        <v>110</v>
      </c>
      <c r="BM206" s="455" t="s">
        <v>661</v>
      </c>
    </row>
    <row r="207" spans="2:65" s="434" customFormat="1" ht="25.9" customHeight="1" x14ac:dyDescent="0.2">
      <c r="B207" s="433"/>
      <c r="D207" s="435" t="s">
        <v>216</v>
      </c>
      <c r="E207" s="436" t="s">
        <v>662</v>
      </c>
      <c r="F207" s="436" t="s">
        <v>663</v>
      </c>
      <c r="I207" s="467"/>
      <c r="J207" s="437">
        <f>BK207</f>
        <v>0</v>
      </c>
      <c r="L207" s="433"/>
      <c r="M207" s="438"/>
      <c r="P207" s="439">
        <f>P208+P209</f>
        <v>549.83185000000003</v>
      </c>
      <c r="R207" s="439">
        <f>R208+R209</f>
        <v>0.57223170000000001</v>
      </c>
      <c r="T207" s="440">
        <f>T208+T209</f>
        <v>0</v>
      </c>
      <c r="AR207" s="435" t="s">
        <v>108</v>
      </c>
      <c r="AT207" s="441" t="s">
        <v>216</v>
      </c>
      <c r="AU207" s="441" t="s">
        <v>165</v>
      </c>
      <c r="AY207" s="435" t="s">
        <v>217</v>
      </c>
      <c r="BK207" s="442">
        <f>BK208+BK209</f>
        <v>0</v>
      </c>
    </row>
    <row r="208" spans="2:65" s="365" customFormat="1" ht="33" customHeight="1" x14ac:dyDescent="0.25">
      <c r="B208" s="364"/>
      <c r="C208" s="445" t="s">
        <v>659</v>
      </c>
      <c r="D208" s="445" t="s">
        <v>218</v>
      </c>
      <c r="E208" s="446" t="s">
        <v>665</v>
      </c>
      <c r="F208" s="447" t="s">
        <v>666</v>
      </c>
      <c r="G208" s="448" t="s">
        <v>112</v>
      </c>
      <c r="H208" s="449">
        <v>5931.91</v>
      </c>
      <c r="I208" s="329">
        <v>0</v>
      </c>
      <c r="J208" s="450">
        <f>ROUND(I208*H208,2)</f>
        <v>0</v>
      </c>
      <c r="K208" s="451"/>
      <c r="L208" s="364"/>
      <c r="M208" s="452" t="s">
        <v>171</v>
      </c>
      <c r="N208" s="415" t="s">
        <v>185</v>
      </c>
      <c r="O208" s="453">
        <v>0.04</v>
      </c>
      <c r="P208" s="453">
        <f>O208*H208</f>
        <v>237.2764</v>
      </c>
      <c r="Q208" s="453">
        <v>0</v>
      </c>
      <c r="R208" s="453">
        <f>Q208*H208</f>
        <v>0</v>
      </c>
      <c r="S208" s="453">
        <v>0</v>
      </c>
      <c r="T208" s="454">
        <f>S208*H208</f>
        <v>0</v>
      </c>
      <c r="AR208" s="455" t="s">
        <v>228</v>
      </c>
      <c r="AT208" s="455" t="s">
        <v>218</v>
      </c>
      <c r="AU208" s="455" t="s">
        <v>109</v>
      </c>
      <c r="AY208" s="357" t="s">
        <v>217</v>
      </c>
      <c r="BE208" s="456">
        <f>IF(N208="základná",J208,0)</f>
        <v>0</v>
      </c>
      <c r="BF208" s="456">
        <f>IF(N208="znížená",J208,0)</f>
        <v>0</v>
      </c>
      <c r="BG208" s="456">
        <f>IF(N208="zákl. prenesená",J208,0)</f>
        <v>0</v>
      </c>
      <c r="BH208" s="456">
        <f>IF(N208="zníž. prenesená",J208,0)</f>
        <v>0</v>
      </c>
      <c r="BI208" s="456">
        <f>IF(N208="nulová",J208,0)</f>
        <v>0</v>
      </c>
      <c r="BJ208" s="357" t="s">
        <v>108</v>
      </c>
      <c r="BK208" s="456">
        <f>ROUND(I208*H208,2)</f>
        <v>0</v>
      </c>
      <c r="BL208" s="357" t="s">
        <v>228</v>
      </c>
      <c r="BM208" s="455" t="s">
        <v>667</v>
      </c>
    </row>
    <row r="209" spans="2:65" s="434" customFormat="1" ht="22.9" customHeight="1" x14ac:dyDescent="0.2">
      <c r="B209" s="433"/>
      <c r="D209" s="435" t="s">
        <v>216</v>
      </c>
      <c r="E209" s="443" t="s">
        <v>668</v>
      </c>
      <c r="F209" s="443" t="s">
        <v>669</v>
      </c>
      <c r="I209" s="467"/>
      <c r="J209" s="444">
        <f>BK209</f>
        <v>0</v>
      </c>
      <c r="L209" s="433"/>
      <c r="M209" s="438"/>
      <c r="P209" s="439">
        <f>SUM(P210:P212)</f>
        <v>312.55545000000001</v>
      </c>
      <c r="R209" s="439">
        <f>SUM(R210:R212)</f>
        <v>0.57223170000000001</v>
      </c>
      <c r="T209" s="440">
        <f>SUM(T210:T212)</f>
        <v>0</v>
      </c>
      <c r="AR209" s="435" t="s">
        <v>108</v>
      </c>
      <c r="AT209" s="441" t="s">
        <v>216</v>
      </c>
      <c r="AU209" s="441" t="s">
        <v>109</v>
      </c>
      <c r="AY209" s="435" t="s">
        <v>217</v>
      </c>
      <c r="BK209" s="442">
        <f>SUM(BK210:BK212)</f>
        <v>0</v>
      </c>
    </row>
    <row r="210" spans="2:65" s="365" customFormat="1" ht="16.5" customHeight="1" x14ac:dyDescent="0.25">
      <c r="B210" s="364"/>
      <c r="C210" s="445" t="s">
        <v>664</v>
      </c>
      <c r="D210" s="445" t="s">
        <v>218</v>
      </c>
      <c r="E210" s="446" t="s">
        <v>671</v>
      </c>
      <c r="F210" s="447" t="s">
        <v>672</v>
      </c>
      <c r="G210" s="448" t="s">
        <v>111</v>
      </c>
      <c r="H210" s="449">
        <v>245</v>
      </c>
      <c r="I210" s="329">
        <v>0</v>
      </c>
      <c r="J210" s="450">
        <f>ROUND(I210*H210,2)</f>
        <v>0</v>
      </c>
      <c r="K210" s="451"/>
      <c r="L210" s="364"/>
      <c r="M210" s="452" t="s">
        <v>171</v>
      </c>
      <c r="N210" s="415" t="s">
        <v>185</v>
      </c>
      <c r="O210" s="453">
        <v>0.16008</v>
      </c>
      <c r="P210" s="453">
        <f>O210*H210</f>
        <v>39.2196</v>
      </c>
      <c r="Q210" s="453">
        <v>5.9716000000000001E-4</v>
      </c>
      <c r="R210" s="453">
        <f>Q210*H210</f>
        <v>0.1463042</v>
      </c>
      <c r="S210" s="453">
        <v>0</v>
      </c>
      <c r="T210" s="454">
        <f>S210*H210</f>
        <v>0</v>
      </c>
      <c r="AR210" s="455" t="s">
        <v>228</v>
      </c>
      <c r="AT210" s="455" t="s">
        <v>218</v>
      </c>
      <c r="AU210" s="455" t="s">
        <v>108</v>
      </c>
      <c r="AY210" s="357" t="s">
        <v>217</v>
      </c>
      <c r="BE210" s="456">
        <f>IF(N210="základná",J210,0)</f>
        <v>0</v>
      </c>
      <c r="BF210" s="456">
        <f>IF(N210="znížená",J210,0)</f>
        <v>0</v>
      </c>
      <c r="BG210" s="456">
        <f>IF(N210="zákl. prenesená",J210,0)</f>
        <v>0</v>
      </c>
      <c r="BH210" s="456">
        <f>IF(N210="zníž. prenesená",J210,0)</f>
        <v>0</v>
      </c>
      <c r="BI210" s="456">
        <f>IF(N210="nulová",J210,0)</f>
        <v>0</v>
      </c>
      <c r="BJ210" s="357" t="s">
        <v>108</v>
      </c>
      <c r="BK210" s="456">
        <f>ROUND(I210*H210,2)</f>
        <v>0</v>
      </c>
      <c r="BL210" s="357" t="s">
        <v>228</v>
      </c>
      <c r="BM210" s="455" t="s">
        <v>673</v>
      </c>
    </row>
    <row r="211" spans="2:65" s="365" customFormat="1" ht="24.2" customHeight="1" x14ac:dyDescent="0.25">
      <c r="B211" s="364"/>
      <c r="C211" s="445" t="s">
        <v>670</v>
      </c>
      <c r="D211" s="445" t="s">
        <v>218</v>
      </c>
      <c r="E211" s="446" t="s">
        <v>675</v>
      </c>
      <c r="F211" s="447" t="s">
        <v>676</v>
      </c>
      <c r="G211" s="448" t="s">
        <v>111</v>
      </c>
      <c r="H211" s="449">
        <v>245</v>
      </c>
      <c r="I211" s="329">
        <v>0</v>
      </c>
      <c r="J211" s="450">
        <f>ROUND(I211*H211,2)</f>
        <v>0</v>
      </c>
      <c r="K211" s="451"/>
      <c r="L211" s="364"/>
      <c r="M211" s="452" t="s">
        <v>171</v>
      </c>
      <c r="N211" s="415" t="s">
        <v>185</v>
      </c>
      <c r="O211" s="453">
        <v>0.29932999999999998</v>
      </c>
      <c r="P211" s="453">
        <f>O211*H211</f>
        <v>73.335849999999994</v>
      </c>
      <c r="Q211" s="453">
        <v>1.2895000000000001E-3</v>
      </c>
      <c r="R211" s="453">
        <f>Q211*H211</f>
        <v>0.31592750000000003</v>
      </c>
      <c r="S211" s="453">
        <v>0</v>
      </c>
      <c r="T211" s="454">
        <f>S211*H211</f>
        <v>0</v>
      </c>
      <c r="AR211" s="455" t="s">
        <v>228</v>
      </c>
      <c r="AT211" s="455" t="s">
        <v>218</v>
      </c>
      <c r="AU211" s="455" t="s">
        <v>108</v>
      </c>
      <c r="AY211" s="357" t="s">
        <v>217</v>
      </c>
      <c r="BE211" s="456">
        <f>IF(N211="základná",J211,0)</f>
        <v>0</v>
      </c>
      <c r="BF211" s="456">
        <f>IF(N211="znížená",J211,0)</f>
        <v>0</v>
      </c>
      <c r="BG211" s="456">
        <f>IF(N211="zákl. prenesená",J211,0)</f>
        <v>0</v>
      </c>
      <c r="BH211" s="456">
        <f>IF(N211="zníž. prenesená",J211,0)</f>
        <v>0</v>
      </c>
      <c r="BI211" s="456">
        <f>IF(N211="nulová",J211,0)</f>
        <v>0</v>
      </c>
      <c r="BJ211" s="357" t="s">
        <v>108</v>
      </c>
      <c r="BK211" s="456">
        <f>ROUND(I211*H211,2)</f>
        <v>0</v>
      </c>
      <c r="BL211" s="357" t="s">
        <v>228</v>
      </c>
      <c r="BM211" s="455" t="s">
        <v>677</v>
      </c>
    </row>
    <row r="212" spans="2:65" s="365" customFormat="1" ht="24.2" customHeight="1" x14ac:dyDescent="0.25">
      <c r="B212" s="364"/>
      <c r="C212" s="445" t="s">
        <v>674</v>
      </c>
      <c r="D212" s="445" t="s">
        <v>218</v>
      </c>
      <c r="E212" s="446" t="s">
        <v>679</v>
      </c>
      <c r="F212" s="447" t="s">
        <v>680</v>
      </c>
      <c r="G212" s="448" t="s">
        <v>111</v>
      </c>
      <c r="H212" s="449">
        <v>1000</v>
      </c>
      <c r="I212" s="329">
        <v>0</v>
      </c>
      <c r="J212" s="450">
        <f>ROUND(I212*H212,2)</f>
        <v>0</v>
      </c>
      <c r="K212" s="451"/>
      <c r="L212" s="364"/>
      <c r="M212" s="468" t="s">
        <v>171</v>
      </c>
      <c r="N212" s="469" t="s">
        <v>185</v>
      </c>
      <c r="O212" s="470">
        <v>0.2</v>
      </c>
      <c r="P212" s="470">
        <f>O212*H212</f>
        <v>200</v>
      </c>
      <c r="Q212" s="470">
        <v>1.1E-4</v>
      </c>
      <c r="R212" s="470">
        <f>Q212*H212</f>
        <v>0.11</v>
      </c>
      <c r="S212" s="470">
        <v>0</v>
      </c>
      <c r="T212" s="471">
        <f>S212*H212</f>
        <v>0</v>
      </c>
      <c r="AR212" s="455" t="s">
        <v>228</v>
      </c>
      <c r="AT212" s="455" t="s">
        <v>218</v>
      </c>
      <c r="AU212" s="455" t="s">
        <v>108</v>
      </c>
      <c r="AY212" s="357" t="s">
        <v>217</v>
      </c>
      <c r="BE212" s="456">
        <f>IF(N212="základná",J212,0)</f>
        <v>0</v>
      </c>
      <c r="BF212" s="456">
        <f>IF(N212="znížená",J212,0)</f>
        <v>0</v>
      </c>
      <c r="BG212" s="456">
        <f>IF(N212="zákl. prenesená",J212,0)</f>
        <v>0</v>
      </c>
      <c r="BH212" s="456">
        <f>IF(N212="zníž. prenesená",J212,0)</f>
        <v>0</v>
      </c>
      <c r="BI212" s="456">
        <f>IF(N212="nulová",J212,0)</f>
        <v>0</v>
      </c>
      <c r="BJ212" s="357" t="s">
        <v>108</v>
      </c>
      <c r="BK212" s="456">
        <f>ROUND(I212*H212,2)</f>
        <v>0</v>
      </c>
      <c r="BL212" s="357" t="s">
        <v>228</v>
      </c>
      <c r="BM212" s="455" t="s">
        <v>681</v>
      </c>
    </row>
    <row r="213" spans="2:65" s="365" customFormat="1" ht="6.95" customHeight="1" x14ac:dyDescent="0.25">
      <c r="B213" s="397"/>
      <c r="C213" s="398"/>
      <c r="D213" s="398"/>
      <c r="E213" s="398"/>
      <c r="F213" s="398"/>
      <c r="G213" s="398"/>
      <c r="H213" s="398"/>
      <c r="I213" s="398"/>
      <c r="J213" s="398"/>
      <c r="K213" s="398"/>
      <c r="L213" s="364"/>
    </row>
  </sheetData>
  <sheetProtection algorithmName="SHA-512" hashValue="2L4lNsIjAIlkPnu1jPFmPlzsPaHvmwKdg5PJVteWnoAmE+yTTFWDB73gmqewAUhpqGKdegOpnPB14ras5JKxvw==" saltValue="L8Dv0voGkyL/3uecRlULaA==" spinCount="100000" sheet="1" objects="1" scenarios="1"/>
  <autoFilter ref="C127:K212" xr:uid="{00000000-0009-0000-0000-000001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5D03F-F1C6-492F-9E20-DA680D8D5B19}">
  <sheetPr codeName="Hárok16">
    <pageSetUpPr fitToPage="1"/>
  </sheetPr>
  <dimension ref="B2:BM201"/>
  <sheetViews>
    <sheetView topLeftCell="A166" workbookViewId="0">
      <selection activeCell="I131" activeCellId="6" sqref="I198:I201 I196 I192:I194 I187:I190 I161:I185 I149:I159 I131:I147"/>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395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2150</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SUM(BE128:BE200)),  2)</f>
        <v>0</v>
      </c>
      <c r="G35" s="380"/>
      <c r="H35" s="380"/>
      <c r="I35" s="381">
        <v>0.23</v>
      </c>
      <c r="J35" s="379">
        <f>ROUND(((SUM(BE107:BE108) + SUM(BE128:BE200))*I35),  2)</f>
        <v>0</v>
      </c>
      <c r="L35" s="364"/>
    </row>
    <row r="36" spans="2:12" s="365" customFormat="1" ht="14.45" customHeight="1" x14ac:dyDescent="0.25">
      <c r="B36" s="364"/>
      <c r="E36" s="378" t="s">
        <v>185</v>
      </c>
      <c r="F36" s="382">
        <f>ROUND((SUM(BF107:BF108) + SUM(BF128:BF200)),  2)</f>
        <v>0</v>
      </c>
      <c r="I36" s="383">
        <v>0.23</v>
      </c>
      <c r="J36" s="382">
        <f>ROUND(((SUM(BF107:BF108) + SUM(BF128:BF200))*I36),  2)</f>
        <v>0</v>
      </c>
      <c r="L36" s="364"/>
    </row>
    <row r="37" spans="2:12" s="365" customFormat="1" ht="14.45" hidden="1" customHeight="1" x14ac:dyDescent="0.25">
      <c r="B37" s="364"/>
      <c r="E37" s="363" t="s">
        <v>186</v>
      </c>
      <c r="F37" s="382">
        <f>ROUND((SUM(BG107:BG108) + SUM(BG128:BG200)),  2)</f>
        <v>0</v>
      </c>
      <c r="I37" s="383">
        <v>0.23</v>
      </c>
      <c r="J37" s="382">
        <f>0</f>
        <v>0</v>
      </c>
      <c r="L37" s="364"/>
    </row>
    <row r="38" spans="2:12" s="365" customFormat="1" ht="14.45" hidden="1" customHeight="1" x14ac:dyDescent="0.25">
      <c r="B38" s="364"/>
      <c r="E38" s="363" t="s">
        <v>187</v>
      </c>
      <c r="F38" s="382">
        <f>ROUND((SUM(BH107:BH108) + SUM(BH128:BH200)),  2)</f>
        <v>0</v>
      </c>
      <c r="I38" s="383">
        <v>0.23</v>
      </c>
      <c r="J38" s="382">
        <f>0</f>
        <v>0</v>
      </c>
      <c r="L38" s="364"/>
    </row>
    <row r="39" spans="2:12" s="365" customFormat="1" ht="14.45" hidden="1" customHeight="1" x14ac:dyDescent="0.25">
      <c r="B39" s="364"/>
      <c r="E39" s="378" t="s">
        <v>188</v>
      </c>
      <c r="F39" s="379">
        <f>ROUND((SUM(BI107:BI108) + SUM(BI128:BI200)),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102.4 - SO 102.4 OM - úsek D</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J160</f>
        <v>0</v>
      </c>
      <c r="L100" s="409"/>
    </row>
    <row r="101" spans="2:14" s="410" customFormat="1" ht="19.899999999999999" customHeight="1" x14ac:dyDescent="0.25">
      <c r="B101" s="409"/>
      <c r="D101" s="411" t="s">
        <v>414</v>
      </c>
      <c r="E101" s="412"/>
      <c r="F101" s="412"/>
      <c r="G101" s="412"/>
      <c r="H101" s="412"/>
      <c r="I101" s="412"/>
      <c r="J101" s="413">
        <f>J186</f>
        <v>0</v>
      </c>
      <c r="L101" s="409"/>
    </row>
    <row r="102" spans="2:14" s="410" customFormat="1" ht="19.899999999999999" customHeight="1" x14ac:dyDescent="0.25">
      <c r="B102" s="409"/>
      <c r="D102" s="411" t="s">
        <v>415</v>
      </c>
      <c r="E102" s="412"/>
      <c r="F102" s="412"/>
      <c r="G102" s="412"/>
      <c r="H102" s="412"/>
      <c r="I102" s="412"/>
      <c r="J102" s="413">
        <f>J191</f>
        <v>0</v>
      </c>
      <c r="L102" s="409"/>
    </row>
    <row r="103" spans="2:14" s="405" customFormat="1" ht="24.95" customHeight="1" x14ac:dyDescent="0.25">
      <c r="B103" s="404"/>
      <c r="D103" s="406" t="s">
        <v>416</v>
      </c>
      <c r="E103" s="407"/>
      <c r="F103" s="407"/>
      <c r="G103" s="407"/>
      <c r="H103" s="407"/>
      <c r="I103" s="407"/>
      <c r="J103" s="408">
        <f>J195</f>
        <v>0</v>
      </c>
      <c r="L103" s="404"/>
    </row>
    <row r="104" spans="2:14" s="410" customFormat="1" ht="19.899999999999999" customHeight="1" x14ac:dyDescent="0.25">
      <c r="B104" s="409"/>
      <c r="D104" s="411" t="s">
        <v>417</v>
      </c>
      <c r="E104" s="412"/>
      <c r="F104" s="412"/>
      <c r="G104" s="412"/>
      <c r="H104" s="412"/>
      <c r="I104" s="412"/>
      <c r="J104" s="413">
        <f>J197</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102.4 - SO 102.4 OM - úsek D</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P129+P195</f>
        <v>11432.070523409999</v>
      </c>
      <c r="Q128" s="371"/>
      <c r="R128" s="430">
        <f>R129+R195</f>
        <v>2546.9739795985001</v>
      </c>
      <c r="S128" s="371"/>
      <c r="T128" s="431">
        <f>T129+T195</f>
        <v>17.834000000000003</v>
      </c>
      <c r="AT128" s="357" t="s">
        <v>216</v>
      </c>
      <c r="AU128" s="357" t="s">
        <v>202</v>
      </c>
      <c r="BK128" s="432">
        <f>BK129+BK195</f>
        <v>0</v>
      </c>
    </row>
    <row r="129" spans="2:65" s="434" customFormat="1" ht="25.9" customHeight="1" x14ac:dyDescent="0.2">
      <c r="B129" s="433"/>
      <c r="D129" s="435" t="s">
        <v>216</v>
      </c>
      <c r="E129" s="436" t="s">
        <v>418</v>
      </c>
      <c r="F129" s="436" t="s">
        <v>419</v>
      </c>
      <c r="J129" s="437">
        <f>BK129</f>
        <v>0</v>
      </c>
      <c r="L129" s="433"/>
      <c r="M129" s="438"/>
      <c r="P129" s="439">
        <f>P130+P148+P160+P186+P191</f>
        <v>11153.383933409999</v>
      </c>
      <c r="R129" s="439">
        <f>R130+R148+R160+R186+R191</f>
        <v>2546.6561404985</v>
      </c>
      <c r="T129" s="440">
        <f>T130+T148+T160+T186+T191</f>
        <v>17.834000000000003</v>
      </c>
      <c r="AR129" s="435" t="s">
        <v>109</v>
      </c>
      <c r="AT129" s="441" t="s">
        <v>216</v>
      </c>
      <c r="AU129" s="441" t="s">
        <v>165</v>
      </c>
      <c r="AY129" s="435" t="s">
        <v>217</v>
      </c>
      <c r="BK129" s="442">
        <f>BK130+BK148+BK160+BK186+BK191</f>
        <v>0</v>
      </c>
    </row>
    <row r="130" spans="2:65" s="434" customFormat="1" ht="22.9" customHeight="1" x14ac:dyDescent="0.2">
      <c r="B130" s="433"/>
      <c r="D130" s="435" t="s">
        <v>216</v>
      </c>
      <c r="E130" s="443" t="s">
        <v>109</v>
      </c>
      <c r="F130" s="443" t="s">
        <v>220</v>
      </c>
      <c r="J130" s="444">
        <f>BK130</f>
        <v>0</v>
      </c>
      <c r="L130" s="433"/>
      <c r="M130" s="438"/>
      <c r="P130" s="439">
        <f>SUM(P131:P147)</f>
        <v>2895.8100899999999</v>
      </c>
      <c r="R130" s="439">
        <f>SUM(R131:R147)</f>
        <v>1907.3643</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2086</v>
      </c>
      <c r="I131" s="329">
        <v>0</v>
      </c>
      <c r="J131" s="450">
        <f t="shared" ref="J131:J147" si="0">ROUND(I131*H131,2)</f>
        <v>0</v>
      </c>
      <c r="K131" s="451"/>
      <c r="L131" s="364"/>
      <c r="M131" s="452" t="s">
        <v>171</v>
      </c>
      <c r="N131" s="415" t="s">
        <v>185</v>
      </c>
      <c r="O131" s="453">
        <v>5.2500000000000003E-3</v>
      </c>
      <c r="P131" s="453">
        <f t="shared" ref="P131:P147" si="1">O131*H131</f>
        <v>10.951500000000001</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312.89999999999998</v>
      </c>
      <c r="I132" s="329">
        <v>0</v>
      </c>
      <c r="J132" s="450">
        <f t="shared" si="0"/>
        <v>0</v>
      </c>
      <c r="K132" s="451"/>
      <c r="L132" s="364"/>
      <c r="M132" s="452" t="s">
        <v>171</v>
      </c>
      <c r="N132" s="415" t="s">
        <v>185</v>
      </c>
      <c r="O132" s="453">
        <v>0.16300000000000001</v>
      </c>
      <c r="P132" s="453">
        <f t="shared" si="1"/>
        <v>51.002699999999997</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2086</v>
      </c>
      <c r="I133" s="329">
        <v>0</v>
      </c>
      <c r="J133" s="450">
        <f t="shared" si="0"/>
        <v>0</v>
      </c>
      <c r="K133" s="451"/>
      <c r="L133" s="364"/>
      <c r="M133" s="452" t="s">
        <v>171</v>
      </c>
      <c r="N133" s="415" t="s">
        <v>185</v>
      </c>
      <c r="O133" s="453">
        <v>6.6000000000000003E-2</v>
      </c>
      <c r="P133" s="453">
        <f t="shared" si="1"/>
        <v>137.67600000000002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1657</v>
      </c>
      <c r="I134" s="329">
        <v>0</v>
      </c>
      <c r="J134" s="450">
        <f t="shared" si="0"/>
        <v>0</v>
      </c>
      <c r="K134" s="451"/>
      <c r="L134" s="364"/>
      <c r="M134" s="452" t="s">
        <v>171</v>
      </c>
      <c r="N134" s="415" t="s">
        <v>185</v>
      </c>
      <c r="O134" s="453">
        <v>0.15</v>
      </c>
      <c r="P134" s="453">
        <f t="shared" si="1"/>
        <v>248.54999999999998</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1657</v>
      </c>
      <c r="I135" s="329">
        <v>0</v>
      </c>
      <c r="J135" s="450">
        <f t="shared" si="0"/>
        <v>0</v>
      </c>
      <c r="K135" s="451"/>
      <c r="L135" s="364"/>
      <c r="M135" s="452" t="s">
        <v>171</v>
      </c>
      <c r="N135" s="415" t="s">
        <v>185</v>
      </c>
      <c r="O135" s="453">
        <v>7.6999999999999999E-2</v>
      </c>
      <c r="P135" s="453">
        <f t="shared" si="1"/>
        <v>127.589</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v>458.1</v>
      </c>
      <c r="I136" s="329">
        <v>0</v>
      </c>
      <c r="J136" s="450">
        <f t="shared" si="0"/>
        <v>0</v>
      </c>
      <c r="K136" s="451"/>
      <c r="L136" s="364"/>
      <c r="M136" s="452" t="s">
        <v>171</v>
      </c>
      <c r="N136" s="415" t="s">
        <v>185</v>
      </c>
      <c r="O136" s="453">
        <v>8.6999999999999994E-2</v>
      </c>
      <c r="P136" s="453">
        <f t="shared" si="1"/>
        <v>39.854700000000001</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2151</v>
      </c>
      <c r="G137" s="448" t="s">
        <v>114</v>
      </c>
      <c r="H137" s="449">
        <v>458.1</v>
      </c>
      <c r="I137" s="329">
        <v>0</v>
      </c>
      <c r="J137" s="450">
        <f t="shared" si="0"/>
        <v>0</v>
      </c>
      <c r="K137" s="451"/>
      <c r="L137" s="364"/>
      <c r="M137" s="452" t="s">
        <v>171</v>
      </c>
      <c r="N137" s="415" t="s">
        <v>185</v>
      </c>
      <c r="O137" s="453">
        <v>4.4499999999999998E-2</v>
      </c>
      <c r="P137" s="453">
        <f t="shared" si="1"/>
        <v>20.385449999999999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79" t="s">
        <v>441</v>
      </c>
      <c r="F138" s="472" t="s">
        <v>2152</v>
      </c>
      <c r="G138" s="473" t="s">
        <v>114</v>
      </c>
      <c r="H138" s="474">
        <f>H137*22</f>
        <v>10078.200000000001</v>
      </c>
      <c r="I138" s="329">
        <v>0</v>
      </c>
      <c r="J138" s="450">
        <f t="shared" si="0"/>
        <v>0</v>
      </c>
      <c r="K138" s="451"/>
      <c r="L138" s="364"/>
      <c r="M138" s="452" t="s">
        <v>171</v>
      </c>
      <c r="N138" s="415" t="s">
        <v>185</v>
      </c>
      <c r="O138" s="453">
        <v>5.1999999999999998E-3</v>
      </c>
      <c r="P138" s="453">
        <f t="shared" si="1"/>
        <v>52.406640000000003</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3138</v>
      </c>
      <c r="G139" s="448" t="s">
        <v>112</v>
      </c>
      <c r="H139" s="449">
        <f>Ponuka!S120</f>
        <v>824.7</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130</v>
      </c>
      <c r="I140" s="329">
        <v>0</v>
      </c>
      <c r="J140" s="450">
        <f t="shared" si="0"/>
        <v>0</v>
      </c>
      <c r="K140" s="451"/>
      <c r="L140" s="364"/>
      <c r="M140" s="452" t="s">
        <v>171</v>
      </c>
      <c r="N140" s="415" t="s">
        <v>185</v>
      </c>
      <c r="O140" s="453">
        <v>0.22900000000000001</v>
      </c>
      <c r="P140" s="453">
        <f t="shared" si="1"/>
        <v>29.77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817</v>
      </c>
      <c r="I141" s="329">
        <v>0</v>
      </c>
      <c r="J141" s="450">
        <f t="shared" si="0"/>
        <v>0</v>
      </c>
      <c r="K141" s="451"/>
      <c r="L141" s="364"/>
      <c r="M141" s="452" t="s">
        <v>171</v>
      </c>
      <c r="N141" s="415" t="s">
        <v>185</v>
      </c>
      <c r="O141" s="453">
        <v>0.216</v>
      </c>
      <c r="P141" s="453">
        <f t="shared" si="1"/>
        <v>176.47200000000001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1470.6</v>
      </c>
      <c r="I142" s="330">
        <v>0</v>
      </c>
      <c r="J142" s="462">
        <f t="shared" si="0"/>
        <v>0</v>
      </c>
      <c r="K142" s="463"/>
      <c r="L142" s="464"/>
      <c r="M142" s="465" t="s">
        <v>171</v>
      </c>
      <c r="N142" s="466" t="s">
        <v>185</v>
      </c>
      <c r="O142" s="453">
        <v>0</v>
      </c>
      <c r="P142" s="453">
        <f t="shared" si="1"/>
        <v>0</v>
      </c>
      <c r="Q142" s="453">
        <v>1</v>
      </c>
      <c r="R142" s="453">
        <f t="shared" si="2"/>
        <v>1470.6</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2205.3000000000002</v>
      </c>
      <c r="I143" s="329">
        <v>0</v>
      </c>
      <c r="J143" s="450">
        <f t="shared" si="0"/>
        <v>0</v>
      </c>
      <c r="K143" s="451"/>
      <c r="L143" s="364"/>
      <c r="M143" s="452" t="s">
        <v>171</v>
      </c>
      <c r="N143" s="415" t="s">
        <v>185</v>
      </c>
      <c r="O143" s="453">
        <v>1.7000000000000001E-2</v>
      </c>
      <c r="P143" s="453">
        <f t="shared" si="1"/>
        <v>37.490100000000005</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860</v>
      </c>
      <c r="I144" s="329">
        <v>0</v>
      </c>
      <c r="J144" s="450">
        <f t="shared" si="0"/>
        <v>0</v>
      </c>
      <c r="K144" s="451"/>
      <c r="L144" s="364"/>
      <c r="M144" s="452" t="s">
        <v>171</v>
      </c>
      <c r="N144" s="415" t="s">
        <v>185</v>
      </c>
      <c r="O144" s="453">
        <v>9.8000000000000004E-2</v>
      </c>
      <c r="P144" s="453">
        <f t="shared" si="1"/>
        <v>84.28</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946</v>
      </c>
      <c r="I145" s="330">
        <v>0</v>
      </c>
      <c r="J145" s="462">
        <f t="shared" si="0"/>
        <v>0</v>
      </c>
      <c r="K145" s="463"/>
      <c r="L145" s="464"/>
      <c r="M145" s="465" t="s">
        <v>171</v>
      </c>
      <c r="N145" s="466" t="s">
        <v>185</v>
      </c>
      <c r="O145" s="453">
        <v>0</v>
      </c>
      <c r="P145" s="453">
        <f t="shared" si="1"/>
        <v>0</v>
      </c>
      <c r="Q145" s="453">
        <v>8.9999999999999998E-4</v>
      </c>
      <c r="R145" s="453">
        <f t="shared" si="2"/>
        <v>0.85139999999999993</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860</v>
      </c>
      <c r="I146" s="329">
        <v>0</v>
      </c>
      <c r="J146" s="450">
        <f t="shared" si="0"/>
        <v>0</v>
      </c>
      <c r="K146" s="451"/>
      <c r="L146" s="364"/>
      <c r="M146" s="452" t="s">
        <v>171</v>
      </c>
      <c r="N146" s="415" t="s">
        <v>185</v>
      </c>
      <c r="O146" s="453">
        <v>1.77</v>
      </c>
      <c r="P146" s="453">
        <f t="shared" si="1"/>
        <v>1522.2</v>
      </c>
      <c r="Q146" s="453">
        <v>1.2149999999999999E-3</v>
      </c>
      <c r="R146" s="453">
        <f t="shared" si="2"/>
        <v>1.0448999999999999</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217</v>
      </c>
      <c r="I147" s="329">
        <v>0</v>
      </c>
      <c r="J147" s="450">
        <f t="shared" si="0"/>
        <v>0</v>
      </c>
      <c r="K147" s="451"/>
      <c r="L147" s="364"/>
      <c r="M147" s="452" t="s">
        <v>171</v>
      </c>
      <c r="N147" s="415" t="s">
        <v>185</v>
      </c>
      <c r="O147" s="453">
        <v>1.6459999999999999</v>
      </c>
      <c r="P147" s="453">
        <f t="shared" si="1"/>
        <v>357.18199999999996</v>
      </c>
      <c r="Q147" s="453">
        <v>2.004</v>
      </c>
      <c r="R147" s="453">
        <f t="shared" si="2"/>
        <v>434.86799999999999</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SUM(P149:P159)</f>
        <v>4504.5981000000002</v>
      </c>
      <c r="R148" s="439">
        <f>SUM(R149:R159)</f>
        <v>480.34045930000002</v>
      </c>
      <c r="T148" s="440">
        <f>SUM(T149:T159)</f>
        <v>0</v>
      </c>
      <c r="AR148" s="435" t="s">
        <v>109</v>
      </c>
      <c r="AT148" s="441" t="s">
        <v>216</v>
      </c>
      <c r="AU148" s="441" t="s">
        <v>109</v>
      </c>
      <c r="AY148" s="435" t="s">
        <v>217</v>
      </c>
      <c r="BK148" s="442">
        <f>SUM(BK149:BK159)</f>
        <v>0</v>
      </c>
    </row>
    <row r="149" spans="2:65" s="365" customFormat="1" ht="33" customHeight="1" x14ac:dyDescent="0.25">
      <c r="B149" s="364"/>
      <c r="C149" s="445" t="s">
        <v>231</v>
      </c>
      <c r="D149" s="445" t="s">
        <v>218</v>
      </c>
      <c r="E149" s="446" t="s">
        <v>470</v>
      </c>
      <c r="F149" s="447" t="s">
        <v>471</v>
      </c>
      <c r="G149" s="448" t="s">
        <v>111</v>
      </c>
      <c r="H149" s="449">
        <v>1037</v>
      </c>
      <c r="I149" s="329">
        <v>0</v>
      </c>
      <c r="J149" s="450">
        <f t="shared" ref="J149:J159" si="10">ROUND(I149*H149,2)</f>
        <v>0</v>
      </c>
      <c r="K149" s="451"/>
      <c r="L149" s="364"/>
      <c r="M149" s="452" t="s">
        <v>171</v>
      </c>
      <c r="N149" s="415" t="s">
        <v>185</v>
      </c>
      <c r="O149" s="453">
        <v>4.0000000000000001E-3</v>
      </c>
      <c r="P149" s="453">
        <f t="shared" ref="P149:P159" si="11">O149*H149</f>
        <v>4.1479999999999997</v>
      </c>
      <c r="Q149" s="453">
        <v>0</v>
      </c>
      <c r="R149" s="453">
        <f t="shared" ref="R149:R159" si="12">Q149*H149</f>
        <v>0</v>
      </c>
      <c r="S149" s="453">
        <v>0</v>
      </c>
      <c r="T149" s="454">
        <f t="shared" ref="T149:T159" si="13">S149*H149</f>
        <v>0</v>
      </c>
      <c r="AR149" s="455" t="s">
        <v>110</v>
      </c>
      <c r="AT149" s="455" t="s">
        <v>218</v>
      </c>
      <c r="AU149" s="455" t="s">
        <v>108</v>
      </c>
      <c r="AY149" s="357" t="s">
        <v>217</v>
      </c>
      <c r="BE149" s="456">
        <f t="shared" ref="BE149:BE159" si="14">IF(N149="základná",J149,0)</f>
        <v>0</v>
      </c>
      <c r="BF149" s="456">
        <f t="shared" ref="BF149:BF159" si="15">IF(N149="znížená",J149,0)</f>
        <v>0</v>
      </c>
      <c r="BG149" s="456">
        <f t="shared" ref="BG149:BG159" si="16">IF(N149="zákl. prenesená",J149,0)</f>
        <v>0</v>
      </c>
      <c r="BH149" s="456">
        <f t="shared" ref="BH149:BH159" si="17">IF(N149="zníž. prenesená",J149,0)</f>
        <v>0</v>
      </c>
      <c r="BI149" s="456">
        <f t="shared" ref="BI149:BI159" si="18">IF(N149="nulová",J149,0)</f>
        <v>0</v>
      </c>
      <c r="BJ149" s="357" t="s">
        <v>108</v>
      </c>
      <c r="BK149" s="456">
        <f t="shared" ref="BK149:BK159"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2722</v>
      </c>
      <c r="I150" s="329">
        <v>0</v>
      </c>
      <c r="J150" s="450">
        <f t="shared" si="10"/>
        <v>0</v>
      </c>
      <c r="K150" s="451"/>
      <c r="L150" s="364"/>
      <c r="M150" s="452" t="s">
        <v>171</v>
      </c>
      <c r="N150" s="415" t="s">
        <v>185</v>
      </c>
      <c r="O150" s="453">
        <v>0.105</v>
      </c>
      <c r="P150" s="453">
        <f t="shared" si="11"/>
        <v>285.81</v>
      </c>
      <c r="Q150" s="453">
        <v>3.1981000000000002E-4</v>
      </c>
      <c r="R150" s="453">
        <f t="shared" si="12"/>
        <v>0.87052282000000003</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2994.2</v>
      </c>
      <c r="I151" s="330">
        <v>0</v>
      </c>
      <c r="J151" s="462">
        <f t="shared" si="10"/>
        <v>0</v>
      </c>
      <c r="K151" s="463"/>
      <c r="L151" s="464"/>
      <c r="M151" s="465" t="s">
        <v>171</v>
      </c>
      <c r="N151" s="466" t="s">
        <v>185</v>
      </c>
      <c r="O151" s="453">
        <v>0</v>
      </c>
      <c r="P151" s="453">
        <f t="shared" si="11"/>
        <v>0</v>
      </c>
      <c r="Q151" s="453">
        <v>2.7999999999999998E-4</v>
      </c>
      <c r="R151" s="453">
        <f t="shared" si="12"/>
        <v>0.8383759999999999</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330</v>
      </c>
      <c r="I152" s="329">
        <v>0</v>
      </c>
      <c r="J152" s="450">
        <f t="shared" si="10"/>
        <v>0</v>
      </c>
      <c r="K152" s="451"/>
      <c r="L152" s="364"/>
      <c r="M152" s="452" t="s">
        <v>171</v>
      </c>
      <c r="N152" s="415" t="s">
        <v>185</v>
      </c>
      <c r="O152" s="453">
        <v>6.6000000000000003E-2</v>
      </c>
      <c r="P152" s="453">
        <f t="shared" si="11"/>
        <v>21.78</v>
      </c>
      <c r="Q152" s="453">
        <v>1.7979999999999999E-2</v>
      </c>
      <c r="R152" s="453">
        <f t="shared" si="12"/>
        <v>5.9333999999999998</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330</v>
      </c>
      <c r="I153" s="329">
        <v>0</v>
      </c>
      <c r="J153" s="450">
        <f t="shared" si="10"/>
        <v>0</v>
      </c>
      <c r="K153" s="451"/>
      <c r="L153" s="364"/>
      <c r="M153" s="452" t="s">
        <v>171</v>
      </c>
      <c r="N153" s="415" t="s">
        <v>185</v>
      </c>
      <c r="O153" s="453">
        <v>3.9600000000000003E-2</v>
      </c>
      <c r="P153" s="453">
        <f t="shared" si="11"/>
        <v>13.068000000000001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330</v>
      </c>
      <c r="I154" s="330">
        <v>0</v>
      </c>
      <c r="J154" s="462">
        <f t="shared" si="10"/>
        <v>0</v>
      </c>
      <c r="K154" s="463"/>
      <c r="L154" s="464"/>
      <c r="M154" s="465" t="s">
        <v>171</v>
      </c>
      <c r="N154" s="466" t="s">
        <v>185</v>
      </c>
      <c r="O154" s="453">
        <v>0</v>
      </c>
      <c r="P154" s="453">
        <f t="shared" si="11"/>
        <v>0</v>
      </c>
      <c r="Q154" s="453">
        <v>1E-3</v>
      </c>
      <c r="R154" s="453">
        <f t="shared" si="12"/>
        <v>0.33</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330</v>
      </c>
      <c r="I155" s="329">
        <v>0</v>
      </c>
      <c r="J155" s="450">
        <f t="shared" si="10"/>
        <v>0</v>
      </c>
      <c r="K155" s="451"/>
      <c r="L155" s="364"/>
      <c r="M155" s="452" t="s">
        <v>171</v>
      </c>
      <c r="N155" s="415" t="s">
        <v>185</v>
      </c>
      <c r="O155" s="453">
        <v>5.2010000000000001E-2</v>
      </c>
      <c r="P155" s="453">
        <f t="shared" si="11"/>
        <v>17.1633</v>
      </c>
      <c r="Q155" s="453">
        <v>1.584E-4</v>
      </c>
      <c r="R155" s="453">
        <f t="shared" si="12"/>
        <v>5.2271999999999999E-2</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3130</v>
      </c>
      <c r="I156" s="329">
        <v>0</v>
      </c>
      <c r="J156" s="450">
        <f t="shared" si="10"/>
        <v>0</v>
      </c>
      <c r="K156" s="451"/>
      <c r="L156" s="364"/>
      <c r="M156" s="452" t="s">
        <v>171</v>
      </c>
      <c r="N156" s="415" t="s">
        <v>185</v>
      </c>
      <c r="O156" s="453">
        <v>0.18</v>
      </c>
      <c r="P156" s="453">
        <f t="shared" si="11"/>
        <v>563.4</v>
      </c>
      <c r="Q156" s="453">
        <v>2.4139999999999999E-3</v>
      </c>
      <c r="R156" s="453">
        <f t="shared" si="12"/>
        <v>7.5558199999999998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470</v>
      </c>
      <c r="I157" s="329">
        <v>0</v>
      </c>
      <c r="J157" s="450">
        <f t="shared" si="10"/>
        <v>0</v>
      </c>
      <c r="K157" s="451"/>
      <c r="L157" s="364"/>
      <c r="M157" s="452" t="s">
        <v>171</v>
      </c>
      <c r="N157" s="415" t="s">
        <v>185</v>
      </c>
      <c r="O157" s="453">
        <v>1.1359999999999999</v>
      </c>
      <c r="P157" s="453">
        <f t="shared" si="11"/>
        <v>533.91999999999996</v>
      </c>
      <c r="Q157" s="453">
        <v>1.7139999999999999E-2</v>
      </c>
      <c r="R157" s="453">
        <f t="shared" si="12"/>
        <v>8.0557999999999996</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256</v>
      </c>
      <c r="I158" s="329">
        <v>0</v>
      </c>
      <c r="J158" s="450">
        <f t="shared" si="10"/>
        <v>0</v>
      </c>
      <c r="K158" s="451"/>
      <c r="L158" s="364"/>
      <c r="M158" s="452" t="s">
        <v>171</v>
      </c>
      <c r="N158" s="415" t="s">
        <v>185</v>
      </c>
      <c r="O158" s="453">
        <v>8.5020000000000007</v>
      </c>
      <c r="P158" s="453">
        <f t="shared" si="11"/>
        <v>2176.5120000000002</v>
      </c>
      <c r="Q158" s="453">
        <v>1.7816399999999999</v>
      </c>
      <c r="R158" s="453">
        <f t="shared" si="12"/>
        <v>456.09983999999997</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23328</v>
      </c>
      <c r="I159" s="329">
        <v>0</v>
      </c>
      <c r="J159" s="450">
        <f t="shared" si="10"/>
        <v>0</v>
      </c>
      <c r="K159" s="451"/>
      <c r="L159" s="364"/>
      <c r="M159" s="452" t="s">
        <v>171</v>
      </c>
      <c r="N159" s="415" t="s">
        <v>185</v>
      </c>
      <c r="O159" s="453">
        <v>3.8100000000000002E-2</v>
      </c>
      <c r="P159" s="453">
        <f t="shared" si="11"/>
        <v>888.79680000000008</v>
      </c>
      <c r="Q159" s="453">
        <v>2.5910000000000001E-5</v>
      </c>
      <c r="R159" s="453">
        <f t="shared" si="12"/>
        <v>0.60442848000000005</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434" customFormat="1" ht="22.9" customHeight="1" x14ac:dyDescent="0.2">
      <c r="B160" s="433"/>
      <c r="D160" s="435" t="s">
        <v>216</v>
      </c>
      <c r="E160" s="443" t="s">
        <v>119</v>
      </c>
      <c r="F160" s="443" t="s">
        <v>541</v>
      </c>
      <c r="I160" s="467"/>
      <c r="J160" s="444">
        <f>BK160</f>
        <v>0</v>
      </c>
      <c r="L160" s="433"/>
      <c r="M160" s="438"/>
      <c r="P160" s="439">
        <f>SUM(P161:P185)</f>
        <v>3662.9398314099999</v>
      </c>
      <c r="R160" s="439">
        <f>SUM(R161:R185)</f>
        <v>158.90156558250001</v>
      </c>
      <c r="T160" s="440">
        <f>SUM(T161:T185)</f>
        <v>0</v>
      </c>
      <c r="AR160" s="435" t="s">
        <v>109</v>
      </c>
      <c r="AT160" s="441" t="s">
        <v>216</v>
      </c>
      <c r="AU160" s="441" t="s">
        <v>109</v>
      </c>
      <c r="AY160" s="435" t="s">
        <v>217</v>
      </c>
      <c r="BK160" s="442">
        <f>SUM(BK161:BK185)</f>
        <v>0</v>
      </c>
    </row>
    <row r="161" spans="2:65" s="365" customFormat="1" ht="24.2" customHeight="1" x14ac:dyDescent="0.25">
      <c r="B161" s="364"/>
      <c r="C161" s="445" t="s">
        <v>243</v>
      </c>
      <c r="D161" s="445" t="s">
        <v>218</v>
      </c>
      <c r="E161" s="446" t="s">
        <v>542</v>
      </c>
      <c r="F161" s="447" t="s">
        <v>543</v>
      </c>
      <c r="G161" s="448" t="s">
        <v>114</v>
      </c>
      <c r="H161" s="449">
        <v>44.55</v>
      </c>
      <c r="I161" s="329">
        <v>0</v>
      </c>
      <c r="J161" s="450">
        <f t="shared" ref="J161:J185" si="20">ROUND(I161*H161,2)</f>
        <v>0</v>
      </c>
      <c r="K161" s="451"/>
      <c r="L161" s="364"/>
      <c r="M161" s="452" t="s">
        <v>171</v>
      </c>
      <c r="N161" s="415" t="s">
        <v>185</v>
      </c>
      <c r="O161" s="453">
        <v>1.54986</v>
      </c>
      <c r="P161" s="453">
        <f t="shared" ref="P161:P185" si="21">O161*H161</f>
        <v>69.046262999999996</v>
      </c>
      <c r="Q161" s="453">
        <v>2.3618923500000002</v>
      </c>
      <c r="R161" s="453">
        <f t="shared" ref="R161:R185" si="22">Q161*H161</f>
        <v>105.2223041925</v>
      </c>
      <c r="S161" s="453">
        <v>0</v>
      </c>
      <c r="T161" s="454">
        <f t="shared" ref="T161:T185" si="23">S161*H161</f>
        <v>0</v>
      </c>
      <c r="AR161" s="455" t="s">
        <v>110</v>
      </c>
      <c r="AT161" s="455" t="s">
        <v>218</v>
      </c>
      <c r="AU161" s="455" t="s">
        <v>108</v>
      </c>
      <c r="AY161" s="357" t="s">
        <v>217</v>
      </c>
      <c r="BE161" s="456">
        <f t="shared" ref="BE161:BE185" si="24">IF(N161="základná",J161,0)</f>
        <v>0</v>
      </c>
      <c r="BF161" s="456">
        <f t="shared" ref="BF161:BF185" si="25">IF(N161="znížená",J161,0)</f>
        <v>0</v>
      </c>
      <c r="BG161" s="456">
        <f t="shared" ref="BG161:BG185" si="26">IF(N161="zákl. prenesená",J161,0)</f>
        <v>0</v>
      </c>
      <c r="BH161" s="456">
        <f t="shared" ref="BH161:BH185" si="27">IF(N161="zníž. prenesená",J161,0)</f>
        <v>0</v>
      </c>
      <c r="BI161" s="456">
        <f t="shared" ref="BI161:BI185" si="28">IF(N161="nulová",J161,0)</f>
        <v>0</v>
      </c>
      <c r="BJ161" s="357" t="s">
        <v>108</v>
      </c>
      <c r="BK161" s="456">
        <f t="shared" ref="BK161:BK185" si="29">ROUND(I161*H161,2)</f>
        <v>0</v>
      </c>
      <c r="BL161" s="357" t="s">
        <v>110</v>
      </c>
      <c r="BM161" s="455" t="s">
        <v>544</v>
      </c>
    </row>
    <row r="162" spans="2:65" s="365" customFormat="1" ht="16.5" customHeight="1" x14ac:dyDescent="0.25">
      <c r="B162" s="364"/>
      <c r="C162" s="457" t="s">
        <v>244</v>
      </c>
      <c r="D162" s="457" t="s">
        <v>259</v>
      </c>
      <c r="E162" s="458" t="s">
        <v>545</v>
      </c>
      <c r="F162" s="459" t="s">
        <v>546</v>
      </c>
      <c r="G162" s="460" t="s">
        <v>547</v>
      </c>
      <c r="H162" s="461">
        <v>54.207999999999998</v>
      </c>
      <c r="I162" s="330">
        <v>0</v>
      </c>
      <c r="J162" s="462">
        <f t="shared" si="20"/>
        <v>0</v>
      </c>
      <c r="K162" s="463"/>
      <c r="L162" s="464"/>
      <c r="M162" s="465" t="s">
        <v>171</v>
      </c>
      <c r="N162" s="466" t="s">
        <v>185</v>
      </c>
      <c r="O162" s="453">
        <v>0</v>
      </c>
      <c r="P162" s="453">
        <f t="shared" si="21"/>
        <v>0</v>
      </c>
      <c r="Q162" s="453">
        <v>7.5000000000000002E-4</v>
      </c>
      <c r="R162" s="453">
        <f t="shared" si="22"/>
        <v>4.0655999999999998E-2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548</v>
      </c>
    </row>
    <row r="163" spans="2:65" s="365" customFormat="1" ht="24.2" customHeight="1" x14ac:dyDescent="0.25">
      <c r="B163" s="364"/>
      <c r="C163" s="445" t="s">
        <v>245</v>
      </c>
      <c r="D163" s="445" t="s">
        <v>218</v>
      </c>
      <c r="E163" s="446" t="s">
        <v>549</v>
      </c>
      <c r="F163" s="447" t="s">
        <v>550</v>
      </c>
      <c r="G163" s="448" t="s">
        <v>111</v>
      </c>
      <c r="H163" s="449">
        <v>143</v>
      </c>
      <c r="I163" s="329">
        <v>0</v>
      </c>
      <c r="J163" s="450">
        <f t="shared" si="20"/>
        <v>0</v>
      </c>
      <c r="K163" s="451"/>
      <c r="L163" s="364"/>
      <c r="M163" s="452" t="s">
        <v>171</v>
      </c>
      <c r="N163" s="415" t="s">
        <v>185</v>
      </c>
      <c r="O163" s="453">
        <v>1.42767</v>
      </c>
      <c r="P163" s="453">
        <f t="shared" si="21"/>
        <v>204.15681000000001</v>
      </c>
      <c r="Q163" s="453">
        <v>7.6370300000000004E-3</v>
      </c>
      <c r="R163" s="453">
        <f t="shared" si="22"/>
        <v>1.0920952900000001</v>
      </c>
      <c r="S163" s="453">
        <v>0</v>
      </c>
      <c r="T163" s="454">
        <f t="shared" si="23"/>
        <v>0</v>
      </c>
      <c r="AR163" s="455" t="s">
        <v>110</v>
      </c>
      <c r="AT163" s="455" t="s">
        <v>218</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551</v>
      </c>
    </row>
    <row r="164" spans="2:65" s="365" customFormat="1" ht="24.2" customHeight="1" x14ac:dyDescent="0.25">
      <c r="B164" s="364"/>
      <c r="C164" s="445" t="s">
        <v>246</v>
      </c>
      <c r="D164" s="445" t="s">
        <v>218</v>
      </c>
      <c r="E164" s="446" t="s">
        <v>552</v>
      </c>
      <c r="F164" s="447" t="s">
        <v>553</v>
      </c>
      <c r="G164" s="448" t="s">
        <v>111</v>
      </c>
      <c r="H164" s="449">
        <v>143</v>
      </c>
      <c r="I164" s="329">
        <v>0</v>
      </c>
      <c r="J164" s="450">
        <f t="shared" si="20"/>
        <v>0</v>
      </c>
      <c r="K164" s="451"/>
      <c r="L164" s="364"/>
      <c r="M164" s="452" t="s">
        <v>171</v>
      </c>
      <c r="N164" s="415" t="s">
        <v>185</v>
      </c>
      <c r="O164" s="453">
        <v>0.49</v>
      </c>
      <c r="P164" s="453">
        <f t="shared" si="21"/>
        <v>70.069999999999993</v>
      </c>
      <c r="Q164" s="453">
        <v>0</v>
      </c>
      <c r="R164" s="453">
        <f t="shared" si="22"/>
        <v>0</v>
      </c>
      <c r="S164" s="453">
        <v>0</v>
      </c>
      <c r="T164" s="454">
        <f t="shared" si="23"/>
        <v>0</v>
      </c>
      <c r="AR164" s="455" t="s">
        <v>110</v>
      </c>
      <c r="AT164" s="455" t="s">
        <v>218</v>
      </c>
      <c r="AU164" s="455" t="s">
        <v>108</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554</v>
      </c>
    </row>
    <row r="165" spans="2:65" s="365" customFormat="1" ht="16.5" customHeight="1" x14ac:dyDescent="0.25">
      <c r="B165" s="364"/>
      <c r="C165" s="445" t="s">
        <v>247</v>
      </c>
      <c r="D165" s="445" t="s">
        <v>218</v>
      </c>
      <c r="E165" s="446" t="s">
        <v>555</v>
      </c>
      <c r="F165" s="447" t="s">
        <v>556</v>
      </c>
      <c r="G165" s="448" t="s">
        <v>112</v>
      </c>
      <c r="H165" s="449">
        <v>6.06</v>
      </c>
      <c r="I165" s="329">
        <v>0</v>
      </c>
      <c r="J165" s="450">
        <f t="shared" si="20"/>
        <v>0</v>
      </c>
      <c r="K165" s="451"/>
      <c r="L165" s="364"/>
      <c r="M165" s="452" t="s">
        <v>171</v>
      </c>
      <c r="N165" s="415" t="s">
        <v>185</v>
      </c>
      <c r="O165" s="453">
        <v>34.718159999999997</v>
      </c>
      <c r="P165" s="453">
        <f t="shared" si="21"/>
        <v>210.39204959999998</v>
      </c>
      <c r="Q165" s="453">
        <v>1.01144973</v>
      </c>
      <c r="R165" s="453">
        <f t="shared" si="22"/>
        <v>6.1293853638</v>
      </c>
      <c r="S165" s="453">
        <v>0</v>
      </c>
      <c r="T165" s="454">
        <f t="shared" si="23"/>
        <v>0</v>
      </c>
      <c r="AR165" s="455" t="s">
        <v>110</v>
      </c>
      <c r="AT165" s="455" t="s">
        <v>218</v>
      </c>
      <c r="AU165" s="455" t="s">
        <v>108</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557</v>
      </c>
    </row>
    <row r="166" spans="2:65" s="365" customFormat="1" ht="16.5" customHeight="1" x14ac:dyDescent="0.25">
      <c r="B166" s="364"/>
      <c r="C166" s="445" t="s">
        <v>248</v>
      </c>
      <c r="D166" s="445" t="s">
        <v>218</v>
      </c>
      <c r="E166" s="446" t="s">
        <v>558</v>
      </c>
      <c r="F166" s="447" t="s">
        <v>559</v>
      </c>
      <c r="G166" s="448" t="s">
        <v>111</v>
      </c>
      <c r="H166" s="449">
        <v>297</v>
      </c>
      <c r="I166" s="329">
        <v>0</v>
      </c>
      <c r="J166" s="450">
        <f t="shared" si="20"/>
        <v>0</v>
      </c>
      <c r="K166" s="451"/>
      <c r="L166" s="364"/>
      <c r="M166" s="452" t="s">
        <v>171</v>
      </c>
      <c r="N166" s="415" t="s">
        <v>185</v>
      </c>
      <c r="O166" s="453">
        <v>0.14938000000000001</v>
      </c>
      <c r="P166" s="453">
        <f t="shared" si="21"/>
        <v>44.365860000000005</v>
      </c>
      <c r="Q166" s="453">
        <v>2.9999999999999997E-4</v>
      </c>
      <c r="R166" s="453">
        <f t="shared" si="22"/>
        <v>8.9099999999999999E-2</v>
      </c>
      <c r="S166" s="453">
        <v>0</v>
      </c>
      <c r="T166" s="454">
        <f t="shared" si="23"/>
        <v>0</v>
      </c>
      <c r="AR166" s="455" t="s">
        <v>110</v>
      </c>
      <c r="AT166" s="455" t="s">
        <v>218</v>
      </c>
      <c r="AU166" s="455" t="s">
        <v>108</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560</v>
      </c>
    </row>
    <row r="167" spans="2:65" s="365" customFormat="1" ht="24.2" customHeight="1" x14ac:dyDescent="0.25">
      <c r="B167" s="364"/>
      <c r="C167" s="445" t="s">
        <v>249</v>
      </c>
      <c r="D167" s="445" t="s">
        <v>218</v>
      </c>
      <c r="E167" s="446" t="s">
        <v>561</v>
      </c>
      <c r="F167" s="447" t="s">
        <v>562</v>
      </c>
      <c r="G167" s="448" t="s">
        <v>113</v>
      </c>
      <c r="H167" s="449">
        <v>324</v>
      </c>
      <c r="I167" s="329">
        <v>0</v>
      </c>
      <c r="J167" s="450">
        <f t="shared" si="20"/>
        <v>0</v>
      </c>
      <c r="K167" s="451"/>
      <c r="L167" s="364"/>
      <c r="M167" s="452" t="s">
        <v>171</v>
      </c>
      <c r="N167" s="415" t="s">
        <v>185</v>
      </c>
      <c r="O167" s="453">
        <v>1.36602</v>
      </c>
      <c r="P167" s="453">
        <f t="shared" si="21"/>
        <v>442.59048000000001</v>
      </c>
      <c r="Q167" s="453">
        <v>3.3E-4</v>
      </c>
      <c r="R167" s="453">
        <f t="shared" si="22"/>
        <v>0.10692</v>
      </c>
      <c r="S167" s="453">
        <v>0</v>
      </c>
      <c r="T167" s="454">
        <f t="shared" si="23"/>
        <v>0</v>
      </c>
      <c r="AR167" s="455" t="s">
        <v>110</v>
      </c>
      <c r="AT167" s="455" t="s">
        <v>218</v>
      </c>
      <c r="AU167" s="455" t="s">
        <v>108</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563</v>
      </c>
    </row>
    <row r="168" spans="2:65" s="365" customFormat="1" ht="24.2" customHeight="1" x14ac:dyDescent="0.25">
      <c r="B168" s="364"/>
      <c r="C168" s="445" t="s">
        <v>250</v>
      </c>
      <c r="D168" s="445" t="s">
        <v>218</v>
      </c>
      <c r="E168" s="446" t="s">
        <v>564</v>
      </c>
      <c r="F168" s="447" t="s">
        <v>565</v>
      </c>
      <c r="G168" s="448" t="s">
        <v>111</v>
      </c>
      <c r="H168" s="449">
        <v>11.923</v>
      </c>
      <c r="I168" s="329">
        <v>0</v>
      </c>
      <c r="J168" s="450">
        <f t="shared" si="20"/>
        <v>0</v>
      </c>
      <c r="K168" s="451"/>
      <c r="L168" s="364"/>
      <c r="M168" s="452" t="s">
        <v>171</v>
      </c>
      <c r="N168" s="415" t="s">
        <v>185</v>
      </c>
      <c r="O168" s="453">
        <v>0.26107000000000002</v>
      </c>
      <c r="P168" s="453">
        <f t="shared" si="21"/>
        <v>3.1127376100000004</v>
      </c>
      <c r="Q168" s="453">
        <v>2.2655000000000002E-2</v>
      </c>
      <c r="R168" s="453">
        <f t="shared" si="22"/>
        <v>0.270115565</v>
      </c>
      <c r="S168" s="453">
        <v>0</v>
      </c>
      <c r="T168" s="454">
        <f t="shared" si="23"/>
        <v>0</v>
      </c>
      <c r="AR168" s="455" t="s">
        <v>110</v>
      </c>
      <c r="AT168" s="455" t="s">
        <v>218</v>
      </c>
      <c r="AU168" s="455" t="s">
        <v>108</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566</v>
      </c>
    </row>
    <row r="169" spans="2:65" s="365" customFormat="1" ht="24.2" customHeight="1" x14ac:dyDescent="0.25">
      <c r="B169" s="364"/>
      <c r="C169" s="445" t="s">
        <v>251</v>
      </c>
      <c r="D169" s="445" t="s">
        <v>218</v>
      </c>
      <c r="E169" s="446" t="s">
        <v>567</v>
      </c>
      <c r="F169" s="447" t="s">
        <v>568</v>
      </c>
      <c r="G169" s="448" t="s">
        <v>536</v>
      </c>
      <c r="H169" s="449">
        <v>14684.12</v>
      </c>
      <c r="I169" s="329">
        <v>0</v>
      </c>
      <c r="J169" s="450">
        <f t="shared" si="20"/>
        <v>0</v>
      </c>
      <c r="K169" s="451"/>
      <c r="L169" s="364"/>
      <c r="M169" s="452" t="s">
        <v>171</v>
      </c>
      <c r="N169" s="415" t="s">
        <v>185</v>
      </c>
      <c r="O169" s="453">
        <v>0.125</v>
      </c>
      <c r="P169" s="453">
        <f t="shared" si="21"/>
        <v>1835.5150000000001</v>
      </c>
      <c r="Q169" s="453">
        <v>0</v>
      </c>
      <c r="R169" s="453">
        <f t="shared" si="22"/>
        <v>0</v>
      </c>
      <c r="S169" s="453">
        <v>0</v>
      </c>
      <c r="T169" s="454">
        <f t="shared" si="23"/>
        <v>0</v>
      </c>
      <c r="AR169" s="455" t="s">
        <v>110</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569</v>
      </c>
    </row>
    <row r="170" spans="2:65" s="365" customFormat="1" ht="16.5" customHeight="1" x14ac:dyDescent="0.25">
      <c r="B170" s="364"/>
      <c r="C170" s="457" t="s">
        <v>252</v>
      </c>
      <c r="D170" s="457" t="s">
        <v>259</v>
      </c>
      <c r="E170" s="458" t="s">
        <v>570</v>
      </c>
      <c r="F170" s="459" t="s">
        <v>571</v>
      </c>
      <c r="G170" s="460" t="s">
        <v>112</v>
      </c>
      <c r="H170" s="461">
        <v>6.2759999999999998</v>
      </c>
      <c r="I170" s="330">
        <v>0</v>
      </c>
      <c r="J170" s="462">
        <f t="shared" si="20"/>
        <v>0</v>
      </c>
      <c r="K170" s="463"/>
      <c r="L170" s="464"/>
      <c r="M170" s="465" t="s">
        <v>171</v>
      </c>
      <c r="N170" s="466" t="s">
        <v>185</v>
      </c>
      <c r="O170" s="453">
        <v>0</v>
      </c>
      <c r="P170" s="453">
        <f t="shared" si="21"/>
        <v>0</v>
      </c>
      <c r="Q170" s="453">
        <v>1</v>
      </c>
      <c r="R170" s="453">
        <f t="shared" si="22"/>
        <v>6.2759999999999998</v>
      </c>
      <c r="S170" s="453">
        <v>0</v>
      </c>
      <c r="T170" s="454">
        <f t="shared" si="23"/>
        <v>0</v>
      </c>
      <c r="AR170" s="455" t="s">
        <v>115</v>
      </c>
      <c r="AT170" s="455" t="s">
        <v>259</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572</v>
      </c>
    </row>
    <row r="171" spans="2:65" s="365" customFormat="1" ht="16.5" customHeight="1" x14ac:dyDescent="0.25">
      <c r="B171" s="364"/>
      <c r="C171" s="457" t="s">
        <v>253</v>
      </c>
      <c r="D171" s="457" t="s">
        <v>259</v>
      </c>
      <c r="E171" s="458" t="s">
        <v>574</v>
      </c>
      <c r="F171" s="459" t="s">
        <v>575</v>
      </c>
      <c r="G171" s="460" t="s">
        <v>114</v>
      </c>
      <c r="H171" s="461">
        <v>13.89</v>
      </c>
      <c r="I171" s="330">
        <v>0</v>
      </c>
      <c r="J171" s="462">
        <f t="shared" si="20"/>
        <v>0</v>
      </c>
      <c r="K171" s="463"/>
      <c r="L171" s="464"/>
      <c r="M171" s="465" t="s">
        <v>171</v>
      </c>
      <c r="N171" s="466" t="s">
        <v>185</v>
      </c>
      <c r="O171" s="453">
        <v>0</v>
      </c>
      <c r="P171" s="453">
        <f t="shared" si="21"/>
        <v>0</v>
      </c>
      <c r="Q171" s="453">
        <v>0.65</v>
      </c>
      <c r="R171" s="453">
        <f t="shared" si="22"/>
        <v>9.0285000000000011</v>
      </c>
      <c r="S171" s="453">
        <v>0</v>
      </c>
      <c r="T171" s="454">
        <f t="shared" si="23"/>
        <v>0</v>
      </c>
      <c r="AR171" s="455" t="s">
        <v>115</v>
      </c>
      <c r="AT171" s="455" t="s">
        <v>259</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576</v>
      </c>
    </row>
    <row r="172" spans="2:65" s="365" customFormat="1" ht="24.2" customHeight="1" x14ac:dyDescent="0.25">
      <c r="B172" s="364"/>
      <c r="C172" s="445" t="s">
        <v>254</v>
      </c>
      <c r="D172" s="445" t="s">
        <v>218</v>
      </c>
      <c r="E172" s="446" t="s">
        <v>578</v>
      </c>
      <c r="F172" s="447" t="s">
        <v>579</v>
      </c>
      <c r="G172" s="448" t="s">
        <v>123</v>
      </c>
      <c r="H172" s="449">
        <v>1296</v>
      </c>
      <c r="I172" s="329">
        <v>0</v>
      </c>
      <c r="J172" s="450">
        <f t="shared" si="20"/>
        <v>0</v>
      </c>
      <c r="K172" s="451"/>
      <c r="L172" s="364"/>
      <c r="M172" s="452" t="s">
        <v>171</v>
      </c>
      <c r="N172" s="415" t="s">
        <v>185</v>
      </c>
      <c r="O172" s="453">
        <v>0.25</v>
      </c>
      <c r="P172" s="453">
        <f t="shared" si="21"/>
        <v>324</v>
      </c>
      <c r="Q172" s="453">
        <v>0</v>
      </c>
      <c r="R172" s="453">
        <f t="shared" si="22"/>
        <v>0</v>
      </c>
      <c r="S172" s="453">
        <v>0</v>
      </c>
      <c r="T172" s="454">
        <f t="shared" si="23"/>
        <v>0</v>
      </c>
      <c r="AR172" s="455" t="s">
        <v>110</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580</v>
      </c>
    </row>
    <row r="173" spans="2:65" s="365" customFormat="1" ht="24.2" customHeight="1" x14ac:dyDescent="0.25">
      <c r="B173" s="364"/>
      <c r="C173" s="457" t="s">
        <v>255</v>
      </c>
      <c r="D173" s="457" t="s">
        <v>259</v>
      </c>
      <c r="E173" s="458" t="s">
        <v>582</v>
      </c>
      <c r="F173" s="459" t="s">
        <v>583</v>
      </c>
      <c r="G173" s="460" t="s">
        <v>123</v>
      </c>
      <c r="H173" s="461">
        <v>1296</v>
      </c>
      <c r="I173" s="330">
        <v>0</v>
      </c>
      <c r="J173" s="462">
        <f t="shared" si="20"/>
        <v>0</v>
      </c>
      <c r="K173" s="463"/>
      <c r="L173" s="464"/>
      <c r="M173" s="465" t="s">
        <v>171</v>
      </c>
      <c r="N173" s="466" t="s">
        <v>185</v>
      </c>
      <c r="O173" s="453">
        <v>0</v>
      </c>
      <c r="P173" s="453">
        <f t="shared" si="21"/>
        <v>0</v>
      </c>
      <c r="Q173" s="453">
        <v>1.3999999999999999E-4</v>
      </c>
      <c r="R173" s="453">
        <f t="shared" si="22"/>
        <v>0.18143999999999999</v>
      </c>
      <c r="S173" s="453">
        <v>0</v>
      </c>
      <c r="T173" s="454">
        <f t="shared" si="23"/>
        <v>0</v>
      </c>
      <c r="AR173" s="455" t="s">
        <v>115</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584</v>
      </c>
    </row>
    <row r="174" spans="2:65" s="365" customFormat="1" ht="24.2" customHeight="1" x14ac:dyDescent="0.25">
      <c r="B174" s="364"/>
      <c r="C174" s="445" t="s">
        <v>256</v>
      </c>
      <c r="D174" s="445" t="s">
        <v>218</v>
      </c>
      <c r="E174" s="446" t="s">
        <v>586</v>
      </c>
      <c r="F174" s="447" t="s">
        <v>587</v>
      </c>
      <c r="G174" s="448" t="s">
        <v>123</v>
      </c>
      <c r="H174" s="449">
        <v>1296</v>
      </c>
      <c r="I174" s="329">
        <v>0</v>
      </c>
      <c r="J174" s="450">
        <f t="shared" si="20"/>
        <v>0</v>
      </c>
      <c r="K174" s="451"/>
      <c r="L174" s="364"/>
      <c r="M174" s="452" t="s">
        <v>171</v>
      </c>
      <c r="N174" s="415" t="s">
        <v>185</v>
      </c>
      <c r="O174" s="453">
        <v>0.27005000000000001</v>
      </c>
      <c r="P174" s="453">
        <f t="shared" si="21"/>
        <v>349.98480000000001</v>
      </c>
      <c r="Q174" s="453">
        <v>4.4350000000000001E-5</v>
      </c>
      <c r="R174" s="453">
        <f t="shared" si="22"/>
        <v>5.7477600000000004E-2</v>
      </c>
      <c r="S174" s="453">
        <v>0</v>
      </c>
      <c r="T174" s="454">
        <f t="shared" si="23"/>
        <v>0</v>
      </c>
      <c r="AR174" s="455" t="s">
        <v>110</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588</v>
      </c>
    </row>
    <row r="175" spans="2:65" s="365" customFormat="1" ht="24.2" customHeight="1" x14ac:dyDescent="0.25">
      <c r="B175" s="364"/>
      <c r="C175" s="445" t="s">
        <v>257</v>
      </c>
      <c r="D175" s="445" t="s">
        <v>218</v>
      </c>
      <c r="E175" s="446" t="s">
        <v>590</v>
      </c>
      <c r="F175" s="447" t="s">
        <v>591</v>
      </c>
      <c r="G175" s="448" t="s">
        <v>113</v>
      </c>
      <c r="H175" s="449">
        <v>231</v>
      </c>
      <c r="I175" s="329">
        <v>0</v>
      </c>
      <c r="J175" s="450">
        <f t="shared" si="20"/>
        <v>0</v>
      </c>
      <c r="K175" s="451"/>
      <c r="L175" s="364"/>
      <c r="M175" s="452" t="s">
        <v>171</v>
      </c>
      <c r="N175" s="415" t="s">
        <v>185</v>
      </c>
      <c r="O175" s="453">
        <v>5.5E-2</v>
      </c>
      <c r="P175" s="453">
        <f t="shared" si="21"/>
        <v>12.705</v>
      </c>
      <c r="Q175" s="453">
        <v>1.5400000000000002E-5</v>
      </c>
      <c r="R175" s="453">
        <f t="shared" si="22"/>
        <v>3.5574000000000005E-3</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592</v>
      </c>
    </row>
    <row r="176" spans="2:65" s="365" customFormat="1" ht="16.5" customHeight="1" x14ac:dyDescent="0.25">
      <c r="B176" s="364"/>
      <c r="C176" s="457" t="s">
        <v>258</v>
      </c>
      <c r="D176" s="457" t="s">
        <v>259</v>
      </c>
      <c r="E176" s="458" t="s">
        <v>594</v>
      </c>
      <c r="F176" s="459" t="s">
        <v>595</v>
      </c>
      <c r="G176" s="460" t="s">
        <v>123</v>
      </c>
      <c r="H176" s="461">
        <v>231</v>
      </c>
      <c r="I176" s="330">
        <v>0</v>
      </c>
      <c r="J176" s="462">
        <f t="shared" si="20"/>
        <v>0</v>
      </c>
      <c r="K176" s="463"/>
      <c r="L176" s="464"/>
      <c r="M176" s="465" t="s">
        <v>171</v>
      </c>
      <c r="N176" s="466" t="s">
        <v>185</v>
      </c>
      <c r="O176" s="453">
        <v>0</v>
      </c>
      <c r="P176" s="453">
        <f t="shared" si="21"/>
        <v>0</v>
      </c>
      <c r="Q176" s="453">
        <v>6.62E-3</v>
      </c>
      <c r="R176" s="453">
        <f t="shared" si="22"/>
        <v>1.52922</v>
      </c>
      <c r="S176" s="453">
        <v>0</v>
      </c>
      <c r="T176" s="454">
        <f t="shared" si="23"/>
        <v>0</v>
      </c>
      <c r="AR176" s="455" t="s">
        <v>115</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596</v>
      </c>
    </row>
    <row r="177" spans="2:65" s="365" customFormat="1" ht="24.2" customHeight="1" x14ac:dyDescent="0.25">
      <c r="B177" s="364"/>
      <c r="C177" s="445" t="s">
        <v>260</v>
      </c>
      <c r="D177" s="445" t="s">
        <v>218</v>
      </c>
      <c r="E177" s="446" t="s">
        <v>598</v>
      </c>
      <c r="F177" s="447" t="s">
        <v>599</v>
      </c>
      <c r="G177" s="448" t="s">
        <v>111</v>
      </c>
      <c r="H177" s="449">
        <v>6</v>
      </c>
      <c r="I177" s="329">
        <v>0</v>
      </c>
      <c r="J177" s="450">
        <f t="shared" si="20"/>
        <v>0</v>
      </c>
      <c r="K177" s="451"/>
      <c r="L177" s="364"/>
      <c r="M177" s="452" t="s">
        <v>171</v>
      </c>
      <c r="N177" s="415" t="s">
        <v>185</v>
      </c>
      <c r="O177" s="453">
        <v>0.19703000000000001</v>
      </c>
      <c r="P177" s="453">
        <f t="shared" si="21"/>
        <v>1.18218</v>
      </c>
      <c r="Q177" s="453">
        <v>6.3000000000000003E-4</v>
      </c>
      <c r="R177" s="453">
        <f t="shared" si="22"/>
        <v>3.7800000000000004E-3</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600</v>
      </c>
    </row>
    <row r="178" spans="2:65" s="365" customFormat="1" ht="24.2" customHeight="1" x14ac:dyDescent="0.25">
      <c r="B178" s="364"/>
      <c r="C178" s="445" t="s">
        <v>262</v>
      </c>
      <c r="D178" s="445" t="s">
        <v>218</v>
      </c>
      <c r="E178" s="446" t="s">
        <v>602</v>
      </c>
      <c r="F178" s="447" t="s">
        <v>603</v>
      </c>
      <c r="G178" s="448" t="s">
        <v>113</v>
      </c>
      <c r="H178" s="449">
        <v>54</v>
      </c>
      <c r="I178" s="329">
        <v>0</v>
      </c>
      <c r="J178" s="450">
        <f t="shared" si="20"/>
        <v>0</v>
      </c>
      <c r="K178" s="451"/>
      <c r="L178" s="364"/>
      <c r="M178" s="452" t="s">
        <v>171</v>
      </c>
      <c r="N178" s="415" t="s">
        <v>185</v>
      </c>
      <c r="O178" s="453">
        <v>0.48901</v>
      </c>
      <c r="P178" s="453">
        <f t="shared" si="21"/>
        <v>26.40654</v>
      </c>
      <c r="Q178" s="453">
        <v>2.7999999999999998E-4</v>
      </c>
      <c r="R178" s="453">
        <f t="shared" si="22"/>
        <v>1.5119999999999998E-2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604</v>
      </c>
    </row>
    <row r="179" spans="2:65" s="365" customFormat="1" ht="24.2" customHeight="1" x14ac:dyDescent="0.25">
      <c r="B179" s="364"/>
      <c r="C179" s="445" t="s">
        <v>263</v>
      </c>
      <c r="D179" s="445" t="s">
        <v>218</v>
      </c>
      <c r="E179" s="446" t="s">
        <v>606</v>
      </c>
      <c r="F179" s="447" t="s">
        <v>607</v>
      </c>
      <c r="G179" s="448" t="s">
        <v>113</v>
      </c>
      <c r="H179" s="449">
        <v>54</v>
      </c>
      <c r="I179" s="329">
        <v>0</v>
      </c>
      <c r="J179" s="450">
        <f t="shared" si="20"/>
        <v>0</v>
      </c>
      <c r="K179" s="451"/>
      <c r="L179" s="364"/>
      <c r="M179" s="452" t="s">
        <v>171</v>
      </c>
      <c r="N179" s="415" t="s">
        <v>185</v>
      </c>
      <c r="O179" s="453">
        <v>0.23601</v>
      </c>
      <c r="P179" s="453">
        <f t="shared" si="21"/>
        <v>12.744540000000001</v>
      </c>
      <c r="Q179" s="453">
        <v>1.818E-4</v>
      </c>
      <c r="R179" s="453">
        <f t="shared" si="22"/>
        <v>9.8171999999999999E-3</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608</v>
      </c>
    </row>
    <row r="180" spans="2:65" s="365" customFormat="1" ht="21.75" customHeight="1" x14ac:dyDescent="0.25">
      <c r="B180" s="364"/>
      <c r="C180" s="445" t="s">
        <v>264</v>
      </c>
      <c r="D180" s="445" t="s">
        <v>218</v>
      </c>
      <c r="E180" s="446" t="s">
        <v>610</v>
      </c>
      <c r="F180" s="447" t="s">
        <v>611</v>
      </c>
      <c r="G180" s="448" t="s">
        <v>114</v>
      </c>
      <c r="H180" s="449">
        <v>11.52</v>
      </c>
      <c r="I180" s="329">
        <v>0</v>
      </c>
      <c r="J180" s="450">
        <f t="shared" si="20"/>
        <v>0</v>
      </c>
      <c r="K180" s="451"/>
      <c r="L180" s="364"/>
      <c r="M180" s="452" t="s">
        <v>171</v>
      </c>
      <c r="N180" s="415" t="s">
        <v>185</v>
      </c>
      <c r="O180" s="453">
        <v>0.58055999999999996</v>
      </c>
      <c r="P180" s="453">
        <f t="shared" si="21"/>
        <v>6.6880511999999994</v>
      </c>
      <c r="Q180" s="453">
        <v>2.4157202</v>
      </c>
      <c r="R180" s="453">
        <f t="shared" si="22"/>
        <v>27.829096703999998</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612</v>
      </c>
    </row>
    <row r="181" spans="2:65" s="365" customFormat="1" ht="16.5" customHeight="1" x14ac:dyDescent="0.25">
      <c r="B181" s="364"/>
      <c r="C181" s="445" t="s">
        <v>265</v>
      </c>
      <c r="D181" s="445" t="s">
        <v>218</v>
      </c>
      <c r="E181" s="446" t="s">
        <v>614</v>
      </c>
      <c r="F181" s="447" t="s">
        <v>615</v>
      </c>
      <c r="G181" s="448" t="s">
        <v>112</v>
      </c>
      <c r="H181" s="449">
        <v>0.64800000000000002</v>
      </c>
      <c r="I181" s="329">
        <v>0</v>
      </c>
      <c r="J181" s="450">
        <f t="shared" si="20"/>
        <v>0</v>
      </c>
      <c r="K181" s="451"/>
      <c r="L181" s="364"/>
      <c r="M181" s="452" t="s">
        <v>171</v>
      </c>
      <c r="N181" s="415" t="s">
        <v>185</v>
      </c>
      <c r="O181" s="453">
        <v>15.24</v>
      </c>
      <c r="P181" s="453">
        <f t="shared" si="21"/>
        <v>9.8755199999999999</v>
      </c>
      <c r="Q181" s="453">
        <v>1.2029614</v>
      </c>
      <c r="R181" s="453">
        <f t="shared" si="22"/>
        <v>0.77951898720000001</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616</v>
      </c>
    </row>
    <row r="182" spans="2:65" s="365" customFormat="1" ht="21.75" customHeight="1" x14ac:dyDescent="0.25">
      <c r="B182" s="364"/>
      <c r="C182" s="445" t="s">
        <v>266</v>
      </c>
      <c r="D182" s="445" t="s">
        <v>218</v>
      </c>
      <c r="E182" s="446" t="s">
        <v>618</v>
      </c>
      <c r="F182" s="447" t="s">
        <v>619</v>
      </c>
      <c r="G182" s="448" t="s">
        <v>111</v>
      </c>
      <c r="H182" s="449">
        <v>72</v>
      </c>
      <c r="I182" s="329">
        <v>0</v>
      </c>
      <c r="J182" s="450">
        <f t="shared" si="20"/>
        <v>0</v>
      </c>
      <c r="K182" s="451"/>
      <c r="L182" s="364"/>
      <c r="M182" s="452" t="s">
        <v>171</v>
      </c>
      <c r="N182" s="415" t="s">
        <v>185</v>
      </c>
      <c r="O182" s="453">
        <v>0.35799999999999998</v>
      </c>
      <c r="P182" s="453">
        <f t="shared" si="21"/>
        <v>25.776</v>
      </c>
      <c r="Q182" s="453">
        <v>1.5947400000000001E-3</v>
      </c>
      <c r="R182" s="453">
        <f t="shared" si="22"/>
        <v>0.11482128000000001</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620</v>
      </c>
    </row>
    <row r="183" spans="2:65" s="365" customFormat="1" ht="21.75" customHeight="1" x14ac:dyDescent="0.25">
      <c r="B183" s="364"/>
      <c r="C183" s="445" t="s">
        <v>573</v>
      </c>
      <c r="D183" s="445" t="s">
        <v>218</v>
      </c>
      <c r="E183" s="446" t="s">
        <v>622</v>
      </c>
      <c r="F183" s="447" t="s">
        <v>623</v>
      </c>
      <c r="G183" s="448" t="s">
        <v>111</v>
      </c>
      <c r="H183" s="449">
        <v>72</v>
      </c>
      <c r="I183" s="329">
        <v>0</v>
      </c>
      <c r="J183" s="450">
        <f t="shared" si="20"/>
        <v>0</v>
      </c>
      <c r="K183" s="451"/>
      <c r="L183" s="364"/>
      <c r="M183" s="452" t="s">
        <v>171</v>
      </c>
      <c r="N183" s="415" t="s">
        <v>185</v>
      </c>
      <c r="O183" s="453">
        <v>0.19900000000000001</v>
      </c>
      <c r="P183" s="453">
        <f t="shared" si="21"/>
        <v>14.328000000000001</v>
      </c>
      <c r="Q183" s="453">
        <v>0</v>
      </c>
      <c r="R183" s="453">
        <f t="shared" si="22"/>
        <v>0</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624</v>
      </c>
    </row>
    <row r="184" spans="2:65" s="365" customFormat="1" ht="16.5" customHeight="1" x14ac:dyDescent="0.25">
      <c r="B184" s="364"/>
      <c r="C184" s="457" t="s">
        <v>577</v>
      </c>
      <c r="D184" s="457" t="s">
        <v>259</v>
      </c>
      <c r="E184" s="458" t="s">
        <v>626</v>
      </c>
      <c r="F184" s="459" t="s">
        <v>627</v>
      </c>
      <c r="G184" s="460" t="s">
        <v>113</v>
      </c>
      <c r="H184" s="461">
        <v>32</v>
      </c>
      <c r="I184" s="330">
        <v>0</v>
      </c>
      <c r="J184" s="462">
        <f t="shared" si="20"/>
        <v>0</v>
      </c>
      <c r="K184" s="463"/>
      <c r="L184" s="464"/>
      <c r="M184" s="465" t="s">
        <v>171</v>
      </c>
      <c r="N184" s="466" t="s">
        <v>185</v>
      </c>
      <c r="O184" s="453">
        <v>0</v>
      </c>
      <c r="P184" s="453">
        <f t="shared" si="21"/>
        <v>0</v>
      </c>
      <c r="Q184" s="453">
        <v>3.6999999999999999E-4</v>
      </c>
      <c r="R184" s="453">
        <f t="shared" si="22"/>
        <v>1.184E-2</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628</v>
      </c>
    </row>
    <row r="185" spans="2:65" s="365" customFormat="1" ht="16.5" customHeight="1" x14ac:dyDescent="0.25">
      <c r="B185" s="364"/>
      <c r="C185" s="457" t="s">
        <v>581</v>
      </c>
      <c r="D185" s="457" t="s">
        <v>259</v>
      </c>
      <c r="E185" s="458" t="s">
        <v>630</v>
      </c>
      <c r="F185" s="459" t="s">
        <v>631</v>
      </c>
      <c r="G185" s="460" t="s">
        <v>123</v>
      </c>
      <c r="H185" s="461">
        <v>20</v>
      </c>
      <c r="I185" s="330">
        <v>0</v>
      </c>
      <c r="J185" s="462">
        <f t="shared" si="20"/>
        <v>0</v>
      </c>
      <c r="K185" s="463"/>
      <c r="L185" s="464"/>
      <c r="M185" s="465" t="s">
        <v>171</v>
      </c>
      <c r="N185" s="466" t="s">
        <v>185</v>
      </c>
      <c r="O185" s="453">
        <v>0</v>
      </c>
      <c r="P185" s="453">
        <f t="shared" si="21"/>
        <v>0</v>
      </c>
      <c r="Q185" s="453">
        <v>5.5399999999999998E-3</v>
      </c>
      <c r="R185" s="453">
        <f t="shared" si="22"/>
        <v>0.1108</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632</v>
      </c>
    </row>
    <row r="186" spans="2:65" s="434" customFormat="1" ht="22.9" customHeight="1" x14ac:dyDescent="0.2">
      <c r="B186" s="433"/>
      <c r="D186" s="435" t="s">
        <v>216</v>
      </c>
      <c r="E186" s="443" t="s">
        <v>162</v>
      </c>
      <c r="F186" s="443" t="s">
        <v>633</v>
      </c>
      <c r="I186" s="467"/>
      <c r="J186" s="444">
        <f>BK186</f>
        <v>0</v>
      </c>
      <c r="L186" s="433"/>
      <c r="M186" s="438"/>
      <c r="P186" s="439">
        <f>SUM(P187:P190)</f>
        <v>85.975111999999996</v>
      </c>
      <c r="R186" s="439">
        <f>SUM(R187:R190)</f>
        <v>4.9815616000000007E-2</v>
      </c>
      <c r="T186" s="440">
        <f>SUM(T187:T190)</f>
        <v>17.834000000000003</v>
      </c>
      <c r="AR186" s="435" t="s">
        <v>109</v>
      </c>
      <c r="AT186" s="441" t="s">
        <v>216</v>
      </c>
      <c r="AU186" s="441" t="s">
        <v>109</v>
      </c>
      <c r="AY186" s="435" t="s">
        <v>217</v>
      </c>
      <c r="BK186" s="442">
        <f>SUM(BK187:BK190)</f>
        <v>0</v>
      </c>
    </row>
    <row r="187" spans="2:65" s="365" customFormat="1" ht="62.65" customHeight="1" x14ac:dyDescent="0.25">
      <c r="B187" s="364"/>
      <c r="C187" s="445" t="s">
        <v>585</v>
      </c>
      <c r="D187" s="445" t="s">
        <v>218</v>
      </c>
      <c r="E187" s="446" t="s">
        <v>635</v>
      </c>
      <c r="F187" s="447" t="s">
        <v>3139</v>
      </c>
      <c r="G187" s="448" t="s">
        <v>112</v>
      </c>
      <c r="H187" s="449">
        <f>Ponuka!L120</f>
        <v>12.6</v>
      </c>
      <c r="I187" s="329">
        <v>0</v>
      </c>
      <c r="J187" s="450">
        <f>ROUND(I187*H187,2)</f>
        <v>0</v>
      </c>
      <c r="K187" s="451"/>
      <c r="L187" s="364"/>
      <c r="M187" s="452" t="s">
        <v>171</v>
      </c>
      <c r="N187" s="415" t="s">
        <v>185</v>
      </c>
      <c r="O187" s="453">
        <v>0</v>
      </c>
      <c r="P187" s="453">
        <f>O187*H187</f>
        <v>0</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636</v>
      </c>
    </row>
    <row r="188" spans="2:65" s="365" customFormat="1" ht="66.75" customHeight="1" x14ac:dyDescent="0.25">
      <c r="B188" s="364"/>
      <c r="C188" s="445" t="s">
        <v>589</v>
      </c>
      <c r="D188" s="445" t="s">
        <v>218</v>
      </c>
      <c r="E188" s="446" t="s">
        <v>638</v>
      </c>
      <c r="F188" s="447" t="s">
        <v>3140</v>
      </c>
      <c r="G188" s="448" t="s">
        <v>112</v>
      </c>
      <c r="H188" s="449">
        <f>Ponuka!R120</f>
        <v>1924.3</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639</v>
      </c>
    </row>
    <row r="189" spans="2:65" s="365" customFormat="1" ht="24.2" customHeight="1" x14ac:dyDescent="0.25">
      <c r="B189" s="364"/>
      <c r="C189" s="445" t="s">
        <v>593</v>
      </c>
      <c r="D189" s="445" t="s">
        <v>218</v>
      </c>
      <c r="E189" s="446" t="s">
        <v>641</v>
      </c>
      <c r="F189" s="447" t="s">
        <v>642</v>
      </c>
      <c r="G189" s="448" t="s">
        <v>112</v>
      </c>
      <c r="H189" s="449">
        <f>H192</f>
        <v>5.4</v>
      </c>
      <c r="I189" s="329">
        <v>0</v>
      </c>
      <c r="J189" s="450">
        <f>ROUND(I189*H189,2)</f>
        <v>0</v>
      </c>
      <c r="K189" s="451"/>
      <c r="L189" s="364"/>
      <c r="M189" s="452" t="s">
        <v>171</v>
      </c>
      <c r="N189" s="415" t="s">
        <v>185</v>
      </c>
      <c r="O189" s="453">
        <v>6.0000000000000001E-3</v>
      </c>
      <c r="P189" s="453">
        <f>O189*H189</f>
        <v>3.2400000000000005E-2</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643</v>
      </c>
    </row>
    <row r="190" spans="2:65" s="365" customFormat="1" ht="33" customHeight="1" x14ac:dyDescent="0.25">
      <c r="B190" s="364"/>
      <c r="C190" s="445" t="s">
        <v>601</v>
      </c>
      <c r="D190" s="445" t="s">
        <v>218</v>
      </c>
      <c r="E190" s="446" t="s">
        <v>646</v>
      </c>
      <c r="F190" s="447" t="s">
        <v>647</v>
      </c>
      <c r="G190" s="448" t="s">
        <v>114</v>
      </c>
      <c r="H190" s="449">
        <v>7.4</v>
      </c>
      <c r="I190" s="329">
        <v>0</v>
      </c>
      <c r="J190" s="450">
        <f>ROUND(I190*H190,2)</f>
        <v>0</v>
      </c>
      <c r="K190" s="451"/>
      <c r="L190" s="364"/>
      <c r="M190" s="452" t="s">
        <v>171</v>
      </c>
      <c r="N190" s="415" t="s">
        <v>185</v>
      </c>
      <c r="O190" s="453">
        <v>11.61388</v>
      </c>
      <c r="P190" s="453">
        <f>O190*H190</f>
        <v>85.942712</v>
      </c>
      <c r="Q190" s="453">
        <v>6.7318400000000002E-3</v>
      </c>
      <c r="R190" s="453">
        <f>Q190*H190</f>
        <v>4.9815616000000007E-2</v>
      </c>
      <c r="S190" s="453">
        <v>2.41</v>
      </c>
      <c r="T190" s="454">
        <f>S190*H190</f>
        <v>17.834000000000003</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648</v>
      </c>
    </row>
    <row r="191" spans="2:65" s="434" customFormat="1" ht="22.9" customHeight="1" x14ac:dyDescent="0.2">
      <c r="B191" s="433"/>
      <c r="D191" s="435" t="s">
        <v>216</v>
      </c>
      <c r="E191" s="443" t="s">
        <v>649</v>
      </c>
      <c r="F191" s="443" t="s">
        <v>650</v>
      </c>
      <c r="I191" s="467"/>
      <c r="J191" s="444">
        <f>BK191</f>
        <v>0</v>
      </c>
      <c r="L191" s="433"/>
      <c r="M191" s="438"/>
      <c r="P191" s="439">
        <f>SUM(P192:P194)</f>
        <v>4.0608000000000004</v>
      </c>
      <c r="R191" s="439">
        <f>SUM(R192:R194)</f>
        <v>0</v>
      </c>
      <c r="T191" s="440">
        <f>SUM(T192:T194)</f>
        <v>0</v>
      </c>
      <c r="AR191" s="435" t="s">
        <v>109</v>
      </c>
      <c r="AT191" s="441" t="s">
        <v>216</v>
      </c>
      <c r="AU191" s="441" t="s">
        <v>109</v>
      </c>
      <c r="AY191" s="435" t="s">
        <v>217</v>
      </c>
      <c r="BK191" s="442">
        <f>SUM(BK192:BK194)</f>
        <v>0</v>
      </c>
    </row>
    <row r="192" spans="2:65" s="365" customFormat="1" ht="24.2" customHeight="1" x14ac:dyDescent="0.25">
      <c r="B192" s="364"/>
      <c r="C192" s="445" t="s">
        <v>605</v>
      </c>
      <c r="D192" s="445" t="s">
        <v>218</v>
      </c>
      <c r="E192" s="446" t="s">
        <v>652</v>
      </c>
      <c r="F192" s="447" t="s">
        <v>3141</v>
      </c>
      <c r="G192" s="448" t="s">
        <v>112</v>
      </c>
      <c r="H192" s="449">
        <f>H194</f>
        <v>5.4</v>
      </c>
      <c r="I192" s="329">
        <v>0</v>
      </c>
      <c r="J192" s="450">
        <f>ROUND(I192*H192,2)</f>
        <v>0</v>
      </c>
      <c r="K192" s="451"/>
      <c r="L192" s="364"/>
      <c r="M192" s="452" t="s">
        <v>171</v>
      </c>
      <c r="N192" s="415" t="s">
        <v>185</v>
      </c>
      <c r="O192" s="453">
        <v>0.59799999999999998</v>
      </c>
      <c r="P192" s="453">
        <f>O192*H192</f>
        <v>3.2292000000000001</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654</v>
      </c>
    </row>
    <row r="193" spans="2:65" s="365" customFormat="1" ht="24.2" customHeight="1" x14ac:dyDescent="0.25">
      <c r="B193" s="364"/>
      <c r="C193" s="445" t="s">
        <v>609</v>
      </c>
      <c r="D193" s="445" t="s">
        <v>218</v>
      </c>
      <c r="E193" s="446" t="s">
        <v>656</v>
      </c>
      <c r="F193" s="447" t="s">
        <v>3142</v>
      </c>
      <c r="G193" s="448" t="s">
        <v>112</v>
      </c>
      <c r="H193" s="449">
        <f>H192*22</f>
        <v>118.80000000000001</v>
      </c>
      <c r="I193" s="329">
        <v>0</v>
      </c>
      <c r="J193" s="450">
        <f>ROUND(I193*H193,2)</f>
        <v>0</v>
      </c>
      <c r="K193" s="451"/>
      <c r="L193" s="364"/>
      <c r="M193" s="452" t="s">
        <v>171</v>
      </c>
      <c r="N193" s="415" t="s">
        <v>185</v>
      </c>
      <c r="O193" s="453">
        <v>7.0000000000000001E-3</v>
      </c>
      <c r="P193" s="453">
        <f>O193*H193</f>
        <v>0.83160000000000012</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658</v>
      </c>
    </row>
    <row r="194" spans="2:65" s="365" customFormat="1" ht="16.5" customHeight="1" x14ac:dyDescent="0.25">
      <c r="B194" s="364"/>
      <c r="C194" s="445" t="s">
        <v>613</v>
      </c>
      <c r="D194" s="445" t="s">
        <v>218</v>
      </c>
      <c r="E194" s="446" t="s">
        <v>660</v>
      </c>
      <c r="F194" s="447" t="s">
        <v>3143</v>
      </c>
      <c r="G194" s="448" t="s">
        <v>112</v>
      </c>
      <c r="H194" s="449">
        <f>Ponuka!M120</f>
        <v>5.4</v>
      </c>
      <c r="I194" s="329">
        <v>0</v>
      </c>
      <c r="J194" s="450">
        <f>ROUND(I194*H194,2)</f>
        <v>0</v>
      </c>
      <c r="K194" s="451"/>
      <c r="L194" s="364"/>
      <c r="M194" s="452" t="s">
        <v>171</v>
      </c>
      <c r="N194" s="415" t="s">
        <v>185</v>
      </c>
      <c r="O194" s="453">
        <v>0</v>
      </c>
      <c r="P194" s="453">
        <f>O194*H194</f>
        <v>0</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661</v>
      </c>
    </row>
    <row r="195" spans="2:65" s="434" customFormat="1" ht="25.9" customHeight="1" x14ac:dyDescent="0.2">
      <c r="B195" s="433"/>
      <c r="D195" s="435" t="s">
        <v>216</v>
      </c>
      <c r="E195" s="436" t="s">
        <v>662</v>
      </c>
      <c r="F195" s="436" t="s">
        <v>663</v>
      </c>
      <c r="I195" s="467"/>
      <c r="J195" s="437">
        <f>BK195</f>
        <v>0</v>
      </c>
      <c r="L195" s="433"/>
      <c r="M195" s="438"/>
      <c r="P195" s="439">
        <f>P196+P197</f>
        <v>278.68659000000002</v>
      </c>
      <c r="R195" s="439">
        <f>R196+R197</f>
        <v>0.31783910000000004</v>
      </c>
      <c r="T195" s="440">
        <f>T196+T197</f>
        <v>0</v>
      </c>
      <c r="AR195" s="435" t="s">
        <v>108</v>
      </c>
      <c r="AT195" s="441" t="s">
        <v>216</v>
      </c>
      <c r="AU195" s="441" t="s">
        <v>165</v>
      </c>
      <c r="AY195" s="435" t="s">
        <v>217</v>
      </c>
      <c r="BK195" s="442">
        <f>BK196+BK197</f>
        <v>0</v>
      </c>
    </row>
    <row r="196" spans="2:65" s="365" customFormat="1" ht="33" customHeight="1" x14ac:dyDescent="0.25">
      <c r="B196" s="364"/>
      <c r="C196" s="445" t="s">
        <v>617</v>
      </c>
      <c r="D196" s="445" t="s">
        <v>218</v>
      </c>
      <c r="E196" s="446" t="s">
        <v>665</v>
      </c>
      <c r="F196" s="447" t="s">
        <v>666</v>
      </c>
      <c r="G196" s="448" t="s">
        <v>112</v>
      </c>
      <c r="H196" s="449">
        <v>2546.6559999999999</v>
      </c>
      <c r="I196" s="329">
        <v>0</v>
      </c>
      <c r="J196" s="450">
        <f>ROUND(I196*H196,2)</f>
        <v>0</v>
      </c>
      <c r="K196" s="451"/>
      <c r="L196" s="364"/>
      <c r="M196" s="452" t="s">
        <v>171</v>
      </c>
      <c r="N196" s="415" t="s">
        <v>185</v>
      </c>
      <c r="O196" s="453">
        <v>0.04</v>
      </c>
      <c r="P196" s="453">
        <f>O196*H196</f>
        <v>101.86624</v>
      </c>
      <c r="Q196" s="453">
        <v>0</v>
      </c>
      <c r="R196" s="453">
        <f>Q196*H196</f>
        <v>0</v>
      </c>
      <c r="S196" s="453">
        <v>0</v>
      </c>
      <c r="T196" s="454">
        <f>S196*H196</f>
        <v>0</v>
      </c>
      <c r="AR196" s="455" t="s">
        <v>228</v>
      </c>
      <c r="AT196" s="455" t="s">
        <v>218</v>
      </c>
      <c r="AU196" s="455" t="s">
        <v>109</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228</v>
      </c>
      <c r="BM196" s="455" t="s">
        <v>667</v>
      </c>
    </row>
    <row r="197" spans="2:65" s="434" customFormat="1" ht="22.9" customHeight="1" x14ac:dyDescent="0.2">
      <c r="B197" s="433"/>
      <c r="D197" s="435" t="s">
        <v>216</v>
      </c>
      <c r="E197" s="443" t="s">
        <v>668</v>
      </c>
      <c r="F197" s="443" t="s">
        <v>669</v>
      </c>
      <c r="I197" s="467"/>
      <c r="J197" s="444">
        <f>BK197</f>
        <v>0</v>
      </c>
      <c r="L197" s="433"/>
      <c r="M197" s="438"/>
      <c r="P197" s="439">
        <f>SUM(P198:P200)</f>
        <v>176.82035000000002</v>
      </c>
      <c r="R197" s="439">
        <f>SUM(R198:R200)</f>
        <v>0.31783910000000004</v>
      </c>
      <c r="T197" s="440">
        <f>SUM(T198:T200)</f>
        <v>0</v>
      </c>
      <c r="AR197" s="435" t="s">
        <v>108</v>
      </c>
      <c r="AT197" s="441" t="s">
        <v>216</v>
      </c>
      <c r="AU197" s="441" t="s">
        <v>109</v>
      </c>
      <c r="AY197" s="435" t="s">
        <v>217</v>
      </c>
      <c r="BK197" s="442">
        <f>SUM(BK198:BK200)</f>
        <v>0</v>
      </c>
    </row>
    <row r="198" spans="2:65" s="365" customFormat="1" ht="16.5" customHeight="1" x14ac:dyDescent="0.25">
      <c r="B198" s="364"/>
      <c r="C198" s="445" t="s">
        <v>621</v>
      </c>
      <c r="D198" s="445" t="s">
        <v>218</v>
      </c>
      <c r="E198" s="446" t="s">
        <v>671</v>
      </c>
      <c r="F198" s="447" t="s">
        <v>672</v>
      </c>
      <c r="G198" s="448" t="s">
        <v>111</v>
      </c>
      <c r="H198" s="449">
        <v>135</v>
      </c>
      <c r="I198" s="329">
        <v>0</v>
      </c>
      <c r="J198" s="450">
        <f>ROUND(I198*H198,2)</f>
        <v>0</v>
      </c>
      <c r="K198" s="451"/>
      <c r="L198" s="364"/>
      <c r="M198" s="452" t="s">
        <v>171</v>
      </c>
      <c r="N198" s="415" t="s">
        <v>185</v>
      </c>
      <c r="O198" s="453">
        <v>0.16008</v>
      </c>
      <c r="P198" s="453">
        <f>O198*H198</f>
        <v>21.610800000000001</v>
      </c>
      <c r="Q198" s="453">
        <v>5.9716000000000001E-4</v>
      </c>
      <c r="R198" s="453">
        <f>Q198*H198</f>
        <v>8.0616599999999997E-2</v>
      </c>
      <c r="S198" s="453">
        <v>0</v>
      </c>
      <c r="T198" s="454">
        <f>S198*H198</f>
        <v>0</v>
      </c>
      <c r="AR198" s="455" t="s">
        <v>228</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228</v>
      </c>
      <c r="BM198" s="455" t="s">
        <v>673</v>
      </c>
    </row>
    <row r="199" spans="2:65" s="365" customFormat="1" ht="24.2" customHeight="1" x14ac:dyDescent="0.25">
      <c r="B199" s="364"/>
      <c r="C199" s="445" t="s">
        <v>625</v>
      </c>
      <c r="D199" s="445" t="s">
        <v>218</v>
      </c>
      <c r="E199" s="446" t="s">
        <v>675</v>
      </c>
      <c r="F199" s="447" t="s">
        <v>676</v>
      </c>
      <c r="G199" s="448" t="s">
        <v>111</v>
      </c>
      <c r="H199" s="449">
        <v>135</v>
      </c>
      <c r="I199" s="329">
        <v>0</v>
      </c>
      <c r="J199" s="450">
        <f>ROUND(I199*H199,2)</f>
        <v>0</v>
      </c>
      <c r="K199" s="451"/>
      <c r="L199" s="364"/>
      <c r="M199" s="452" t="s">
        <v>171</v>
      </c>
      <c r="N199" s="415" t="s">
        <v>185</v>
      </c>
      <c r="O199" s="453">
        <v>0.29932999999999998</v>
      </c>
      <c r="P199" s="453">
        <f>O199*H199</f>
        <v>40.409549999999996</v>
      </c>
      <c r="Q199" s="453">
        <v>1.2895000000000001E-3</v>
      </c>
      <c r="R199" s="453">
        <f>Q199*H199</f>
        <v>0.1740825</v>
      </c>
      <c r="S199" s="453">
        <v>0</v>
      </c>
      <c r="T199" s="454">
        <f>S199*H199</f>
        <v>0</v>
      </c>
      <c r="AR199" s="455" t="s">
        <v>228</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228</v>
      </c>
      <c r="BM199" s="455" t="s">
        <v>677</v>
      </c>
    </row>
    <row r="200" spans="2:65" s="365" customFormat="1" ht="24.2" customHeight="1" x14ac:dyDescent="0.25">
      <c r="B200" s="364"/>
      <c r="C200" s="445" t="s">
        <v>629</v>
      </c>
      <c r="D200" s="445" t="s">
        <v>218</v>
      </c>
      <c r="E200" s="446" t="s">
        <v>679</v>
      </c>
      <c r="F200" s="447" t="s">
        <v>680</v>
      </c>
      <c r="G200" s="448" t="s">
        <v>111</v>
      </c>
      <c r="H200" s="449">
        <v>574</v>
      </c>
      <c r="I200" s="329">
        <v>0</v>
      </c>
      <c r="J200" s="450">
        <f>ROUND(I200*H200,2)</f>
        <v>0</v>
      </c>
      <c r="K200" s="451"/>
      <c r="L200" s="364"/>
      <c r="M200" s="468" t="s">
        <v>171</v>
      </c>
      <c r="N200" s="469" t="s">
        <v>185</v>
      </c>
      <c r="O200" s="470">
        <v>0.2</v>
      </c>
      <c r="P200" s="470">
        <f>O200*H200</f>
        <v>114.80000000000001</v>
      </c>
      <c r="Q200" s="470">
        <v>1.1E-4</v>
      </c>
      <c r="R200" s="470">
        <f>Q200*H200</f>
        <v>6.3140000000000002E-2</v>
      </c>
      <c r="S200" s="470">
        <v>0</v>
      </c>
      <c r="T200" s="471">
        <f>S200*H200</f>
        <v>0</v>
      </c>
      <c r="AR200" s="455" t="s">
        <v>228</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228</v>
      </c>
      <c r="BM200" s="455" t="s">
        <v>681</v>
      </c>
    </row>
    <row r="201" spans="2:65" s="365" customFormat="1" ht="6.95" customHeight="1" x14ac:dyDescent="0.25">
      <c r="B201" s="397"/>
      <c r="C201" s="398"/>
      <c r="D201" s="398"/>
      <c r="E201" s="398"/>
      <c r="F201" s="398"/>
      <c r="G201" s="398"/>
      <c r="H201" s="398"/>
      <c r="I201" s="480"/>
      <c r="J201" s="398"/>
      <c r="K201" s="398"/>
      <c r="L201" s="364"/>
    </row>
  </sheetData>
  <sheetProtection algorithmName="SHA-512" hashValue="Qjn0jFQe0StBtK72ujLnzz9Yq5OBC1gZdE2VX22xG+PDutvAiO+WUA5EhrmcKd/is/IQ+kRTkf8RM4taYYShmw==" saltValue="3XFXa69ffqkHEjrVluDMDw==" spinCount="100000" sheet="1" objects="1" scenarios="1"/>
  <autoFilter ref="C127:K200" xr:uid="{00000000-0009-0000-0000-000015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BB6DD-379F-42F9-8F89-926676E71FCC}">
  <sheetPr codeName="Hárok17">
    <pageSetUpPr fitToPage="1"/>
  </sheetPr>
  <dimension ref="B2:BM168"/>
  <sheetViews>
    <sheetView topLeftCell="A149" workbookViewId="0">
      <selection activeCell="J164" sqref="J164"/>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362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1387</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SUM(BE127:BE167)),  2)</f>
        <v>0</v>
      </c>
      <c r="G35" s="380"/>
      <c r="H35" s="380"/>
      <c r="I35" s="381">
        <v>0.23</v>
      </c>
      <c r="J35" s="379">
        <f>ROUND(((SUM(BE106:BE107) + SUM(BE127:BE167))*I35),  2)</f>
        <v>0</v>
      </c>
      <c r="L35" s="364"/>
    </row>
    <row r="36" spans="2:12" s="365" customFormat="1" ht="14.45" customHeight="1" x14ac:dyDescent="0.25">
      <c r="B36" s="364"/>
      <c r="E36" s="378" t="s">
        <v>185</v>
      </c>
      <c r="F36" s="382">
        <f>ROUND((SUM(BF106:BF107) + SUM(BF127:BF167)),  2)</f>
        <v>0</v>
      </c>
      <c r="I36" s="383">
        <v>0.23</v>
      </c>
      <c r="J36" s="382">
        <f>ROUND(((SUM(BF106:BF107) + SUM(BF127:BF167))*I36),  2)</f>
        <v>0</v>
      </c>
      <c r="L36" s="364"/>
    </row>
    <row r="37" spans="2:12" s="365" customFormat="1" ht="14.45" hidden="1" customHeight="1" x14ac:dyDescent="0.25">
      <c r="B37" s="364"/>
      <c r="E37" s="363" t="s">
        <v>186</v>
      </c>
      <c r="F37" s="382">
        <f>ROUND((SUM(BG106:BG107) + SUM(BG127:BG167)),  2)</f>
        <v>0</v>
      </c>
      <c r="I37" s="383">
        <v>0.23</v>
      </c>
      <c r="J37" s="382">
        <f>0</f>
        <v>0</v>
      </c>
      <c r="L37" s="364"/>
    </row>
    <row r="38" spans="2:12" s="365" customFormat="1" ht="14.45" hidden="1" customHeight="1" x14ac:dyDescent="0.25">
      <c r="B38" s="364"/>
      <c r="E38" s="363" t="s">
        <v>187</v>
      </c>
      <c r="F38" s="382">
        <f>ROUND((SUM(BH106:BH107) + SUM(BH127:BH167)),  2)</f>
        <v>0</v>
      </c>
      <c r="I38" s="383">
        <v>0.23</v>
      </c>
      <c r="J38" s="382">
        <f>0</f>
        <v>0</v>
      </c>
      <c r="L38" s="364"/>
    </row>
    <row r="39" spans="2:12" s="365" customFormat="1" ht="14.45" hidden="1" customHeight="1" x14ac:dyDescent="0.25">
      <c r="B39" s="364"/>
      <c r="E39" s="378" t="s">
        <v>188</v>
      </c>
      <c r="F39" s="379">
        <f>ROUND((SUM(BI106:BI107) + SUM(BI127:BI167)),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103.1 - SO 103.1 Predlzenie jestvujucich priepustov - úsek A</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412</v>
      </c>
      <c r="E99" s="412"/>
      <c r="F99" s="412"/>
      <c r="G99" s="412"/>
      <c r="H99" s="412"/>
      <c r="I99" s="412"/>
      <c r="J99" s="413">
        <f>J142</f>
        <v>0</v>
      </c>
      <c r="L99" s="409"/>
    </row>
    <row r="100" spans="2:14" s="410" customFormat="1" ht="19.899999999999999" customHeight="1" x14ac:dyDescent="0.25">
      <c r="B100" s="409"/>
      <c r="D100" s="411" t="s">
        <v>953</v>
      </c>
      <c r="E100" s="412"/>
      <c r="F100" s="412"/>
      <c r="G100" s="412"/>
      <c r="H100" s="412"/>
      <c r="I100" s="412"/>
      <c r="J100" s="413">
        <f>J151</f>
        <v>0</v>
      </c>
      <c r="L100" s="409"/>
    </row>
    <row r="101" spans="2:14" s="410" customFormat="1" ht="19.899999999999999" customHeight="1" x14ac:dyDescent="0.25">
      <c r="B101" s="409"/>
      <c r="D101" s="411" t="s">
        <v>414</v>
      </c>
      <c r="E101" s="412"/>
      <c r="F101" s="412"/>
      <c r="G101" s="412"/>
      <c r="H101" s="412"/>
      <c r="I101" s="412"/>
      <c r="J101" s="413">
        <f>J156</f>
        <v>0</v>
      </c>
      <c r="L101" s="409"/>
    </row>
    <row r="102" spans="2:14" s="410" customFormat="1" ht="19.899999999999999" customHeight="1" x14ac:dyDescent="0.25">
      <c r="B102" s="409"/>
      <c r="D102" s="411" t="s">
        <v>415</v>
      </c>
      <c r="E102" s="412"/>
      <c r="F102" s="412"/>
      <c r="G102" s="412"/>
      <c r="H102" s="412"/>
      <c r="I102" s="412"/>
      <c r="J102" s="413">
        <f>J162</f>
        <v>0</v>
      </c>
      <c r="L102" s="409"/>
    </row>
    <row r="103" spans="2:14" s="405" customFormat="1" ht="24.95" customHeight="1" x14ac:dyDescent="0.25">
      <c r="B103" s="404"/>
      <c r="D103" s="406" t="s">
        <v>416</v>
      </c>
      <c r="E103" s="407"/>
      <c r="F103" s="407"/>
      <c r="G103" s="407"/>
      <c r="H103" s="407"/>
      <c r="I103" s="407"/>
      <c r="J103" s="408">
        <f>J166</f>
        <v>0</v>
      </c>
      <c r="L103" s="404"/>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3066</v>
      </c>
      <c r="J106" s="414">
        <v>0</v>
      </c>
      <c r="L106" s="364"/>
      <c r="N106" s="415" t="s">
        <v>183</v>
      </c>
    </row>
    <row r="107" spans="2:14" s="365" customFormat="1" ht="18" customHeight="1" x14ac:dyDescent="0.25">
      <c r="B107" s="364"/>
      <c r="L107" s="364"/>
    </row>
    <row r="108" spans="2:14" s="365" customFormat="1" ht="29.25" customHeight="1" x14ac:dyDescent="0.25">
      <c r="B108" s="364"/>
      <c r="C108" s="416" t="s">
        <v>3063</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59" t="str">
        <f>E7</f>
        <v>Cyklotrasa - Devín_RP1</v>
      </c>
      <c r="F117" s="860"/>
      <c r="G117" s="860"/>
      <c r="H117" s="860"/>
      <c r="L117" s="364"/>
    </row>
    <row r="118" spans="2:63" s="365" customFormat="1" ht="12" customHeight="1" x14ac:dyDescent="0.25">
      <c r="B118" s="364"/>
      <c r="C118" s="363" t="s">
        <v>408</v>
      </c>
      <c r="L118" s="364"/>
    </row>
    <row r="119" spans="2:63" s="365" customFormat="1" ht="30" customHeight="1" x14ac:dyDescent="0.25">
      <c r="B119" s="364"/>
      <c r="E119" s="857" t="str">
        <f>E9</f>
        <v>103.1 - SO 103.1 Predlzenie jestvujucich priepustov - úsek A</v>
      </c>
      <c r="F119" s="858"/>
      <c r="G119" s="858"/>
      <c r="H119" s="858"/>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P128+P166</f>
        <v>186.94102199999998</v>
      </c>
      <c r="Q127" s="371"/>
      <c r="R127" s="430">
        <f>R128+R166</f>
        <v>38.612257474999993</v>
      </c>
      <c r="S127" s="371"/>
      <c r="T127" s="431">
        <f>T128+T166</f>
        <v>30.939999999999998</v>
      </c>
      <c r="AT127" s="357" t="s">
        <v>216</v>
      </c>
      <c r="AU127" s="357" t="s">
        <v>202</v>
      </c>
      <c r="BK127" s="432">
        <f>BK128+BK166</f>
        <v>0</v>
      </c>
    </row>
    <row r="128" spans="2:63" s="434" customFormat="1" ht="25.9" customHeight="1" x14ac:dyDescent="0.2">
      <c r="B128" s="433"/>
      <c r="D128" s="435" t="s">
        <v>216</v>
      </c>
      <c r="E128" s="436" t="s">
        <v>418</v>
      </c>
      <c r="F128" s="436" t="s">
        <v>419</v>
      </c>
      <c r="J128" s="437">
        <f>BK128</f>
        <v>0</v>
      </c>
      <c r="L128" s="433"/>
      <c r="M128" s="438"/>
      <c r="P128" s="439">
        <f>P129+P142+P151+P156+P162</f>
        <v>185.39654199999998</v>
      </c>
      <c r="R128" s="439">
        <f>R129+R142+R151+R156+R162</f>
        <v>38.612257474999993</v>
      </c>
      <c r="T128" s="440">
        <f>T129+T142+T151+T156+T162</f>
        <v>30.939999999999998</v>
      </c>
      <c r="AR128" s="435" t="s">
        <v>109</v>
      </c>
      <c r="AT128" s="441" t="s">
        <v>216</v>
      </c>
      <c r="AU128" s="441" t="s">
        <v>165</v>
      </c>
      <c r="AY128" s="435" t="s">
        <v>217</v>
      </c>
      <c r="BK128" s="442">
        <f>BK129+BK142+BK151+BK156+BK162</f>
        <v>0</v>
      </c>
    </row>
    <row r="129" spans="2:65" s="434" customFormat="1" ht="22.9" customHeight="1" x14ac:dyDescent="0.2">
      <c r="B129" s="433"/>
      <c r="D129" s="435" t="s">
        <v>216</v>
      </c>
      <c r="E129" s="443" t="s">
        <v>109</v>
      </c>
      <c r="F129" s="443" t="s">
        <v>220</v>
      </c>
      <c r="J129" s="444">
        <f>BK129</f>
        <v>0</v>
      </c>
      <c r="L129" s="433"/>
      <c r="M129" s="438"/>
      <c r="P129" s="439">
        <f>SUM(P130:P141)</f>
        <v>14.01552</v>
      </c>
      <c r="R129" s="439">
        <f>SUM(R130:R141)</f>
        <v>0</v>
      </c>
      <c r="T129" s="440">
        <f>SUM(T130:T141)</f>
        <v>0</v>
      </c>
      <c r="AR129" s="435" t="s">
        <v>109</v>
      </c>
      <c r="AT129" s="441" t="s">
        <v>216</v>
      </c>
      <c r="AU129" s="441" t="s">
        <v>109</v>
      </c>
      <c r="AY129" s="435" t="s">
        <v>217</v>
      </c>
      <c r="BK129" s="442">
        <f>SUM(BK130:BK141)</f>
        <v>0</v>
      </c>
    </row>
    <row r="130" spans="2:65" s="365" customFormat="1" ht="37.9" customHeight="1" x14ac:dyDescent="0.25">
      <c r="B130" s="364"/>
      <c r="C130" s="445" t="s">
        <v>109</v>
      </c>
      <c r="D130" s="445" t="s">
        <v>218</v>
      </c>
      <c r="E130" s="446" t="s">
        <v>420</v>
      </c>
      <c r="F130" s="447" t="s">
        <v>1388</v>
      </c>
      <c r="G130" s="448" t="s">
        <v>111</v>
      </c>
      <c r="H130" s="449">
        <v>20</v>
      </c>
      <c r="I130" s="329">
        <v>0</v>
      </c>
      <c r="J130" s="450">
        <f t="shared" ref="J130:J141" si="0">ROUND(I130*H130,2)</f>
        <v>0</v>
      </c>
      <c r="K130" s="451"/>
      <c r="L130" s="364"/>
      <c r="M130" s="452" t="s">
        <v>171</v>
      </c>
      <c r="N130" s="415" t="s">
        <v>185</v>
      </c>
      <c r="O130" s="453">
        <v>5.2500000000000003E-3</v>
      </c>
      <c r="P130" s="453">
        <f t="shared" ref="P130:P141" si="1">O130*H130</f>
        <v>0.10500000000000001</v>
      </c>
      <c r="Q130" s="453">
        <v>0</v>
      </c>
      <c r="R130" s="453">
        <f t="shared" ref="R130:R141" si="2">Q130*H130</f>
        <v>0</v>
      </c>
      <c r="S130" s="453">
        <v>0</v>
      </c>
      <c r="T130" s="454">
        <f t="shared" ref="T130:T141" si="3">S130*H130</f>
        <v>0</v>
      </c>
      <c r="AR130" s="455" t="s">
        <v>110</v>
      </c>
      <c r="AT130" s="455" t="s">
        <v>218</v>
      </c>
      <c r="AU130" s="455" t="s">
        <v>108</v>
      </c>
      <c r="AY130" s="357" t="s">
        <v>217</v>
      </c>
      <c r="BE130" s="456">
        <f t="shared" ref="BE130:BE141" si="4">IF(N130="základná",J130,0)</f>
        <v>0</v>
      </c>
      <c r="BF130" s="456">
        <f t="shared" ref="BF130:BF141" si="5">IF(N130="znížená",J130,0)</f>
        <v>0</v>
      </c>
      <c r="BG130" s="456">
        <f t="shared" ref="BG130:BG141" si="6">IF(N130="zákl. prenesená",J130,0)</f>
        <v>0</v>
      </c>
      <c r="BH130" s="456">
        <f t="shared" ref="BH130:BH141" si="7">IF(N130="zníž. prenesená",J130,0)</f>
        <v>0</v>
      </c>
      <c r="BI130" s="456">
        <f t="shared" ref="BI130:BI141" si="8">IF(N130="nulová",J130,0)</f>
        <v>0</v>
      </c>
      <c r="BJ130" s="357" t="s">
        <v>108</v>
      </c>
      <c r="BK130" s="456">
        <f t="shared" ref="BK130:BK141" si="9">ROUND(I130*H130,2)</f>
        <v>0</v>
      </c>
      <c r="BL130" s="357" t="s">
        <v>110</v>
      </c>
      <c r="BM130" s="455" t="s">
        <v>422</v>
      </c>
    </row>
    <row r="131" spans="2:65" s="365" customFormat="1" ht="37.9" customHeight="1" x14ac:dyDescent="0.25">
      <c r="B131" s="364"/>
      <c r="C131" s="445" t="s">
        <v>108</v>
      </c>
      <c r="D131" s="445" t="s">
        <v>218</v>
      </c>
      <c r="E131" s="446" t="s">
        <v>423</v>
      </c>
      <c r="F131" s="447" t="s">
        <v>1389</v>
      </c>
      <c r="G131" s="448" t="s">
        <v>111</v>
      </c>
      <c r="H131" s="449">
        <v>5</v>
      </c>
      <c r="I131" s="329">
        <v>0</v>
      </c>
      <c r="J131" s="450">
        <f t="shared" si="0"/>
        <v>0</v>
      </c>
      <c r="K131" s="451"/>
      <c r="L131" s="364"/>
      <c r="M131" s="452" t="s">
        <v>171</v>
      </c>
      <c r="N131" s="415" t="s">
        <v>185</v>
      </c>
      <c r="O131" s="453">
        <v>0.16300000000000001</v>
      </c>
      <c r="P131" s="453">
        <f t="shared" si="1"/>
        <v>0.81500000000000006</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425</v>
      </c>
    </row>
    <row r="132" spans="2:65" s="365" customFormat="1" ht="24.2" customHeight="1" x14ac:dyDescent="0.25">
      <c r="B132" s="364"/>
      <c r="C132" s="445" t="s">
        <v>119</v>
      </c>
      <c r="D132" s="445" t="s">
        <v>218</v>
      </c>
      <c r="E132" s="446" t="s">
        <v>426</v>
      </c>
      <c r="F132" s="447" t="s">
        <v>1390</v>
      </c>
      <c r="G132" s="448" t="s">
        <v>111</v>
      </c>
      <c r="H132" s="449">
        <v>20</v>
      </c>
      <c r="I132" s="329">
        <v>0</v>
      </c>
      <c r="J132" s="450">
        <f t="shared" si="0"/>
        <v>0</v>
      </c>
      <c r="K132" s="451"/>
      <c r="L132" s="364"/>
      <c r="M132" s="452" t="s">
        <v>171</v>
      </c>
      <c r="N132" s="415" t="s">
        <v>185</v>
      </c>
      <c r="O132" s="453">
        <v>6.6000000000000003E-2</v>
      </c>
      <c r="P132" s="453">
        <f t="shared" si="1"/>
        <v>1.32</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428</v>
      </c>
    </row>
    <row r="133" spans="2:65" s="365" customFormat="1" ht="24.2" customHeight="1" x14ac:dyDescent="0.25">
      <c r="B133" s="364"/>
      <c r="C133" s="445" t="s">
        <v>110</v>
      </c>
      <c r="D133" s="445" t="s">
        <v>218</v>
      </c>
      <c r="E133" s="446" t="s">
        <v>429</v>
      </c>
      <c r="F133" s="447" t="s">
        <v>1391</v>
      </c>
      <c r="G133" s="448" t="s">
        <v>114</v>
      </c>
      <c r="H133" s="449">
        <v>18</v>
      </c>
      <c r="I133" s="329">
        <v>0</v>
      </c>
      <c r="J133" s="450">
        <f t="shared" si="0"/>
        <v>0</v>
      </c>
      <c r="K133" s="451"/>
      <c r="L133" s="364"/>
      <c r="M133" s="452" t="s">
        <v>171</v>
      </c>
      <c r="N133" s="415" t="s">
        <v>185</v>
      </c>
      <c r="O133" s="453">
        <v>0.15</v>
      </c>
      <c r="P133" s="453">
        <f t="shared" si="1"/>
        <v>2.6999999999999997</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431</v>
      </c>
    </row>
    <row r="134" spans="2:65" s="365" customFormat="1" ht="24.2" customHeight="1" x14ac:dyDescent="0.25">
      <c r="B134" s="364"/>
      <c r="C134" s="445" t="s">
        <v>118</v>
      </c>
      <c r="D134" s="445" t="s">
        <v>218</v>
      </c>
      <c r="E134" s="446" t="s">
        <v>432</v>
      </c>
      <c r="F134" s="447" t="s">
        <v>433</v>
      </c>
      <c r="G134" s="448" t="s">
        <v>114</v>
      </c>
      <c r="H134" s="449">
        <v>18</v>
      </c>
      <c r="I134" s="329">
        <v>0</v>
      </c>
      <c r="J134" s="450">
        <f t="shared" si="0"/>
        <v>0</v>
      </c>
      <c r="K134" s="451"/>
      <c r="L134" s="364"/>
      <c r="M134" s="452" t="s">
        <v>171</v>
      </c>
      <c r="N134" s="415" t="s">
        <v>185</v>
      </c>
      <c r="O134" s="453">
        <v>7.6999999999999999E-2</v>
      </c>
      <c r="P134" s="453">
        <f t="shared" si="1"/>
        <v>1.3859999999999999</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434</v>
      </c>
    </row>
    <row r="135" spans="2:65" s="365" customFormat="1" ht="37.9" customHeight="1" x14ac:dyDescent="0.25">
      <c r="B135" s="364"/>
      <c r="C135" s="445" t="s">
        <v>117</v>
      </c>
      <c r="D135" s="445" t="s">
        <v>218</v>
      </c>
      <c r="E135" s="446" t="s">
        <v>446</v>
      </c>
      <c r="F135" s="447" t="s">
        <v>1392</v>
      </c>
      <c r="G135" s="448" t="s">
        <v>114</v>
      </c>
      <c r="H135" s="449">
        <v>12</v>
      </c>
      <c r="I135" s="329">
        <v>0</v>
      </c>
      <c r="J135" s="450">
        <f t="shared" si="0"/>
        <v>0</v>
      </c>
      <c r="K135" s="451"/>
      <c r="L135" s="364"/>
      <c r="M135" s="452" t="s">
        <v>171</v>
      </c>
      <c r="N135" s="415" t="s">
        <v>185</v>
      </c>
      <c r="O135" s="453">
        <v>0.22900000000000001</v>
      </c>
      <c r="P135" s="453">
        <f t="shared" si="1"/>
        <v>2.7480000000000002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448</v>
      </c>
    </row>
    <row r="136" spans="2:65" s="365" customFormat="1" ht="21.75" customHeight="1" x14ac:dyDescent="0.25">
      <c r="B136" s="364"/>
      <c r="C136" s="445" t="s">
        <v>116</v>
      </c>
      <c r="D136" s="445" t="s">
        <v>218</v>
      </c>
      <c r="E136" s="446" t="s">
        <v>455</v>
      </c>
      <c r="F136" s="447" t="s">
        <v>230</v>
      </c>
      <c r="G136" s="448" t="s">
        <v>111</v>
      </c>
      <c r="H136" s="449">
        <v>10</v>
      </c>
      <c r="I136" s="329">
        <v>0</v>
      </c>
      <c r="J136" s="450">
        <f t="shared" si="0"/>
        <v>0</v>
      </c>
      <c r="K136" s="451"/>
      <c r="L136" s="364"/>
      <c r="M136" s="452" t="s">
        <v>171</v>
      </c>
      <c r="N136" s="415" t="s">
        <v>185</v>
      </c>
      <c r="O136" s="453">
        <v>1.7000000000000001E-2</v>
      </c>
      <c r="P136" s="453">
        <f t="shared" si="1"/>
        <v>0.17</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456</v>
      </c>
    </row>
    <row r="137" spans="2:65" s="365" customFormat="1" ht="16.5" customHeight="1" x14ac:dyDescent="0.25">
      <c r="B137" s="364"/>
      <c r="C137" s="445" t="s">
        <v>115</v>
      </c>
      <c r="D137" s="445" t="s">
        <v>218</v>
      </c>
      <c r="E137" s="446" t="s">
        <v>435</v>
      </c>
      <c r="F137" s="447" t="s">
        <v>1393</v>
      </c>
      <c r="G137" s="448" t="s">
        <v>114</v>
      </c>
      <c r="H137" s="449">
        <v>28</v>
      </c>
      <c r="I137" s="329">
        <v>0</v>
      </c>
      <c r="J137" s="450">
        <f t="shared" si="0"/>
        <v>0</v>
      </c>
      <c r="K137" s="451"/>
      <c r="L137" s="364"/>
      <c r="M137" s="452" t="s">
        <v>171</v>
      </c>
      <c r="N137" s="415" t="s">
        <v>185</v>
      </c>
      <c r="O137" s="453">
        <v>8.6999999999999994E-2</v>
      </c>
      <c r="P137" s="453">
        <f t="shared" si="1"/>
        <v>2.4359999999999999</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437</v>
      </c>
    </row>
    <row r="138" spans="2:65" s="365" customFormat="1" ht="24.2" customHeight="1" x14ac:dyDescent="0.25">
      <c r="B138" s="364"/>
      <c r="C138" s="445" t="s">
        <v>162</v>
      </c>
      <c r="D138" s="445" t="s">
        <v>218</v>
      </c>
      <c r="E138" s="446" t="s">
        <v>444</v>
      </c>
      <c r="F138" s="447" t="s">
        <v>3103</v>
      </c>
      <c r="G138" s="448" t="s">
        <v>112</v>
      </c>
      <c r="H138" s="449">
        <f>Ponuka!S121</f>
        <v>3.2400000000000011</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1394</v>
      </c>
    </row>
    <row r="139" spans="2:65" s="365" customFormat="1" ht="37.9" customHeight="1" x14ac:dyDescent="0.25">
      <c r="B139" s="364"/>
      <c r="C139" s="445" t="s">
        <v>221</v>
      </c>
      <c r="D139" s="445" t="s">
        <v>218</v>
      </c>
      <c r="E139" s="446" t="s">
        <v>1395</v>
      </c>
      <c r="F139" s="447" t="s">
        <v>1396</v>
      </c>
      <c r="G139" s="448" t="s">
        <v>114</v>
      </c>
      <c r="H139" s="449">
        <v>1.8</v>
      </c>
      <c r="I139" s="329">
        <v>0</v>
      </c>
      <c r="J139" s="450">
        <f t="shared" si="0"/>
        <v>0</v>
      </c>
      <c r="K139" s="451"/>
      <c r="L139" s="364"/>
      <c r="M139" s="452" t="s">
        <v>171</v>
      </c>
      <c r="N139" s="415" t="s">
        <v>185</v>
      </c>
      <c r="O139" s="453">
        <v>5.4399999999999997E-2</v>
      </c>
      <c r="P139" s="453">
        <f t="shared" si="1"/>
        <v>9.7919999999999993E-2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1397</v>
      </c>
    </row>
    <row r="140" spans="2:65" s="365" customFormat="1" ht="49.15" customHeight="1" x14ac:dyDescent="0.25">
      <c r="B140" s="364"/>
      <c r="C140" s="445" t="s">
        <v>222</v>
      </c>
      <c r="D140" s="445" t="s">
        <v>218</v>
      </c>
      <c r="E140" s="446" t="s">
        <v>1398</v>
      </c>
      <c r="F140" s="447" t="s">
        <v>1399</v>
      </c>
      <c r="G140" s="448" t="s">
        <v>114</v>
      </c>
      <c r="H140" s="449">
        <v>39.6</v>
      </c>
      <c r="I140" s="329">
        <v>0</v>
      </c>
      <c r="J140" s="450">
        <f t="shared" si="0"/>
        <v>0</v>
      </c>
      <c r="K140" s="451"/>
      <c r="L140" s="364"/>
      <c r="M140" s="452" t="s">
        <v>171</v>
      </c>
      <c r="N140" s="415" t="s">
        <v>185</v>
      </c>
      <c r="O140" s="453">
        <v>6.0000000000000001E-3</v>
      </c>
      <c r="P140" s="453">
        <f t="shared" si="1"/>
        <v>0.23760000000000001</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1400</v>
      </c>
    </row>
    <row r="141" spans="2:65" s="365" customFormat="1" ht="16.5" customHeight="1" x14ac:dyDescent="0.25">
      <c r="B141" s="364"/>
      <c r="C141" s="445" t="s">
        <v>223</v>
      </c>
      <c r="D141" s="445" t="s">
        <v>218</v>
      </c>
      <c r="E141" s="446" t="s">
        <v>1401</v>
      </c>
      <c r="F141" s="447" t="s">
        <v>1402</v>
      </c>
      <c r="G141" s="448" t="s">
        <v>111</v>
      </c>
      <c r="H141" s="449">
        <v>20</v>
      </c>
      <c r="I141" s="329">
        <v>0</v>
      </c>
      <c r="J141" s="450">
        <f t="shared" si="0"/>
        <v>0</v>
      </c>
      <c r="K141" s="451"/>
      <c r="L141" s="364"/>
      <c r="M141" s="452" t="s">
        <v>171</v>
      </c>
      <c r="N141" s="415" t="s">
        <v>185</v>
      </c>
      <c r="O141" s="453">
        <v>0.1</v>
      </c>
      <c r="P141" s="453">
        <f t="shared" si="1"/>
        <v>2</v>
      </c>
      <c r="Q141" s="453">
        <v>0</v>
      </c>
      <c r="R141" s="453">
        <f t="shared" si="2"/>
        <v>0</v>
      </c>
      <c r="S141" s="453">
        <v>0</v>
      </c>
      <c r="T141" s="454">
        <f t="shared" si="3"/>
        <v>0</v>
      </c>
      <c r="AR141" s="455" t="s">
        <v>228</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228</v>
      </c>
      <c r="BM141" s="455" t="s">
        <v>1403</v>
      </c>
    </row>
    <row r="142" spans="2:65" s="434" customFormat="1" ht="22.9" customHeight="1" x14ac:dyDescent="0.2">
      <c r="B142" s="433"/>
      <c r="D142" s="435" t="s">
        <v>216</v>
      </c>
      <c r="E142" s="443" t="s">
        <v>108</v>
      </c>
      <c r="F142" s="443" t="s">
        <v>469</v>
      </c>
      <c r="I142" s="467"/>
      <c r="J142" s="444">
        <f>BK142</f>
        <v>0</v>
      </c>
      <c r="L142" s="433"/>
      <c r="M142" s="438"/>
      <c r="P142" s="439">
        <f>SUM(P143:P150)</f>
        <v>89.825102000000001</v>
      </c>
      <c r="R142" s="439">
        <f>SUM(R143:R150)</f>
        <v>36.057383044999995</v>
      </c>
      <c r="T142" s="440">
        <f>SUM(T143:T150)</f>
        <v>0</v>
      </c>
      <c r="AR142" s="435" t="s">
        <v>109</v>
      </c>
      <c r="AT142" s="441" t="s">
        <v>216</v>
      </c>
      <c r="AU142" s="441" t="s">
        <v>109</v>
      </c>
      <c r="AY142" s="435" t="s">
        <v>217</v>
      </c>
      <c r="BK142" s="442">
        <f>SUM(BK143:BK150)</f>
        <v>0</v>
      </c>
    </row>
    <row r="143" spans="2:65" s="365" customFormat="1" ht="16.5" customHeight="1" x14ac:dyDescent="0.25">
      <c r="B143" s="364"/>
      <c r="C143" s="445" t="s">
        <v>225</v>
      </c>
      <c r="D143" s="445" t="s">
        <v>218</v>
      </c>
      <c r="E143" s="446" t="s">
        <v>504</v>
      </c>
      <c r="F143" s="447" t="s">
        <v>1404</v>
      </c>
      <c r="G143" s="448" t="s">
        <v>114</v>
      </c>
      <c r="H143" s="449">
        <v>2.2999999999999998</v>
      </c>
      <c r="I143" s="329">
        <v>0</v>
      </c>
      <c r="J143" s="450">
        <f t="shared" ref="J143:J150" si="10">ROUND(I143*H143,2)</f>
        <v>0</v>
      </c>
      <c r="K143" s="451"/>
      <c r="L143" s="364"/>
      <c r="M143" s="452" t="s">
        <v>171</v>
      </c>
      <c r="N143" s="415" t="s">
        <v>185</v>
      </c>
      <c r="O143" s="453">
        <v>0.61770999999999998</v>
      </c>
      <c r="P143" s="453">
        <f t="shared" ref="P143:P150" si="11">O143*H143</f>
        <v>1.4207329999999998</v>
      </c>
      <c r="Q143" s="453">
        <v>2.2354352</v>
      </c>
      <c r="R143" s="453">
        <f t="shared" ref="R143:R150" si="12">Q143*H143</f>
        <v>5.1415009599999992</v>
      </c>
      <c r="S143" s="453">
        <v>0</v>
      </c>
      <c r="T143" s="454">
        <f t="shared" ref="T143:T150" si="13">S143*H143</f>
        <v>0</v>
      </c>
      <c r="AR143" s="455" t="s">
        <v>110</v>
      </c>
      <c r="AT143" s="455" t="s">
        <v>218</v>
      </c>
      <c r="AU143" s="455" t="s">
        <v>108</v>
      </c>
      <c r="AY143" s="357" t="s">
        <v>217</v>
      </c>
      <c r="BE143" s="456">
        <f t="shared" ref="BE143:BE150" si="14">IF(N143="základná",J143,0)</f>
        <v>0</v>
      </c>
      <c r="BF143" s="456">
        <f t="shared" ref="BF143:BF150" si="15">IF(N143="znížená",J143,0)</f>
        <v>0</v>
      </c>
      <c r="BG143" s="456">
        <f t="shared" ref="BG143:BG150" si="16">IF(N143="zákl. prenesená",J143,0)</f>
        <v>0</v>
      </c>
      <c r="BH143" s="456">
        <f t="shared" ref="BH143:BH150" si="17">IF(N143="zníž. prenesená",J143,0)</f>
        <v>0</v>
      </c>
      <c r="BI143" s="456">
        <f t="shared" ref="BI143:BI150" si="18">IF(N143="nulová",J143,0)</f>
        <v>0</v>
      </c>
      <c r="BJ143" s="357" t="s">
        <v>108</v>
      </c>
      <c r="BK143" s="456">
        <f t="shared" ref="BK143:BK150" si="19">ROUND(I143*H143,2)</f>
        <v>0</v>
      </c>
      <c r="BL143" s="357" t="s">
        <v>110</v>
      </c>
      <c r="BM143" s="455" t="s">
        <v>1405</v>
      </c>
    </row>
    <row r="144" spans="2:65" s="365" customFormat="1" ht="24.2" customHeight="1" x14ac:dyDescent="0.25">
      <c r="B144" s="364"/>
      <c r="C144" s="445" t="s">
        <v>226</v>
      </c>
      <c r="D144" s="445" t="s">
        <v>218</v>
      </c>
      <c r="E144" s="446" t="s">
        <v>507</v>
      </c>
      <c r="F144" s="447" t="s">
        <v>1406</v>
      </c>
      <c r="G144" s="448" t="s">
        <v>114</v>
      </c>
      <c r="H144" s="449">
        <v>10.1</v>
      </c>
      <c r="I144" s="329">
        <v>0</v>
      </c>
      <c r="J144" s="450">
        <f t="shared" si="10"/>
        <v>0</v>
      </c>
      <c r="K144" s="451"/>
      <c r="L144" s="364"/>
      <c r="M144" s="452" t="s">
        <v>171</v>
      </c>
      <c r="N144" s="415" t="s">
        <v>185</v>
      </c>
      <c r="O144" s="453">
        <v>0.58269000000000004</v>
      </c>
      <c r="P144" s="453">
        <f t="shared" si="11"/>
        <v>5.8851690000000003</v>
      </c>
      <c r="Q144" s="453">
        <v>2.3223457000000001</v>
      </c>
      <c r="R144" s="453">
        <f t="shared" si="12"/>
        <v>23.455691569999999</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1407</v>
      </c>
    </row>
    <row r="145" spans="2:65" s="365" customFormat="1" ht="16.5" customHeight="1" x14ac:dyDescent="0.25">
      <c r="B145" s="364"/>
      <c r="C145" s="445" t="s">
        <v>227</v>
      </c>
      <c r="D145" s="445" t="s">
        <v>218</v>
      </c>
      <c r="E145" s="446" t="s">
        <v>510</v>
      </c>
      <c r="F145" s="447" t="s">
        <v>1408</v>
      </c>
      <c r="G145" s="448" t="s">
        <v>111</v>
      </c>
      <c r="H145" s="449">
        <v>47</v>
      </c>
      <c r="I145" s="329">
        <v>0</v>
      </c>
      <c r="J145" s="450">
        <f t="shared" si="10"/>
        <v>0</v>
      </c>
      <c r="K145" s="451"/>
      <c r="L145" s="364"/>
      <c r="M145" s="452" t="s">
        <v>171</v>
      </c>
      <c r="N145" s="415" t="s">
        <v>185</v>
      </c>
      <c r="O145" s="453">
        <v>0.35799999999999998</v>
      </c>
      <c r="P145" s="453">
        <f t="shared" si="11"/>
        <v>16.826000000000001</v>
      </c>
      <c r="Q145" s="453">
        <v>1.5947400000000001E-3</v>
      </c>
      <c r="R145" s="453">
        <f t="shared" si="12"/>
        <v>7.4952780000000011E-2</v>
      </c>
      <c r="S145" s="453">
        <v>0</v>
      </c>
      <c r="T145" s="454">
        <f t="shared" si="13"/>
        <v>0</v>
      </c>
      <c r="AR145" s="455" t="s">
        <v>110</v>
      </c>
      <c r="AT145" s="455" t="s">
        <v>218</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1409</v>
      </c>
    </row>
    <row r="146" spans="2:65" s="365" customFormat="1" ht="16.5" customHeight="1" x14ac:dyDescent="0.25">
      <c r="B146" s="364"/>
      <c r="C146" s="445" t="s">
        <v>228</v>
      </c>
      <c r="D146" s="445" t="s">
        <v>218</v>
      </c>
      <c r="E146" s="446" t="s">
        <v>513</v>
      </c>
      <c r="F146" s="447" t="s">
        <v>1410</v>
      </c>
      <c r="G146" s="448" t="s">
        <v>111</v>
      </c>
      <c r="H146" s="449">
        <v>47</v>
      </c>
      <c r="I146" s="329">
        <v>0</v>
      </c>
      <c r="J146" s="450">
        <f t="shared" si="10"/>
        <v>0</v>
      </c>
      <c r="K146" s="451"/>
      <c r="L146" s="364"/>
      <c r="M146" s="452" t="s">
        <v>171</v>
      </c>
      <c r="N146" s="415" t="s">
        <v>185</v>
      </c>
      <c r="O146" s="453">
        <v>0.19900000000000001</v>
      </c>
      <c r="P146" s="453">
        <f t="shared" si="11"/>
        <v>9.3529999999999998</v>
      </c>
      <c r="Q146" s="453">
        <v>0</v>
      </c>
      <c r="R146" s="453">
        <f t="shared" si="12"/>
        <v>0</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1411</v>
      </c>
    </row>
    <row r="147" spans="2:65" s="365" customFormat="1" ht="16.5" customHeight="1" x14ac:dyDescent="0.25">
      <c r="B147" s="364"/>
      <c r="C147" s="445" t="s">
        <v>229</v>
      </c>
      <c r="D147" s="445" t="s">
        <v>218</v>
      </c>
      <c r="E147" s="446" t="s">
        <v>1412</v>
      </c>
      <c r="F147" s="447" t="s">
        <v>1413</v>
      </c>
      <c r="G147" s="448" t="s">
        <v>112</v>
      </c>
      <c r="H147" s="449">
        <v>1.5</v>
      </c>
      <c r="I147" s="329">
        <v>0</v>
      </c>
      <c r="J147" s="450">
        <f t="shared" si="10"/>
        <v>0</v>
      </c>
      <c r="K147" s="451"/>
      <c r="L147" s="364"/>
      <c r="M147" s="452" t="s">
        <v>171</v>
      </c>
      <c r="N147" s="415" t="s">
        <v>185</v>
      </c>
      <c r="O147" s="453">
        <v>34.322000000000003</v>
      </c>
      <c r="P147" s="453">
        <f t="shared" si="11"/>
        <v>51.483000000000004</v>
      </c>
      <c r="Q147" s="453">
        <v>1.0189584899999999</v>
      </c>
      <c r="R147" s="453">
        <f t="shared" si="12"/>
        <v>1.5284377349999998</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1414</v>
      </c>
    </row>
    <row r="148" spans="2:65" s="365" customFormat="1" ht="44.25" customHeight="1" x14ac:dyDescent="0.25">
      <c r="B148" s="364"/>
      <c r="C148" s="445" t="s">
        <v>231</v>
      </c>
      <c r="D148" s="445" t="s">
        <v>218</v>
      </c>
      <c r="E148" s="446" t="s">
        <v>1415</v>
      </c>
      <c r="F148" s="447" t="s">
        <v>1416</v>
      </c>
      <c r="G148" s="448" t="s">
        <v>114</v>
      </c>
      <c r="H148" s="449">
        <v>1</v>
      </c>
      <c r="I148" s="329">
        <v>0</v>
      </c>
      <c r="J148" s="450">
        <f t="shared" si="10"/>
        <v>0</v>
      </c>
      <c r="K148" s="451"/>
      <c r="L148" s="364"/>
      <c r="M148" s="452" t="s">
        <v>171</v>
      </c>
      <c r="N148" s="415" t="s">
        <v>185</v>
      </c>
      <c r="O148" s="453">
        <v>4.6059999999999999</v>
      </c>
      <c r="P148" s="453">
        <f t="shared" si="11"/>
        <v>4.6059999999999999</v>
      </c>
      <c r="Q148" s="453">
        <v>2.0327999999999999</v>
      </c>
      <c r="R148" s="453">
        <f t="shared" si="12"/>
        <v>2.0327999999999999</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1417</v>
      </c>
    </row>
    <row r="149" spans="2:65" s="365" customFormat="1" ht="33" customHeight="1" x14ac:dyDescent="0.25">
      <c r="B149" s="364"/>
      <c r="C149" s="445" t="s">
        <v>232</v>
      </c>
      <c r="D149" s="445" t="s">
        <v>218</v>
      </c>
      <c r="E149" s="446" t="s">
        <v>1418</v>
      </c>
      <c r="F149" s="447" t="s">
        <v>1419</v>
      </c>
      <c r="G149" s="448" t="s">
        <v>111</v>
      </c>
      <c r="H149" s="449">
        <v>10</v>
      </c>
      <c r="I149" s="329">
        <v>0</v>
      </c>
      <c r="J149" s="450">
        <f t="shared" si="10"/>
        <v>0</v>
      </c>
      <c r="K149" s="451"/>
      <c r="L149" s="364"/>
      <c r="M149" s="452" t="s">
        <v>171</v>
      </c>
      <c r="N149" s="415" t="s">
        <v>185</v>
      </c>
      <c r="O149" s="453">
        <v>2.512E-2</v>
      </c>
      <c r="P149" s="453">
        <f t="shared" si="11"/>
        <v>0.25119999999999998</v>
      </c>
      <c r="Q149" s="453">
        <v>0.2024</v>
      </c>
      <c r="R149" s="453">
        <f t="shared" si="12"/>
        <v>2.024</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1420</v>
      </c>
    </row>
    <row r="150" spans="2:65" s="365" customFormat="1" ht="16.5" customHeight="1" x14ac:dyDescent="0.25">
      <c r="B150" s="364"/>
      <c r="C150" s="457" t="s">
        <v>234</v>
      </c>
      <c r="D150" s="457" t="s">
        <v>259</v>
      </c>
      <c r="E150" s="458" t="s">
        <v>1421</v>
      </c>
      <c r="F150" s="459" t="s">
        <v>1422</v>
      </c>
      <c r="G150" s="460" t="s">
        <v>112</v>
      </c>
      <c r="H150" s="461">
        <v>1.8</v>
      </c>
      <c r="I150" s="330">
        <v>0</v>
      </c>
      <c r="J150" s="462">
        <f t="shared" si="10"/>
        <v>0</v>
      </c>
      <c r="K150" s="463"/>
      <c r="L150" s="464"/>
      <c r="M150" s="465" t="s">
        <v>171</v>
      </c>
      <c r="N150" s="466" t="s">
        <v>185</v>
      </c>
      <c r="O150" s="453">
        <v>0</v>
      </c>
      <c r="P150" s="453">
        <f t="shared" si="11"/>
        <v>0</v>
      </c>
      <c r="Q150" s="453">
        <v>1</v>
      </c>
      <c r="R150" s="453">
        <f t="shared" si="12"/>
        <v>1.8</v>
      </c>
      <c r="S150" s="453">
        <v>0</v>
      </c>
      <c r="T150" s="454">
        <f t="shared" si="13"/>
        <v>0</v>
      </c>
      <c r="AR150" s="455" t="s">
        <v>115</v>
      </c>
      <c r="AT150" s="455" t="s">
        <v>259</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1423</v>
      </c>
    </row>
    <row r="151" spans="2:65" s="434" customFormat="1" ht="22.9" customHeight="1" x14ac:dyDescent="0.2">
      <c r="B151" s="433"/>
      <c r="D151" s="435" t="s">
        <v>216</v>
      </c>
      <c r="E151" s="443" t="s">
        <v>115</v>
      </c>
      <c r="F151" s="443" t="s">
        <v>1023</v>
      </c>
      <c r="I151" s="467"/>
      <c r="J151" s="444">
        <f>BK151</f>
        <v>0</v>
      </c>
      <c r="L151" s="433"/>
      <c r="M151" s="438"/>
      <c r="P151" s="439">
        <f>SUM(P152:P155)</f>
        <v>1.738</v>
      </c>
      <c r="R151" s="439">
        <f>SUM(R152:R155)</f>
        <v>2.51237288</v>
      </c>
      <c r="T151" s="440">
        <f>SUM(T152:T155)</f>
        <v>0</v>
      </c>
      <c r="AR151" s="435" t="s">
        <v>109</v>
      </c>
      <c r="AT151" s="441" t="s">
        <v>216</v>
      </c>
      <c r="AU151" s="441" t="s">
        <v>109</v>
      </c>
      <c r="AY151" s="435" t="s">
        <v>217</v>
      </c>
      <c r="BK151" s="442">
        <f>SUM(BK152:BK155)</f>
        <v>0</v>
      </c>
    </row>
    <row r="152" spans="2:65" s="365" customFormat="1" ht="24.2" customHeight="1" x14ac:dyDescent="0.25">
      <c r="B152" s="364"/>
      <c r="C152" s="445" t="s">
        <v>235</v>
      </c>
      <c r="D152" s="445" t="s">
        <v>218</v>
      </c>
      <c r="E152" s="446" t="s">
        <v>1424</v>
      </c>
      <c r="F152" s="447" t="s">
        <v>1425</v>
      </c>
      <c r="G152" s="448" t="s">
        <v>123</v>
      </c>
      <c r="H152" s="449">
        <v>1</v>
      </c>
      <c r="I152" s="329">
        <v>0</v>
      </c>
      <c r="J152" s="450">
        <f>ROUND(I152*H152,2)</f>
        <v>0</v>
      </c>
      <c r="K152" s="451"/>
      <c r="L152" s="364"/>
      <c r="M152" s="452" t="s">
        <v>171</v>
      </c>
      <c r="N152" s="415" t="s">
        <v>185</v>
      </c>
      <c r="O152" s="453">
        <v>1.738</v>
      </c>
      <c r="P152" s="453">
        <f>O152*H152</f>
        <v>1.738</v>
      </c>
      <c r="Q152" s="453">
        <v>1.0372879999999999E-2</v>
      </c>
      <c r="R152" s="453">
        <f>Q152*H152</f>
        <v>1.0372879999999999E-2</v>
      </c>
      <c r="S152" s="453">
        <v>0</v>
      </c>
      <c r="T152" s="454">
        <f>S152*H152</f>
        <v>0</v>
      </c>
      <c r="AR152" s="455" t="s">
        <v>110</v>
      </c>
      <c r="AT152" s="455" t="s">
        <v>218</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1426</v>
      </c>
    </row>
    <row r="153" spans="2:65" s="365" customFormat="1" ht="16.5" customHeight="1" x14ac:dyDescent="0.25">
      <c r="B153" s="364"/>
      <c r="C153" s="457" t="s">
        <v>236</v>
      </c>
      <c r="D153" s="457" t="s">
        <v>259</v>
      </c>
      <c r="E153" s="458" t="s">
        <v>1427</v>
      </c>
      <c r="F153" s="459" t="s">
        <v>1428</v>
      </c>
      <c r="G153" s="460" t="s">
        <v>123</v>
      </c>
      <c r="H153" s="461">
        <v>1</v>
      </c>
      <c r="I153" s="330">
        <v>0</v>
      </c>
      <c r="J153" s="462">
        <f>ROUND(I153*H153,2)</f>
        <v>0</v>
      </c>
      <c r="K153" s="463"/>
      <c r="L153" s="464"/>
      <c r="M153" s="465" t="s">
        <v>171</v>
      </c>
      <c r="N153" s="466" t="s">
        <v>185</v>
      </c>
      <c r="O153" s="453">
        <v>0</v>
      </c>
      <c r="P153" s="453">
        <f>O153*H153</f>
        <v>0</v>
      </c>
      <c r="Q153" s="453">
        <v>3.8E-3</v>
      </c>
      <c r="R153" s="453">
        <f>Q153*H153</f>
        <v>3.8E-3</v>
      </c>
      <c r="S153" s="453">
        <v>0</v>
      </c>
      <c r="T153" s="454">
        <f>S153*H153</f>
        <v>0</v>
      </c>
      <c r="AR153" s="455" t="s">
        <v>115</v>
      </c>
      <c r="AT153" s="455" t="s">
        <v>259</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1429</v>
      </c>
    </row>
    <row r="154" spans="2:65" s="365" customFormat="1" ht="24.2" customHeight="1" x14ac:dyDescent="0.25">
      <c r="B154" s="364"/>
      <c r="C154" s="457" t="s">
        <v>237</v>
      </c>
      <c r="D154" s="457" t="s">
        <v>259</v>
      </c>
      <c r="E154" s="458" t="s">
        <v>1430</v>
      </c>
      <c r="F154" s="459" t="s">
        <v>1431</v>
      </c>
      <c r="G154" s="460" t="s">
        <v>123</v>
      </c>
      <c r="H154" s="461">
        <v>3</v>
      </c>
      <c r="I154" s="330">
        <v>0</v>
      </c>
      <c r="J154" s="462">
        <f>ROUND(I154*H154,2)</f>
        <v>0</v>
      </c>
      <c r="K154" s="463"/>
      <c r="L154" s="464"/>
      <c r="M154" s="465" t="s">
        <v>171</v>
      </c>
      <c r="N154" s="466" t="s">
        <v>185</v>
      </c>
      <c r="O154" s="453">
        <v>0</v>
      </c>
      <c r="P154" s="453">
        <f>O154*H154</f>
        <v>0</v>
      </c>
      <c r="Q154" s="453">
        <v>0.8</v>
      </c>
      <c r="R154" s="453">
        <f>Q154*H154</f>
        <v>2.4000000000000004</v>
      </c>
      <c r="S154" s="453">
        <v>0</v>
      </c>
      <c r="T154" s="454">
        <f>S154*H154</f>
        <v>0</v>
      </c>
      <c r="AR154" s="455" t="s">
        <v>115</v>
      </c>
      <c r="AT154" s="455" t="s">
        <v>259</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1432</v>
      </c>
    </row>
    <row r="155" spans="2:65" s="365" customFormat="1" ht="24.2" customHeight="1" x14ac:dyDescent="0.25">
      <c r="B155" s="364"/>
      <c r="C155" s="457" t="s">
        <v>238</v>
      </c>
      <c r="D155" s="457" t="s">
        <v>259</v>
      </c>
      <c r="E155" s="458" t="s">
        <v>1433</v>
      </c>
      <c r="F155" s="459" t="s">
        <v>1434</v>
      </c>
      <c r="G155" s="460" t="s">
        <v>123</v>
      </c>
      <c r="H155" s="461">
        <v>2</v>
      </c>
      <c r="I155" s="330">
        <v>0</v>
      </c>
      <c r="J155" s="462">
        <f>ROUND(I155*H155,2)</f>
        <v>0</v>
      </c>
      <c r="K155" s="463"/>
      <c r="L155" s="464"/>
      <c r="M155" s="465" t="s">
        <v>171</v>
      </c>
      <c r="N155" s="466" t="s">
        <v>185</v>
      </c>
      <c r="O155" s="453">
        <v>0</v>
      </c>
      <c r="P155" s="453">
        <f>O155*H155</f>
        <v>0</v>
      </c>
      <c r="Q155" s="453">
        <v>4.9099999999999998E-2</v>
      </c>
      <c r="R155" s="453">
        <f>Q155*H155</f>
        <v>9.8199999999999996E-2</v>
      </c>
      <c r="S155" s="453">
        <v>0</v>
      </c>
      <c r="T155" s="454">
        <f>S155*H155</f>
        <v>0</v>
      </c>
      <c r="AR155" s="455" t="s">
        <v>115</v>
      </c>
      <c r="AT155" s="455" t="s">
        <v>259</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1435</v>
      </c>
    </row>
    <row r="156" spans="2:65" s="434" customFormat="1" ht="22.9" customHeight="1" x14ac:dyDescent="0.2">
      <c r="B156" s="433"/>
      <c r="D156" s="435" t="s">
        <v>216</v>
      </c>
      <c r="E156" s="443" t="s">
        <v>162</v>
      </c>
      <c r="F156" s="443" t="s">
        <v>633</v>
      </c>
      <c r="I156" s="467"/>
      <c r="J156" s="444">
        <f>BK156</f>
        <v>0</v>
      </c>
      <c r="L156" s="433"/>
      <c r="M156" s="438"/>
      <c r="P156" s="439">
        <f>SUM(P157:P161)</f>
        <v>72.485919999999993</v>
      </c>
      <c r="R156" s="439">
        <f>SUM(R157:R161)</f>
        <v>4.2501549999999999E-2</v>
      </c>
      <c r="T156" s="440">
        <f>SUM(T157:T161)</f>
        <v>30.939999999999998</v>
      </c>
      <c r="AR156" s="435" t="s">
        <v>109</v>
      </c>
      <c r="AT156" s="441" t="s">
        <v>216</v>
      </c>
      <c r="AU156" s="441" t="s">
        <v>109</v>
      </c>
      <c r="AY156" s="435" t="s">
        <v>217</v>
      </c>
      <c r="BK156" s="442">
        <f>SUM(BK157:BK161)</f>
        <v>0</v>
      </c>
    </row>
    <row r="157" spans="2:65" s="365" customFormat="1" ht="24.2" customHeight="1" x14ac:dyDescent="0.25">
      <c r="B157" s="364"/>
      <c r="C157" s="445" t="s">
        <v>239</v>
      </c>
      <c r="D157" s="445" t="s">
        <v>218</v>
      </c>
      <c r="E157" s="446" t="s">
        <v>1436</v>
      </c>
      <c r="F157" s="447" t="s">
        <v>1437</v>
      </c>
      <c r="G157" s="448" t="s">
        <v>112</v>
      </c>
      <c r="H157" s="449">
        <v>32.5</v>
      </c>
      <c r="I157" s="329">
        <v>0</v>
      </c>
      <c r="J157" s="450">
        <f t="shared" ref="J157:J161" si="20">ROUND(I157*H157,2)</f>
        <v>0</v>
      </c>
      <c r="K157" s="451"/>
      <c r="L157" s="364"/>
      <c r="M157" s="452" t="s">
        <v>171</v>
      </c>
      <c r="N157" s="415" t="s">
        <v>185</v>
      </c>
      <c r="O157" s="453">
        <v>7.5999999999999998E-2</v>
      </c>
      <c r="P157" s="453">
        <f t="shared" ref="P157:P161" si="21">O157*H157</f>
        <v>2.4699999999999998</v>
      </c>
      <c r="Q157" s="453">
        <v>0</v>
      </c>
      <c r="R157" s="453">
        <f t="shared" ref="R157:R161" si="22">Q157*H157</f>
        <v>0</v>
      </c>
      <c r="S157" s="453">
        <v>0</v>
      </c>
      <c r="T157" s="454">
        <f t="shared" ref="T157:T161" si="23">S157*H157</f>
        <v>0</v>
      </c>
      <c r="AR157" s="455" t="s">
        <v>228</v>
      </c>
      <c r="AT157" s="455" t="s">
        <v>218</v>
      </c>
      <c r="AU157" s="455" t="s">
        <v>108</v>
      </c>
      <c r="AY157" s="357" t="s">
        <v>217</v>
      </c>
      <c r="BE157" s="456">
        <f t="shared" ref="BE157:BE161" si="24">IF(N157="základná",J157,0)</f>
        <v>0</v>
      </c>
      <c r="BF157" s="456">
        <f t="shared" ref="BF157:BF161" si="25">IF(N157="znížená",J157,0)</f>
        <v>0</v>
      </c>
      <c r="BG157" s="456">
        <f t="shared" ref="BG157:BG161" si="26">IF(N157="zákl. prenesená",J157,0)</f>
        <v>0</v>
      </c>
      <c r="BH157" s="456">
        <f t="shared" ref="BH157:BH161" si="27">IF(N157="zníž. prenesená",J157,0)</f>
        <v>0</v>
      </c>
      <c r="BI157" s="456">
        <f t="shared" ref="BI157:BI161" si="28">IF(N157="nulová",J157,0)</f>
        <v>0</v>
      </c>
      <c r="BJ157" s="357" t="s">
        <v>108</v>
      </c>
      <c r="BK157" s="456">
        <f t="shared" ref="BK157:BK161" si="29">ROUND(I157*H157,2)</f>
        <v>0</v>
      </c>
      <c r="BL157" s="357" t="s">
        <v>228</v>
      </c>
      <c r="BM157" s="455" t="s">
        <v>1438</v>
      </c>
    </row>
    <row r="158" spans="2:65" s="365" customFormat="1" ht="66.75" customHeight="1" x14ac:dyDescent="0.25">
      <c r="B158" s="364"/>
      <c r="C158" s="445">
        <v>26</v>
      </c>
      <c r="D158" s="445" t="s">
        <v>218</v>
      </c>
      <c r="E158" s="446" t="s">
        <v>635</v>
      </c>
      <c r="F158" s="447" t="s">
        <v>3104</v>
      </c>
      <c r="G158" s="448" t="s">
        <v>112</v>
      </c>
      <c r="H158" s="449">
        <f>Ponuka!L121</f>
        <v>22.75</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1439</v>
      </c>
    </row>
    <row r="159" spans="2:65" s="365" customFormat="1" ht="66.75" customHeight="1" x14ac:dyDescent="0.25">
      <c r="B159" s="364"/>
      <c r="C159" s="445">
        <v>27</v>
      </c>
      <c r="D159" s="445" t="s">
        <v>218</v>
      </c>
      <c r="E159" s="446" t="s">
        <v>638</v>
      </c>
      <c r="F159" s="447" t="s">
        <v>3105</v>
      </c>
      <c r="G159" s="448" t="s">
        <v>112</v>
      </c>
      <c r="H159" s="449">
        <f>Ponuka!R121</f>
        <v>7.56</v>
      </c>
      <c r="I159" s="329">
        <v>0</v>
      </c>
      <c r="J159" s="450">
        <f t="shared" si="20"/>
        <v>0</v>
      </c>
      <c r="K159" s="451"/>
      <c r="L159" s="364"/>
      <c r="M159" s="452" t="s">
        <v>171</v>
      </c>
      <c r="N159" s="415" t="s">
        <v>185</v>
      </c>
      <c r="O159" s="453">
        <v>0</v>
      </c>
      <c r="P159" s="453">
        <f t="shared" si="21"/>
        <v>0</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1440</v>
      </c>
    </row>
    <row r="160" spans="2:65" s="365" customFormat="1" ht="24.2" customHeight="1" x14ac:dyDescent="0.25">
      <c r="B160" s="364"/>
      <c r="C160" s="445">
        <v>28</v>
      </c>
      <c r="D160" s="445" t="s">
        <v>218</v>
      </c>
      <c r="E160" s="446" t="s">
        <v>641</v>
      </c>
      <c r="F160" s="447" t="s">
        <v>642</v>
      </c>
      <c r="G160" s="448" t="s">
        <v>112</v>
      </c>
      <c r="H160" s="449">
        <f>H163</f>
        <v>9.75</v>
      </c>
      <c r="I160" s="329">
        <v>0</v>
      </c>
      <c r="J160" s="450">
        <f t="shared" si="20"/>
        <v>0</v>
      </c>
      <c r="K160" s="451"/>
      <c r="L160" s="364"/>
      <c r="M160" s="452" t="s">
        <v>171</v>
      </c>
      <c r="N160" s="415" t="s">
        <v>185</v>
      </c>
      <c r="O160" s="453">
        <v>6.0000000000000001E-3</v>
      </c>
      <c r="P160" s="453">
        <f t="shared" si="21"/>
        <v>5.8500000000000003E-2</v>
      </c>
      <c r="Q160" s="453">
        <v>0</v>
      </c>
      <c r="R160" s="453">
        <f t="shared" si="22"/>
        <v>0</v>
      </c>
      <c r="S160" s="453">
        <v>0</v>
      </c>
      <c r="T160" s="454">
        <f t="shared" si="23"/>
        <v>0</v>
      </c>
      <c r="AR160" s="455" t="s">
        <v>110</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1441</v>
      </c>
    </row>
    <row r="161" spans="2:65" s="365" customFormat="1" ht="24.2" customHeight="1" x14ac:dyDescent="0.25">
      <c r="B161" s="364"/>
      <c r="C161" s="445">
        <v>29</v>
      </c>
      <c r="D161" s="445" t="s">
        <v>218</v>
      </c>
      <c r="E161" s="446" t="s">
        <v>1442</v>
      </c>
      <c r="F161" s="447" t="s">
        <v>1443</v>
      </c>
      <c r="G161" s="448" t="s">
        <v>114</v>
      </c>
      <c r="H161" s="449">
        <v>13</v>
      </c>
      <c r="I161" s="329">
        <v>0</v>
      </c>
      <c r="J161" s="450">
        <f t="shared" si="20"/>
        <v>0</v>
      </c>
      <c r="K161" s="451"/>
      <c r="L161" s="364"/>
      <c r="M161" s="452" t="s">
        <v>171</v>
      </c>
      <c r="N161" s="415" t="s">
        <v>185</v>
      </c>
      <c r="O161" s="453">
        <v>5.3813399999999998</v>
      </c>
      <c r="P161" s="453">
        <f t="shared" si="21"/>
        <v>69.957419999999999</v>
      </c>
      <c r="Q161" s="453">
        <v>3.2693499999999999E-3</v>
      </c>
      <c r="R161" s="453">
        <f t="shared" si="22"/>
        <v>4.2501549999999999E-2</v>
      </c>
      <c r="S161" s="453">
        <v>2.38</v>
      </c>
      <c r="T161" s="454">
        <f t="shared" si="23"/>
        <v>30.939999999999998</v>
      </c>
      <c r="AR161" s="455" t="s">
        <v>110</v>
      </c>
      <c r="AT161" s="455" t="s">
        <v>218</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1444</v>
      </c>
    </row>
    <row r="162" spans="2:65" s="434" customFormat="1" ht="22.9" customHeight="1" x14ac:dyDescent="0.2">
      <c r="B162" s="433"/>
      <c r="D162" s="435" t="s">
        <v>216</v>
      </c>
      <c r="E162" s="443" t="s">
        <v>649</v>
      </c>
      <c r="F162" s="443" t="s">
        <v>650</v>
      </c>
      <c r="I162" s="467"/>
      <c r="J162" s="444">
        <f>BK162</f>
        <v>0</v>
      </c>
      <c r="L162" s="433"/>
      <c r="M162" s="438"/>
      <c r="P162" s="439">
        <f>SUM(P163:P165)</f>
        <v>7.3319999999999999</v>
      </c>
      <c r="R162" s="439">
        <f>SUM(R163:R165)</f>
        <v>0</v>
      </c>
      <c r="T162" s="440">
        <f>SUM(T163:T165)</f>
        <v>0</v>
      </c>
      <c r="AR162" s="435" t="s">
        <v>109</v>
      </c>
      <c r="AT162" s="441" t="s">
        <v>216</v>
      </c>
      <c r="AU162" s="441" t="s">
        <v>109</v>
      </c>
      <c r="AY162" s="435" t="s">
        <v>217</v>
      </c>
      <c r="BK162" s="442">
        <f>SUM(BK163:BK165)</f>
        <v>0</v>
      </c>
    </row>
    <row r="163" spans="2:65" s="365" customFormat="1" ht="24.2" customHeight="1" x14ac:dyDescent="0.25">
      <c r="B163" s="364"/>
      <c r="C163" s="445">
        <v>30</v>
      </c>
      <c r="D163" s="445" t="s">
        <v>218</v>
      </c>
      <c r="E163" s="446" t="s">
        <v>652</v>
      </c>
      <c r="F163" s="447" t="s">
        <v>1445</v>
      </c>
      <c r="G163" s="448" t="s">
        <v>112</v>
      </c>
      <c r="H163" s="449">
        <f>H165</f>
        <v>9.75</v>
      </c>
      <c r="I163" s="329">
        <v>0</v>
      </c>
      <c r="J163" s="450">
        <f>ROUND(I163*H163,2)</f>
        <v>0</v>
      </c>
      <c r="K163" s="451"/>
      <c r="L163" s="364"/>
      <c r="M163" s="452" t="s">
        <v>171</v>
      </c>
      <c r="N163" s="415" t="s">
        <v>185</v>
      </c>
      <c r="O163" s="453">
        <v>0.59799999999999998</v>
      </c>
      <c r="P163" s="453">
        <f>O163*H163</f>
        <v>5.8304999999999998</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1446</v>
      </c>
    </row>
    <row r="164" spans="2:65" s="365" customFormat="1" ht="24.2" customHeight="1" x14ac:dyDescent="0.25">
      <c r="B164" s="364"/>
      <c r="C164" s="445">
        <v>31</v>
      </c>
      <c r="D164" s="445" t="s">
        <v>218</v>
      </c>
      <c r="E164" s="446" t="s">
        <v>656</v>
      </c>
      <c r="F164" s="447" t="s">
        <v>1447</v>
      </c>
      <c r="G164" s="448" t="s">
        <v>112</v>
      </c>
      <c r="H164" s="449">
        <f>H163*22</f>
        <v>214.5</v>
      </c>
      <c r="I164" s="329">
        <v>0</v>
      </c>
      <c r="J164" s="450">
        <f>ROUND(I164*H164,2)</f>
        <v>0</v>
      </c>
      <c r="K164" s="451"/>
      <c r="L164" s="364"/>
      <c r="M164" s="452" t="s">
        <v>171</v>
      </c>
      <c r="N164" s="415" t="s">
        <v>185</v>
      </c>
      <c r="O164" s="453">
        <v>7.0000000000000001E-3</v>
      </c>
      <c r="P164" s="453">
        <f>O164*H164</f>
        <v>1.5015000000000001</v>
      </c>
      <c r="Q164" s="453">
        <v>0</v>
      </c>
      <c r="R164" s="453">
        <f>Q164*H164</f>
        <v>0</v>
      </c>
      <c r="S164" s="453">
        <v>0</v>
      </c>
      <c r="T164" s="454">
        <f>S164*H164</f>
        <v>0</v>
      </c>
      <c r="AR164" s="455" t="s">
        <v>110</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110</v>
      </c>
      <c r="BM164" s="455" t="s">
        <v>1448</v>
      </c>
    </row>
    <row r="165" spans="2:65" s="365" customFormat="1" ht="24.2" customHeight="1" x14ac:dyDescent="0.25">
      <c r="B165" s="364"/>
      <c r="C165" s="445">
        <v>32</v>
      </c>
      <c r="D165" s="445" t="s">
        <v>218</v>
      </c>
      <c r="E165" s="446" t="s">
        <v>660</v>
      </c>
      <c r="F165" s="447" t="s">
        <v>3106</v>
      </c>
      <c r="G165" s="448" t="s">
        <v>112</v>
      </c>
      <c r="H165" s="449">
        <f>Ponuka!M121</f>
        <v>9.75</v>
      </c>
      <c r="I165" s="329">
        <v>0</v>
      </c>
      <c r="J165" s="450">
        <f>ROUND(I165*H165,2)</f>
        <v>0</v>
      </c>
      <c r="K165" s="451"/>
      <c r="L165" s="364"/>
      <c r="M165" s="452" t="s">
        <v>171</v>
      </c>
      <c r="N165" s="415" t="s">
        <v>185</v>
      </c>
      <c r="O165" s="453">
        <v>0</v>
      </c>
      <c r="P165" s="453">
        <f>O165*H165</f>
        <v>0</v>
      </c>
      <c r="Q165" s="453">
        <v>0</v>
      </c>
      <c r="R165" s="453">
        <f>Q165*H165</f>
        <v>0</v>
      </c>
      <c r="S165" s="453">
        <v>0</v>
      </c>
      <c r="T165" s="454">
        <f>S165*H165</f>
        <v>0</v>
      </c>
      <c r="AR165" s="455" t="s">
        <v>110</v>
      </c>
      <c r="AT165" s="455" t="s">
        <v>218</v>
      </c>
      <c r="AU165" s="455" t="s">
        <v>108</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110</v>
      </c>
      <c r="BM165" s="455" t="s">
        <v>1449</v>
      </c>
    </row>
    <row r="166" spans="2:65" s="434" customFormat="1" ht="25.9" customHeight="1" x14ac:dyDescent="0.2">
      <c r="B166" s="433"/>
      <c r="D166" s="435" t="s">
        <v>216</v>
      </c>
      <c r="E166" s="436" t="s">
        <v>662</v>
      </c>
      <c r="F166" s="436" t="s">
        <v>663</v>
      </c>
      <c r="I166" s="467"/>
      <c r="J166" s="437">
        <f>BK166</f>
        <v>0</v>
      </c>
      <c r="L166" s="433"/>
      <c r="M166" s="438"/>
      <c r="P166" s="439">
        <f>P167</f>
        <v>1.5444800000000001</v>
      </c>
      <c r="R166" s="439">
        <f>R167</f>
        <v>0</v>
      </c>
      <c r="T166" s="440">
        <f>T167</f>
        <v>0</v>
      </c>
      <c r="AR166" s="435" t="s">
        <v>108</v>
      </c>
      <c r="AT166" s="441" t="s">
        <v>216</v>
      </c>
      <c r="AU166" s="441" t="s">
        <v>165</v>
      </c>
      <c r="AY166" s="435" t="s">
        <v>217</v>
      </c>
      <c r="BK166" s="442">
        <f>BK167</f>
        <v>0</v>
      </c>
    </row>
    <row r="167" spans="2:65" s="365" customFormat="1" ht="24.2" customHeight="1" x14ac:dyDescent="0.25">
      <c r="B167" s="364"/>
      <c r="C167" s="445">
        <v>33</v>
      </c>
      <c r="D167" s="445" t="s">
        <v>218</v>
      </c>
      <c r="E167" s="446" t="s">
        <v>665</v>
      </c>
      <c r="F167" s="447" t="s">
        <v>936</v>
      </c>
      <c r="G167" s="448" t="s">
        <v>112</v>
      </c>
      <c r="H167" s="449">
        <v>38.612000000000002</v>
      </c>
      <c r="I167" s="329">
        <v>0</v>
      </c>
      <c r="J167" s="450">
        <f>ROUND(I167*H167,2)</f>
        <v>0</v>
      </c>
      <c r="K167" s="451"/>
      <c r="L167" s="364"/>
      <c r="M167" s="468" t="s">
        <v>171</v>
      </c>
      <c r="N167" s="469" t="s">
        <v>185</v>
      </c>
      <c r="O167" s="470">
        <v>0.04</v>
      </c>
      <c r="P167" s="470">
        <f>O167*H167</f>
        <v>1.5444800000000001</v>
      </c>
      <c r="Q167" s="470">
        <v>0</v>
      </c>
      <c r="R167" s="470">
        <f>Q167*H167</f>
        <v>0</v>
      </c>
      <c r="S167" s="470">
        <v>0</v>
      </c>
      <c r="T167" s="471">
        <f>S167*H167</f>
        <v>0</v>
      </c>
      <c r="AR167" s="455" t="s">
        <v>228</v>
      </c>
      <c r="AT167" s="455" t="s">
        <v>218</v>
      </c>
      <c r="AU167" s="455" t="s">
        <v>109</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228</v>
      </c>
      <c r="BM167" s="455" t="s">
        <v>667</v>
      </c>
    </row>
    <row r="168" spans="2:65" s="365" customFormat="1" ht="6.95" customHeight="1" x14ac:dyDescent="0.25">
      <c r="B168" s="397"/>
      <c r="C168" s="398"/>
      <c r="D168" s="398"/>
      <c r="E168" s="398"/>
      <c r="F168" s="398"/>
      <c r="G168" s="398"/>
      <c r="H168" s="398"/>
      <c r="I168" s="398"/>
      <c r="J168" s="398"/>
      <c r="K168" s="398"/>
      <c r="L168" s="364"/>
    </row>
  </sheetData>
  <sheetProtection algorithmName="SHA-512" hashValue="1lvo2rLcxPwyKKu0BTiE9bfw+FCnJogWZTE/wIK1D2lAkt9FB4brhjbg/+vRe4Uh3H6Y+sLzUPRhPSeZP7a7Bw==" saltValue="UD2hhzXl4xNzufNdGBDh9g==" spinCount="100000" sheet="1" objects="1" scenarios="1"/>
  <autoFilter ref="C126:K167" xr:uid="{00000000-0009-0000-0000-00000A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D0864-DE74-49D1-A0EE-CB6FD1583ED0}">
  <sheetPr codeName="Hárok18">
    <pageSetUpPr fitToPage="1"/>
  </sheetPr>
  <dimension ref="B2:BM162"/>
  <sheetViews>
    <sheetView topLeftCell="G129" zoomScale="70" zoomScaleNormal="70" workbookViewId="0">
      <selection activeCell="I131" activeCellId="4" sqref="I160:I161 I154:I157 I149:I152 I140:I146 I131:I138"/>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365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1450</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SUM(BE128:BE161)),  2)</f>
        <v>0</v>
      </c>
      <c r="G35" s="380"/>
      <c r="H35" s="380"/>
      <c r="I35" s="381">
        <v>0.23</v>
      </c>
      <c r="J35" s="379">
        <f>ROUND(((SUM(BE107:BE108) + SUM(BE128:BE161))*I35),  2)</f>
        <v>0</v>
      </c>
      <c r="L35" s="364"/>
    </row>
    <row r="36" spans="2:12" s="365" customFormat="1" ht="14.45" customHeight="1" x14ac:dyDescent="0.25">
      <c r="B36" s="364"/>
      <c r="E36" s="378" t="s">
        <v>185</v>
      </c>
      <c r="F36" s="382">
        <f>ROUND((SUM(BF107:BF108) + SUM(BF128:BF161)),  2)</f>
        <v>0</v>
      </c>
      <c r="I36" s="383">
        <v>0.23</v>
      </c>
      <c r="J36" s="382">
        <f>ROUND(((SUM(BF107:BF108) + SUM(BF128:BF161))*I36),  2)</f>
        <v>0</v>
      </c>
      <c r="L36" s="364"/>
    </row>
    <row r="37" spans="2:12" s="365" customFormat="1" ht="14.45" hidden="1" customHeight="1" x14ac:dyDescent="0.25">
      <c r="B37" s="364"/>
      <c r="E37" s="363" t="s">
        <v>186</v>
      </c>
      <c r="F37" s="382">
        <f>ROUND((SUM(BG107:BG108) + SUM(BG128:BG161)),  2)</f>
        <v>0</v>
      </c>
      <c r="I37" s="383">
        <v>0.23</v>
      </c>
      <c r="J37" s="382">
        <f>0</f>
        <v>0</v>
      </c>
      <c r="L37" s="364"/>
    </row>
    <row r="38" spans="2:12" s="365" customFormat="1" ht="14.45" hidden="1" customHeight="1" x14ac:dyDescent="0.25">
      <c r="B38" s="364"/>
      <c r="E38" s="363" t="s">
        <v>187</v>
      </c>
      <c r="F38" s="382">
        <f>ROUND((SUM(BH107:BH108) + SUM(BH128:BH161)),  2)</f>
        <v>0</v>
      </c>
      <c r="I38" s="383">
        <v>0.23</v>
      </c>
      <c r="J38" s="382">
        <f>0</f>
        <v>0</v>
      </c>
      <c r="L38" s="364"/>
    </row>
    <row r="39" spans="2:12" s="365" customFormat="1" ht="14.45" hidden="1" customHeight="1" x14ac:dyDescent="0.25">
      <c r="B39" s="364"/>
      <c r="E39" s="378" t="s">
        <v>188</v>
      </c>
      <c r="F39" s="379">
        <f>ROUND((SUM(BI107:BI108) + SUM(BI128:BI161)),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104.1 - SO 104.1 Oplotenie - úsek A</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J139</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414</v>
      </c>
      <c r="E101" s="412"/>
      <c r="F101" s="412"/>
      <c r="G101" s="412"/>
      <c r="H101" s="412"/>
      <c r="I101" s="412"/>
      <c r="J101" s="413">
        <f>J148</f>
        <v>0</v>
      </c>
      <c r="L101" s="409"/>
    </row>
    <row r="102" spans="2:14" s="410" customFormat="1" ht="19.899999999999999" customHeight="1" x14ac:dyDescent="0.25">
      <c r="B102" s="409"/>
      <c r="D102" s="411" t="s">
        <v>415</v>
      </c>
      <c r="E102" s="412"/>
      <c r="F102" s="412"/>
      <c r="G102" s="412"/>
      <c r="H102" s="412"/>
      <c r="I102" s="412"/>
      <c r="J102" s="413">
        <f>J153</f>
        <v>0</v>
      </c>
      <c r="L102" s="409"/>
    </row>
    <row r="103" spans="2:14" s="405" customFormat="1" ht="24.95" customHeight="1" x14ac:dyDescent="0.25">
      <c r="B103" s="404"/>
      <c r="D103" s="406" t="s">
        <v>416</v>
      </c>
      <c r="E103" s="407"/>
      <c r="F103" s="407"/>
      <c r="G103" s="407"/>
      <c r="H103" s="407"/>
      <c r="I103" s="407"/>
      <c r="J103" s="408">
        <f>J158</f>
        <v>0</v>
      </c>
      <c r="L103" s="404"/>
    </row>
    <row r="104" spans="2:14" s="410" customFormat="1" ht="19.899999999999999" customHeight="1" x14ac:dyDescent="0.25">
      <c r="B104" s="409"/>
      <c r="D104" s="411" t="s">
        <v>1227</v>
      </c>
      <c r="E104" s="412"/>
      <c r="F104" s="412"/>
      <c r="G104" s="412"/>
      <c r="H104" s="412"/>
      <c r="I104" s="412"/>
      <c r="J104" s="413">
        <f>J159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104.1 - SO 104.1 Oplotenie - úsek A</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P129+P158</f>
        <v>53.599790800000001</v>
      </c>
      <c r="Q128" s="371"/>
      <c r="R128" s="430">
        <f>R129+R158</f>
        <v>0.23609337</v>
      </c>
      <c r="S128" s="371"/>
      <c r="T128" s="431">
        <f>T129+T158</f>
        <v>3.2560000000000002</v>
      </c>
      <c r="AT128" s="357" t="s">
        <v>216</v>
      </c>
      <c r="AU128" s="357" t="s">
        <v>202</v>
      </c>
      <c r="BK128" s="432">
        <f>BK129+BK158</f>
        <v>0</v>
      </c>
    </row>
    <row r="129" spans="2:65" s="434" customFormat="1" ht="25.9" customHeight="1" x14ac:dyDescent="0.2">
      <c r="B129" s="433"/>
      <c r="D129" s="435" t="s">
        <v>216</v>
      </c>
      <c r="E129" s="436" t="s">
        <v>418</v>
      </c>
      <c r="F129" s="436" t="s">
        <v>419</v>
      </c>
      <c r="J129" s="437">
        <f>BK129</f>
        <v>0</v>
      </c>
      <c r="L129" s="433"/>
      <c r="M129" s="438"/>
      <c r="P129" s="439">
        <f>P130+P139+P147+P148+P153</f>
        <v>35.9582908</v>
      </c>
      <c r="R129" s="439">
        <f>R130+R139+R147+R148+R153</f>
        <v>0.23609337</v>
      </c>
      <c r="T129" s="440">
        <f>T130+T139+T147+T148+T153</f>
        <v>2.8600000000000003</v>
      </c>
      <c r="AR129" s="435" t="s">
        <v>109</v>
      </c>
      <c r="AT129" s="441" t="s">
        <v>216</v>
      </c>
      <c r="AU129" s="441" t="s">
        <v>165</v>
      </c>
      <c r="AY129" s="435" t="s">
        <v>217</v>
      </c>
      <c r="BK129" s="442">
        <f>BK130+BK139+BK147+BK148+BK153</f>
        <v>0</v>
      </c>
    </row>
    <row r="130" spans="2:65" s="434" customFormat="1" ht="22.9" customHeight="1" x14ac:dyDescent="0.2">
      <c r="B130" s="433"/>
      <c r="D130" s="435" t="s">
        <v>216</v>
      </c>
      <c r="E130" s="443" t="s">
        <v>109</v>
      </c>
      <c r="F130" s="443" t="s">
        <v>220</v>
      </c>
      <c r="J130" s="444">
        <f>BK130</f>
        <v>0</v>
      </c>
      <c r="L130" s="433"/>
      <c r="M130" s="438"/>
      <c r="P130" s="439">
        <f>SUM(P131:P138)</f>
        <v>4.1025519999999993</v>
      </c>
      <c r="R130" s="439">
        <f>SUM(R131:R138)</f>
        <v>9.0000000000000002E-6</v>
      </c>
      <c r="T130" s="440">
        <f>SUM(T131:T138)</f>
        <v>0</v>
      </c>
      <c r="AR130" s="435" t="s">
        <v>109</v>
      </c>
      <c r="AT130" s="441" t="s">
        <v>216</v>
      </c>
      <c r="AU130" s="441" t="s">
        <v>109</v>
      </c>
      <c r="AY130" s="435" t="s">
        <v>217</v>
      </c>
      <c r="BK130" s="442">
        <f>SUM(BK131:BK138)</f>
        <v>0</v>
      </c>
    </row>
    <row r="131" spans="2:65" s="365" customFormat="1" ht="24.2" customHeight="1" x14ac:dyDescent="0.25">
      <c r="B131" s="364"/>
      <c r="C131" s="445" t="s">
        <v>109</v>
      </c>
      <c r="D131" s="445" t="s">
        <v>218</v>
      </c>
      <c r="E131" s="446" t="s">
        <v>1451</v>
      </c>
      <c r="F131" s="447" t="s">
        <v>1452</v>
      </c>
      <c r="G131" s="448" t="s">
        <v>114</v>
      </c>
      <c r="H131" s="449">
        <v>1.2</v>
      </c>
      <c r="I131" s="329">
        <v>0</v>
      </c>
      <c r="J131" s="450">
        <f t="shared" ref="J131:J138" si="0">ROUND(I131*H131,2)</f>
        <v>0</v>
      </c>
      <c r="K131" s="451"/>
      <c r="L131" s="364"/>
      <c r="M131" s="452" t="s">
        <v>171</v>
      </c>
      <c r="N131" s="415" t="s">
        <v>185</v>
      </c>
      <c r="O131" s="453">
        <v>2.71</v>
      </c>
      <c r="P131" s="453">
        <f t="shared" ref="P131:P138" si="1">O131*H131</f>
        <v>3.2519999999999998</v>
      </c>
      <c r="Q131" s="453">
        <v>0</v>
      </c>
      <c r="R131" s="453">
        <f t="shared" ref="R131:R138" si="2">Q131*H131</f>
        <v>0</v>
      </c>
      <c r="S131" s="453">
        <v>0</v>
      </c>
      <c r="T131" s="454">
        <f t="shared" ref="T131:T138" si="3">S131*H131</f>
        <v>0</v>
      </c>
      <c r="AR131" s="455" t="s">
        <v>110</v>
      </c>
      <c r="AT131" s="455" t="s">
        <v>218</v>
      </c>
      <c r="AU131" s="455" t="s">
        <v>108</v>
      </c>
      <c r="AY131" s="357" t="s">
        <v>217</v>
      </c>
      <c r="BE131" s="456">
        <f t="shared" ref="BE131:BE138" si="4">IF(N131="základná",J131,0)</f>
        <v>0</v>
      </c>
      <c r="BF131" s="456">
        <f t="shared" ref="BF131:BF138" si="5">IF(N131="znížená",J131,0)</f>
        <v>0</v>
      </c>
      <c r="BG131" s="456">
        <f t="shared" ref="BG131:BG138" si="6">IF(N131="zákl. prenesená",J131,0)</f>
        <v>0</v>
      </c>
      <c r="BH131" s="456">
        <f t="shared" ref="BH131:BH138" si="7">IF(N131="zníž. prenesená",J131,0)</f>
        <v>0</v>
      </c>
      <c r="BI131" s="456">
        <f t="shared" ref="BI131:BI138" si="8">IF(N131="nulová",J131,0)</f>
        <v>0</v>
      </c>
      <c r="BJ131" s="357" t="s">
        <v>108</v>
      </c>
      <c r="BK131" s="456">
        <f t="shared" ref="BK131:BK138" si="9">ROUND(I131*H131,2)</f>
        <v>0</v>
      </c>
      <c r="BL131" s="357" t="s">
        <v>110</v>
      </c>
      <c r="BM131" s="455" t="s">
        <v>1453</v>
      </c>
    </row>
    <row r="132" spans="2:65" s="365" customFormat="1" ht="33" customHeight="1" x14ac:dyDescent="0.25">
      <c r="B132" s="364"/>
      <c r="C132" s="445" t="s">
        <v>108</v>
      </c>
      <c r="D132" s="445" t="s">
        <v>218</v>
      </c>
      <c r="E132" s="446" t="s">
        <v>1454</v>
      </c>
      <c r="F132" s="447" t="s">
        <v>1455</v>
      </c>
      <c r="G132" s="448" t="s">
        <v>114</v>
      </c>
      <c r="H132" s="449">
        <v>1.2</v>
      </c>
      <c r="I132" s="329">
        <v>0</v>
      </c>
      <c r="J132" s="450">
        <f t="shared" si="0"/>
        <v>0</v>
      </c>
      <c r="K132" s="451"/>
      <c r="L132" s="364"/>
      <c r="M132" s="452" t="s">
        <v>171</v>
      </c>
      <c r="N132" s="415" t="s">
        <v>185</v>
      </c>
      <c r="O132" s="453">
        <v>0.56999999999999995</v>
      </c>
      <c r="P132" s="453">
        <f t="shared" si="1"/>
        <v>0.68399999999999994</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1456</v>
      </c>
    </row>
    <row r="133" spans="2:65" s="365" customFormat="1" ht="37.9" customHeight="1" x14ac:dyDescent="0.25">
      <c r="B133" s="364"/>
      <c r="C133" s="445" t="s">
        <v>119</v>
      </c>
      <c r="D133" s="445" t="s">
        <v>218</v>
      </c>
      <c r="E133" s="446" t="s">
        <v>712</v>
      </c>
      <c r="F133" s="447" t="s">
        <v>1457</v>
      </c>
      <c r="G133" s="448" t="s">
        <v>114</v>
      </c>
      <c r="H133" s="449">
        <v>0.36</v>
      </c>
      <c r="I133" s="329">
        <v>0</v>
      </c>
      <c r="J133" s="450">
        <f t="shared" si="0"/>
        <v>0</v>
      </c>
      <c r="K133" s="451"/>
      <c r="L133" s="364"/>
      <c r="M133" s="452" t="s">
        <v>171</v>
      </c>
      <c r="N133" s="415" t="s">
        <v>185</v>
      </c>
      <c r="O133" s="453">
        <v>4.8899999999999999E-2</v>
      </c>
      <c r="P133" s="453">
        <f t="shared" si="1"/>
        <v>1.7603999999999998E-2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1458</v>
      </c>
    </row>
    <row r="134" spans="2:65" s="365" customFormat="1" ht="44.25" customHeight="1" x14ac:dyDescent="0.25">
      <c r="B134" s="364"/>
      <c r="C134" s="445" t="s">
        <v>110</v>
      </c>
      <c r="D134" s="445" t="s">
        <v>218</v>
      </c>
      <c r="E134" s="446" t="s">
        <v>714</v>
      </c>
      <c r="F134" s="447" t="s">
        <v>1459</v>
      </c>
      <c r="G134" s="448" t="s">
        <v>114</v>
      </c>
      <c r="H134" s="449">
        <v>7.2</v>
      </c>
      <c r="I134" s="329">
        <v>0</v>
      </c>
      <c r="J134" s="450">
        <f t="shared" si="0"/>
        <v>0</v>
      </c>
      <c r="K134" s="451"/>
      <c r="L134" s="364"/>
      <c r="M134" s="452" t="s">
        <v>171</v>
      </c>
      <c r="N134" s="415" t="s">
        <v>185</v>
      </c>
      <c r="O134" s="453">
        <v>5.3899999999999998E-3</v>
      </c>
      <c r="P134" s="453">
        <f t="shared" si="1"/>
        <v>3.8808000000000002E-2</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1460</v>
      </c>
    </row>
    <row r="135" spans="2:65" s="365" customFormat="1" ht="21.75" customHeight="1" x14ac:dyDescent="0.25">
      <c r="B135" s="364"/>
      <c r="C135" s="445" t="s">
        <v>118</v>
      </c>
      <c r="D135" s="445" t="s">
        <v>218</v>
      </c>
      <c r="E135" s="446" t="s">
        <v>1256</v>
      </c>
      <c r="F135" s="447" t="s">
        <v>1461</v>
      </c>
      <c r="G135" s="448" t="s">
        <v>114</v>
      </c>
      <c r="H135" s="449">
        <v>0.36</v>
      </c>
      <c r="I135" s="329">
        <v>0</v>
      </c>
      <c r="J135" s="450">
        <f t="shared" si="0"/>
        <v>0</v>
      </c>
      <c r="K135" s="451"/>
      <c r="L135" s="364"/>
      <c r="M135" s="452" t="s">
        <v>171</v>
      </c>
      <c r="N135" s="415" t="s">
        <v>185</v>
      </c>
      <c r="O135" s="453">
        <v>8.9999999999999993E-3</v>
      </c>
      <c r="P135" s="453">
        <f t="shared" si="1"/>
        <v>3.2399999999999998E-3</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1462</v>
      </c>
    </row>
    <row r="136" spans="2:65" s="365" customFormat="1" ht="21.75" customHeight="1" x14ac:dyDescent="0.25">
      <c r="B136" s="364"/>
      <c r="C136" s="445" t="s">
        <v>117</v>
      </c>
      <c r="D136" s="445" t="s">
        <v>218</v>
      </c>
      <c r="E136" s="446" t="s">
        <v>444</v>
      </c>
      <c r="F136" s="447" t="s">
        <v>3107</v>
      </c>
      <c r="G136" s="448" t="s">
        <v>112</v>
      </c>
      <c r="H136" s="449">
        <f>Ponuka!S122</f>
        <v>0.66000000000000014</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720</v>
      </c>
    </row>
    <row r="137" spans="2:65" s="365" customFormat="1" ht="24.2" customHeight="1" x14ac:dyDescent="0.25">
      <c r="B137" s="364"/>
      <c r="C137" s="445" t="s">
        <v>116</v>
      </c>
      <c r="D137" s="445" t="s">
        <v>218</v>
      </c>
      <c r="E137" s="446" t="s">
        <v>1463</v>
      </c>
      <c r="F137" s="447" t="s">
        <v>1464</v>
      </c>
      <c r="G137" s="448" t="s">
        <v>111</v>
      </c>
      <c r="H137" s="449">
        <v>5</v>
      </c>
      <c r="I137" s="329">
        <v>0</v>
      </c>
      <c r="J137" s="450">
        <f t="shared" si="0"/>
        <v>0</v>
      </c>
      <c r="K137" s="451"/>
      <c r="L137" s="364"/>
      <c r="M137" s="452" t="s">
        <v>171</v>
      </c>
      <c r="N137" s="415" t="s">
        <v>185</v>
      </c>
      <c r="O137" s="453">
        <v>2.138E-2</v>
      </c>
      <c r="P137" s="453">
        <f t="shared" si="1"/>
        <v>0.1069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1465</v>
      </c>
    </row>
    <row r="138" spans="2:65" s="365" customFormat="1" ht="16.5" customHeight="1" x14ac:dyDescent="0.25">
      <c r="B138" s="364"/>
      <c r="C138" s="457" t="s">
        <v>115</v>
      </c>
      <c r="D138" s="457" t="s">
        <v>259</v>
      </c>
      <c r="E138" s="458" t="s">
        <v>730</v>
      </c>
      <c r="F138" s="459" t="s">
        <v>731</v>
      </c>
      <c r="G138" s="460" t="s">
        <v>536</v>
      </c>
      <c r="H138" s="461">
        <v>8.9999999999999993E-3</v>
      </c>
      <c r="I138" s="330">
        <v>0</v>
      </c>
      <c r="J138" s="462">
        <f t="shared" si="0"/>
        <v>0</v>
      </c>
      <c r="K138" s="463"/>
      <c r="L138" s="464"/>
      <c r="M138" s="465" t="s">
        <v>171</v>
      </c>
      <c r="N138" s="466" t="s">
        <v>185</v>
      </c>
      <c r="O138" s="453">
        <v>0</v>
      </c>
      <c r="P138" s="453">
        <f t="shared" si="1"/>
        <v>0</v>
      </c>
      <c r="Q138" s="453">
        <v>1E-3</v>
      </c>
      <c r="R138" s="453">
        <f t="shared" si="2"/>
        <v>9.0000000000000002E-6</v>
      </c>
      <c r="S138" s="453">
        <v>0</v>
      </c>
      <c r="T138" s="454">
        <f t="shared" si="3"/>
        <v>0</v>
      </c>
      <c r="AR138" s="455" t="s">
        <v>115</v>
      </c>
      <c r="AT138" s="455" t="s">
        <v>259</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1466</v>
      </c>
    </row>
    <row r="139" spans="2:65" s="434" customFormat="1" ht="22.9" customHeight="1" x14ac:dyDescent="0.2">
      <c r="B139" s="433"/>
      <c r="D139" s="435" t="s">
        <v>216</v>
      </c>
      <c r="E139" s="443" t="s">
        <v>108</v>
      </c>
      <c r="F139" s="443" t="s">
        <v>469</v>
      </c>
      <c r="I139" s="467"/>
      <c r="J139" s="444">
        <f>BK139</f>
        <v>0</v>
      </c>
      <c r="L139" s="433"/>
      <c r="M139" s="438"/>
      <c r="P139" s="439">
        <f>SUM(P140:P146)</f>
        <v>24.550978800000003</v>
      </c>
      <c r="R139" s="439">
        <f>SUM(R140:R146)</f>
        <v>0.23608436999999999</v>
      </c>
      <c r="T139" s="440">
        <f>SUM(T140:T146)</f>
        <v>0</v>
      </c>
      <c r="AR139" s="435" t="s">
        <v>109</v>
      </c>
      <c r="AT139" s="441" t="s">
        <v>216</v>
      </c>
      <c r="AU139" s="441" t="s">
        <v>109</v>
      </c>
      <c r="AY139" s="435" t="s">
        <v>217</v>
      </c>
      <c r="BK139" s="442">
        <f>SUM(BK140:BK146)</f>
        <v>0</v>
      </c>
    </row>
    <row r="140" spans="2:65" s="365" customFormat="1" ht="24.2" customHeight="1" x14ac:dyDescent="0.25">
      <c r="B140" s="364"/>
      <c r="C140" s="445" t="s">
        <v>162</v>
      </c>
      <c r="D140" s="445" t="s">
        <v>218</v>
      </c>
      <c r="E140" s="446" t="s">
        <v>1467</v>
      </c>
      <c r="F140" s="447" t="s">
        <v>1468</v>
      </c>
      <c r="G140" s="448" t="s">
        <v>113</v>
      </c>
      <c r="H140" s="449">
        <v>43.72</v>
      </c>
      <c r="I140" s="329">
        <v>0</v>
      </c>
      <c r="J140" s="450">
        <f t="shared" ref="J140:J146" si="10">ROUND(I140*H140,2)</f>
        <v>0</v>
      </c>
      <c r="K140" s="451"/>
      <c r="L140" s="364"/>
      <c r="M140" s="452" t="s">
        <v>171</v>
      </c>
      <c r="N140" s="415" t="s">
        <v>185</v>
      </c>
      <c r="O140" s="453">
        <v>0.41829</v>
      </c>
      <c r="P140" s="453">
        <f t="shared" ref="P140:P146" si="11">O140*H140</f>
        <v>18.2876388</v>
      </c>
      <c r="Q140" s="453">
        <v>0</v>
      </c>
      <c r="R140" s="453">
        <f t="shared" ref="R140:R146" si="12">Q140*H140</f>
        <v>0</v>
      </c>
      <c r="S140" s="453">
        <v>0</v>
      </c>
      <c r="T140" s="454">
        <f t="shared" ref="T140:T146" si="13">S140*H140</f>
        <v>0</v>
      </c>
      <c r="AR140" s="455" t="s">
        <v>110</v>
      </c>
      <c r="AT140" s="455" t="s">
        <v>218</v>
      </c>
      <c r="AU140" s="455" t="s">
        <v>108</v>
      </c>
      <c r="AY140" s="357" t="s">
        <v>217</v>
      </c>
      <c r="BE140" s="456">
        <f t="shared" ref="BE140:BE146" si="14">IF(N140="základná",J140,0)</f>
        <v>0</v>
      </c>
      <c r="BF140" s="456">
        <f t="shared" ref="BF140:BF146" si="15">IF(N140="znížená",J140,0)</f>
        <v>0</v>
      </c>
      <c r="BG140" s="456">
        <f t="shared" ref="BG140:BG146" si="16">IF(N140="zákl. prenesená",J140,0)</f>
        <v>0</v>
      </c>
      <c r="BH140" s="456">
        <f t="shared" ref="BH140:BH146" si="17">IF(N140="zníž. prenesená",J140,0)</f>
        <v>0</v>
      </c>
      <c r="BI140" s="456">
        <f t="shared" ref="BI140:BI146" si="18">IF(N140="nulová",J140,0)</f>
        <v>0</v>
      </c>
      <c r="BJ140" s="357" t="s">
        <v>108</v>
      </c>
      <c r="BK140" s="456">
        <f t="shared" ref="BK140:BK146" si="19">ROUND(I140*H140,2)</f>
        <v>0</v>
      </c>
      <c r="BL140" s="357" t="s">
        <v>110</v>
      </c>
      <c r="BM140" s="455" t="s">
        <v>1469</v>
      </c>
    </row>
    <row r="141" spans="2:65" s="365" customFormat="1" ht="37.9" customHeight="1" x14ac:dyDescent="0.25">
      <c r="B141" s="364"/>
      <c r="C141" s="457" t="s">
        <v>221</v>
      </c>
      <c r="D141" s="457" t="s">
        <v>259</v>
      </c>
      <c r="E141" s="458" t="s">
        <v>1470</v>
      </c>
      <c r="F141" s="459" t="s">
        <v>1471</v>
      </c>
      <c r="G141" s="460" t="s">
        <v>123</v>
      </c>
      <c r="H141" s="461">
        <v>2</v>
      </c>
      <c r="I141" s="330">
        <v>0</v>
      </c>
      <c r="J141" s="462">
        <f t="shared" si="10"/>
        <v>0</v>
      </c>
      <c r="K141" s="463"/>
      <c r="L141" s="464"/>
      <c r="M141" s="465" t="s">
        <v>171</v>
      </c>
      <c r="N141" s="466" t="s">
        <v>185</v>
      </c>
      <c r="O141" s="453">
        <v>0</v>
      </c>
      <c r="P141" s="453">
        <f t="shared" si="11"/>
        <v>0</v>
      </c>
      <c r="Q141" s="453">
        <v>3.4000000000000002E-2</v>
      </c>
      <c r="R141" s="453">
        <f t="shared" si="12"/>
        <v>6.8000000000000005E-2</v>
      </c>
      <c r="S141" s="453">
        <v>0</v>
      </c>
      <c r="T141" s="454">
        <f t="shared" si="13"/>
        <v>0</v>
      </c>
      <c r="AR141" s="455" t="s">
        <v>115</v>
      </c>
      <c r="AT141" s="455" t="s">
        <v>259</v>
      </c>
      <c r="AU141" s="455" t="s">
        <v>108</v>
      </c>
      <c r="AY141" s="357" t="s">
        <v>217</v>
      </c>
      <c r="BE141" s="456">
        <f t="shared" si="14"/>
        <v>0</v>
      </c>
      <c r="BF141" s="456">
        <f t="shared" si="15"/>
        <v>0</v>
      </c>
      <c r="BG141" s="456">
        <f t="shared" si="16"/>
        <v>0</v>
      </c>
      <c r="BH141" s="456">
        <f t="shared" si="17"/>
        <v>0</v>
      </c>
      <c r="BI141" s="456">
        <f t="shared" si="18"/>
        <v>0</v>
      </c>
      <c r="BJ141" s="357" t="s">
        <v>108</v>
      </c>
      <c r="BK141" s="456">
        <f t="shared" si="19"/>
        <v>0</v>
      </c>
      <c r="BL141" s="357" t="s">
        <v>110</v>
      </c>
      <c r="BM141" s="455" t="s">
        <v>1472</v>
      </c>
    </row>
    <row r="142" spans="2:65" s="365" customFormat="1" ht="24.2" customHeight="1" x14ac:dyDescent="0.25">
      <c r="B142" s="364"/>
      <c r="C142" s="445" t="s">
        <v>222</v>
      </c>
      <c r="D142" s="445" t="s">
        <v>218</v>
      </c>
      <c r="E142" s="446" t="s">
        <v>1473</v>
      </c>
      <c r="F142" s="447" t="s">
        <v>1474</v>
      </c>
      <c r="G142" s="448" t="s">
        <v>123</v>
      </c>
      <c r="H142" s="449">
        <v>17</v>
      </c>
      <c r="I142" s="329">
        <v>0</v>
      </c>
      <c r="J142" s="450">
        <f t="shared" si="10"/>
        <v>0</v>
      </c>
      <c r="K142" s="451"/>
      <c r="L142" s="364"/>
      <c r="M142" s="452" t="s">
        <v>171</v>
      </c>
      <c r="N142" s="415" t="s">
        <v>185</v>
      </c>
      <c r="O142" s="453">
        <v>0.29830000000000001</v>
      </c>
      <c r="P142" s="453">
        <f t="shared" si="11"/>
        <v>5.0711000000000004</v>
      </c>
      <c r="Q142" s="453">
        <v>4.4577699999999998E-3</v>
      </c>
      <c r="R142" s="453">
        <f t="shared" si="12"/>
        <v>7.5782089999999996E-2</v>
      </c>
      <c r="S142" s="453">
        <v>0</v>
      </c>
      <c r="T142" s="454">
        <f t="shared" si="13"/>
        <v>0</v>
      </c>
      <c r="AR142" s="455" t="s">
        <v>110</v>
      </c>
      <c r="AT142" s="455" t="s">
        <v>218</v>
      </c>
      <c r="AU142" s="455" t="s">
        <v>108</v>
      </c>
      <c r="AY142" s="357" t="s">
        <v>217</v>
      </c>
      <c r="BE142" s="456">
        <f t="shared" si="14"/>
        <v>0</v>
      </c>
      <c r="BF142" s="456">
        <f t="shared" si="15"/>
        <v>0</v>
      </c>
      <c r="BG142" s="456">
        <f t="shared" si="16"/>
        <v>0</v>
      </c>
      <c r="BH142" s="456">
        <f t="shared" si="17"/>
        <v>0</v>
      </c>
      <c r="BI142" s="456">
        <f t="shared" si="18"/>
        <v>0</v>
      </c>
      <c r="BJ142" s="357" t="s">
        <v>108</v>
      </c>
      <c r="BK142" s="456">
        <f t="shared" si="19"/>
        <v>0</v>
      </c>
      <c r="BL142" s="357" t="s">
        <v>110</v>
      </c>
      <c r="BM142" s="455" t="s">
        <v>1475</v>
      </c>
    </row>
    <row r="143" spans="2:65" s="365" customFormat="1" ht="33" customHeight="1" x14ac:dyDescent="0.25">
      <c r="B143" s="364"/>
      <c r="C143" s="457" t="s">
        <v>223</v>
      </c>
      <c r="D143" s="457" t="s">
        <v>259</v>
      </c>
      <c r="E143" s="458" t="s">
        <v>1476</v>
      </c>
      <c r="F143" s="459" t="s">
        <v>1477</v>
      </c>
      <c r="G143" s="460" t="s">
        <v>123</v>
      </c>
      <c r="H143" s="461">
        <v>17</v>
      </c>
      <c r="I143" s="330">
        <v>0</v>
      </c>
      <c r="J143" s="462">
        <f t="shared" si="10"/>
        <v>0</v>
      </c>
      <c r="K143" s="463"/>
      <c r="L143" s="464"/>
      <c r="M143" s="465" t="s">
        <v>171</v>
      </c>
      <c r="N143" s="466" t="s">
        <v>185</v>
      </c>
      <c r="O143" s="453">
        <v>0</v>
      </c>
      <c r="P143" s="453">
        <f t="shared" si="11"/>
        <v>0</v>
      </c>
      <c r="Q143" s="453">
        <v>3.5000000000000001E-3</v>
      </c>
      <c r="R143" s="453">
        <f t="shared" si="12"/>
        <v>5.9500000000000004E-2</v>
      </c>
      <c r="S143" s="453">
        <v>0</v>
      </c>
      <c r="T143" s="454">
        <f t="shared" si="13"/>
        <v>0</v>
      </c>
      <c r="AR143" s="455" t="s">
        <v>115</v>
      </c>
      <c r="AT143" s="455" t="s">
        <v>259</v>
      </c>
      <c r="AU143" s="455" t="s">
        <v>108</v>
      </c>
      <c r="AY143" s="357" t="s">
        <v>217</v>
      </c>
      <c r="BE143" s="456">
        <f t="shared" si="14"/>
        <v>0</v>
      </c>
      <c r="BF143" s="456">
        <f t="shared" si="15"/>
        <v>0</v>
      </c>
      <c r="BG143" s="456">
        <f t="shared" si="16"/>
        <v>0</v>
      </c>
      <c r="BH143" s="456">
        <f t="shared" si="17"/>
        <v>0</v>
      </c>
      <c r="BI143" s="456">
        <f t="shared" si="18"/>
        <v>0</v>
      </c>
      <c r="BJ143" s="357" t="s">
        <v>108</v>
      </c>
      <c r="BK143" s="456">
        <f t="shared" si="19"/>
        <v>0</v>
      </c>
      <c r="BL143" s="357" t="s">
        <v>110</v>
      </c>
      <c r="BM143" s="455" t="s">
        <v>1478</v>
      </c>
    </row>
    <row r="144" spans="2:65" s="365" customFormat="1" ht="16.5" customHeight="1" x14ac:dyDescent="0.25">
      <c r="B144" s="364"/>
      <c r="C144" s="445" t="s">
        <v>225</v>
      </c>
      <c r="D144" s="445" t="s">
        <v>218</v>
      </c>
      <c r="E144" s="446" t="s">
        <v>1479</v>
      </c>
      <c r="F144" s="447" t="s">
        <v>1480</v>
      </c>
      <c r="G144" s="448" t="s">
        <v>123</v>
      </c>
      <c r="H144" s="449">
        <v>4</v>
      </c>
      <c r="I144" s="329">
        <v>0</v>
      </c>
      <c r="J144" s="450">
        <f t="shared" si="10"/>
        <v>0</v>
      </c>
      <c r="K144" s="451"/>
      <c r="L144" s="364"/>
      <c r="M144" s="452" t="s">
        <v>171</v>
      </c>
      <c r="N144" s="415" t="s">
        <v>185</v>
      </c>
      <c r="O144" s="453">
        <v>0.29805999999999999</v>
      </c>
      <c r="P144" s="453">
        <f t="shared" si="11"/>
        <v>1.19224</v>
      </c>
      <c r="Q144" s="453">
        <v>4.4005700000000003E-3</v>
      </c>
      <c r="R144" s="453">
        <f t="shared" si="12"/>
        <v>1.7602280000000001E-2</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1481</v>
      </c>
    </row>
    <row r="145" spans="2:65" s="365" customFormat="1" ht="21.75" customHeight="1" x14ac:dyDescent="0.25">
      <c r="B145" s="364"/>
      <c r="C145" s="457" t="s">
        <v>226</v>
      </c>
      <c r="D145" s="457" t="s">
        <v>259</v>
      </c>
      <c r="E145" s="458" t="s">
        <v>1482</v>
      </c>
      <c r="F145" s="459" t="s">
        <v>1483</v>
      </c>
      <c r="G145" s="460" t="s">
        <v>123</v>
      </c>
      <c r="H145" s="461">
        <v>4</v>
      </c>
      <c r="I145" s="330">
        <v>0</v>
      </c>
      <c r="J145" s="462">
        <f t="shared" si="10"/>
        <v>0</v>
      </c>
      <c r="K145" s="463"/>
      <c r="L145" s="464"/>
      <c r="M145" s="465" t="s">
        <v>171</v>
      </c>
      <c r="N145" s="466" t="s">
        <v>185</v>
      </c>
      <c r="O145" s="453">
        <v>0</v>
      </c>
      <c r="P145" s="453">
        <f t="shared" si="11"/>
        <v>0</v>
      </c>
      <c r="Q145" s="453">
        <v>2.3E-3</v>
      </c>
      <c r="R145" s="453">
        <f t="shared" si="12"/>
        <v>9.1999999999999998E-3</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1484</v>
      </c>
    </row>
    <row r="146" spans="2:65" s="365" customFormat="1" ht="16.5" customHeight="1" x14ac:dyDescent="0.25">
      <c r="B146" s="364"/>
      <c r="C146" s="457" t="s">
        <v>227</v>
      </c>
      <c r="D146" s="457" t="s">
        <v>259</v>
      </c>
      <c r="E146" s="458" t="s">
        <v>1485</v>
      </c>
      <c r="F146" s="459" t="s">
        <v>1486</v>
      </c>
      <c r="G146" s="460" t="s">
        <v>123</v>
      </c>
      <c r="H146" s="461">
        <v>3</v>
      </c>
      <c r="I146" s="330">
        <v>0</v>
      </c>
      <c r="J146" s="462">
        <f t="shared" si="10"/>
        <v>0</v>
      </c>
      <c r="K146" s="463"/>
      <c r="L146" s="464"/>
      <c r="M146" s="465" t="s">
        <v>171</v>
      </c>
      <c r="N146" s="466" t="s">
        <v>185</v>
      </c>
      <c r="O146" s="453">
        <v>0</v>
      </c>
      <c r="P146" s="453">
        <f t="shared" si="11"/>
        <v>0</v>
      </c>
      <c r="Q146" s="453">
        <v>2E-3</v>
      </c>
      <c r="R146" s="453">
        <f t="shared" si="12"/>
        <v>6.0000000000000001E-3</v>
      </c>
      <c r="S146" s="453">
        <v>0</v>
      </c>
      <c r="T146" s="454">
        <f t="shared" si="13"/>
        <v>0</v>
      </c>
      <c r="AR146" s="455" t="s">
        <v>115</v>
      </c>
      <c r="AT146" s="455" t="s">
        <v>259</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1487</v>
      </c>
    </row>
    <row r="147" spans="2:65" s="434" customFormat="1" ht="22.9" customHeight="1" x14ac:dyDescent="0.2">
      <c r="B147" s="433"/>
      <c r="D147" s="435" t="s">
        <v>216</v>
      </c>
      <c r="E147" s="443" t="s">
        <v>119</v>
      </c>
      <c r="F147" s="443" t="s">
        <v>541</v>
      </c>
      <c r="I147" s="467"/>
      <c r="J147" s="444">
        <f>BK147</f>
        <v>0</v>
      </c>
      <c r="L147" s="433"/>
      <c r="M147" s="438"/>
      <c r="P147" s="439">
        <v>0</v>
      </c>
      <c r="R147" s="439">
        <v>0</v>
      </c>
      <c r="T147" s="440">
        <v>0</v>
      </c>
      <c r="AR147" s="435" t="s">
        <v>109</v>
      </c>
      <c r="AT147" s="441" t="s">
        <v>216</v>
      </c>
      <c r="AU147" s="441" t="s">
        <v>109</v>
      </c>
      <c r="AY147" s="435" t="s">
        <v>217</v>
      </c>
      <c r="BK147" s="442">
        <v>0</v>
      </c>
    </row>
    <row r="148" spans="2:65" s="434" customFormat="1" ht="22.9" customHeight="1" x14ac:dyDescent="0.2">
      <c r="B148" s="433"/>
      <c r="D148" s="435" t="s">
        <v>216</v>
      </c>
      <c r="E148" s="443" t="s">
        <v>162</v>
      </c>
      <c r="F148" s="443" t="s">
        <v>633</v>
      </c>
      <c r="I148" s="467"/>
      <c r="J148" s="444">
        <f>BK148</f>
        <v>0</v>
      </c>
      <c r="L148" s="433"/>
      <c r="M148" s="438"/>
      <c r="P148" s="439">
        <f>SUM(P149:P152)</f>
        <v>6.66364</v>
      </c>
      <c r="R148" s="439">
        <f>SUM(R149:R152)</f>
        <v>0</v>
      </c>
      <c r="T148" s="440">
        <f>SUM(T149:T152)</f>
        <v>2.8600000000000003</v>
      </c>
      <c r="AR148" s="435" t="s">
        <v>109</v>
      </c>
      <c r="AT148" s="441" t="s">
        <v>216</v>
      </c>
      <c r="AU148" s="441" t="s">
        <v>109</v>
      </c>
      <c r="AY148" s="435" t="s">
        <v>217</v>
      </c>
      <c r="BK148" s="442">
        <f>SUM(BK149:BK152)</f>
        <v>0</v>
      </c>
    </row>
    <row r="149" spans="2:65" s="365" customFormat="1" ht="37.9" customHeight="1" x14ac:dyDescent="0.25">
      <c r="B149" s="364"/>
      <c r="C149" s="445" t="s">
        <v>228</v>
      </c>
      <c r="D149" s="445" t="s">
        <v>218</v>
      </c>
      <c r="E149" s="446" t="s">
        <v>1488</v>
      </c>
      <c r="F149" s="447" t="s">
        <v>1489</v>
      </c>
      <c r="G149" s="448" t="s">
        <v>114</v>
      </c>
      <c r="H149" s="449">
        <v>1.3</v>
      </c>
      <c r="I149" s="329">
        <v>0</v>
      </c>
      <c r="J149" s="450">
        <f>ROUND(I149*H149,2)</f>
        <v>0</v>
      </c>
      <c r="K149" s="451"/>
      <c r="L149" s="364"/>
      <c r="M149" s="452" t="s">
        <v>171</v>
      </c>
      <c r="N149" s="415" t="s">
        <v>185</v>
      </c>
      <c r="O149" s="453">
        <v>5.1219999999999999</v>
      </c>
      <c r="P149" s="453">
        <f>O149*H149</f>
        <v>6.6585999999999999</v>
      </c>
      <c r="Q149" s="453">
        <v>0</v>
      </c>
      <c r="R149" s="453">
        <f>Q149*H149</f>
        <v>0</v>
      </c>
      <c r="S149" s="453">
        <v>2.2000000000000002</v>
      </c>
      <c r="T149" s="454">
        <f>S149*H149</f>
        <v>2.8600000000000003</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1490</v>
      </c>
    </row>
    <row r="150" spans="2:65" s="365" customFormat="1" ht="62.65" customHeight="1" x14ac:dyDescent="0.25">
      <c r="B150" s="364"/>
      <c r="C150" s="445" t="s">
        <v>229</v>
      </c>
      <c r="D150" s="445" t="s">
        <v>218</v>
      </c>
      <c r="E150" s="446" t="s">
        <v>635</v>
      </c>
      <c r="F150" s="447" t="s">
        <v>3108</v>
      </c>
      <c r="G150" s="448" t="s">
        <v>112</v>
      </c>
      <c r="H150" s="449">
        <f>Ponuka!L122</f>
        <v>1.9599999999999997</v>
      </c>
      <c r="I150" s="329">
        <v>0</v>
      </c>
      <c r="J150" s="450">
        <f>ROUND(I150*H150,2)</f>
        <v>0</v>
      </c>
      <c r="K150" s="451"/>
      <c r="L150" s="364"/>
      <c r="M150" s="452" t="s">
        <v>171</v>
      </c>
      <c r="N150" s="415" t="s">
        <v>185</v>
      </c>
      <c r="O150" s="453">
        <v>0</v>
      </c>
      <c r="P150" s="453">
        <f>O150*H150</f>
        <v>0</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1491</v>
      </c>
    </row>
    <row r="151" spans="2:65" s="365" customFormat="1" ht="55.5" customHeight="1" x14ac:dyDescent="0.25">
      <c r="B151" s="364"/>
      <c r="C151" s="445" t="s">
        <v>231</v>
      </c>
      <c r="D151" s="445" t="s">
        <v>218</v>
      </c>
      <c r="E151" s="446" t="s">
        <v>638</v>
      </c>
      <c r="F151" s="447" t="s">
        <v>3109</v>
      </c>
      <c r="G151" s="448" t="s">
        <v>112</v>
      </c>
      <c r="H151" s="449">
        <f>Ponuka!R122</f>
        <v>1.54</v>
      </c>
      <c r="I151" s="329">
        <v>0</v>
      </c>
      <c r="J151" s="450">
        <f>ROUND(I151*H151,2)</f>
        <v>0</v>
      </c>
      <c r="K151" s="451"/>
      <c r="L151" s="364"/>
      <c r="M151" s="452" t="s">
        <v>171</v>
      </c>
      <c r="N151" s="415" t="s">
        <v>185</v>
      </c>
      <c r="O151" s="453">
        <v>0</v>
      </c>
      <c r="P151" s="453">
        <f>O151*H151</f>
        <v>0</v>
      </c>
      <c r="Q151" s="453">
        <v>0</v>
      </c>
      <c r="R151" s="453">
        <f>Q151*H151</f>
        <v>0</v>
      </c>
      <c r="S151" s="453">
        <v>0</v>
      </c>
      <c r="T151" s="454">
        <f>S151*H151</f>
        <v>0</v>
      </c>
      <c r="AR151" s="455" t="s">
        <v>110</v>
      </c>
      <c r="AT151" s="455" t="s">
        <v>218</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1492</v>
      </c>
    </row>
    <row r="152" spans="2:65" s="365" customFormat="1" ht="24.2" customHeight="1" x14ac:dyDescent="0.25">
      <c r="B152" s="364"/>
      <c r="C152" s="445" t="s">
        <v>232</v>
      </c>
      <c r="D152" s="445" t="s">
        <v>218</v>
      </c>
      <c r="E152" s="446" t="s">
        <v>641</v>
      </c>
      <c r="F152" s="447" t="s">
        <v>642</v>
      </c>
      <c r="G152" s="448" t="s">
        <v>112</v>
      </c>
      <c r="H152" s="449">
        <f>Ponuka!M122</f>
        <v>0.84000000000000008</v>
      </c>
      <c r="I152" s="329">
        <v>0</v>
      </c>
      <c r="J152" s="450">
        <f>ROUND(I152*H152,2)</f>
        <v>0</v>
      </c>
      <c r="K152" s="451"/>
      <c r="L152" s="364"/>
      <c r="M152" s="452" t="s">
        <v>171</v>
      </c>
      <c r="N152" s="415" t="s">
        <v>185</v>
      </c>
      <c r="O152" s="453">
        <v>6.0000000000000001E-3</v>
      </c>
      <c r="P152" s="453">
        <f>O152*H152</f>
        <v>5.0400000000000002E-3</v>
      </c>
      <c r="Q152" s="453">
        <v>0</v>
      </c>
      <c r="R152" s="453">
        <f>Q152*H152</f>
        <v>0</v>
      </c>
      <c r="S152" s="453">
        <v>0</v>
      </c>
      <c r="T152" s="454">
        <f>S152*H152</f>
        <v>0</v>
      </c>
      <c r="AR152" s="455" t="s">
        <v>110</v>
      </c>
      <c r="AT152" s="455" t="s">
        <v>218</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1493</v>
      </c>
    </row>
    <row r="153" spans="2:65" s="434" customFormat="1" ht="22.9" customHeight="1" x14ac:dyDescent="0.2">
      <c r="B153" s="433"/>
      <c r="D153" s="435" t="s">
        <v>216</v>
      </c>
      <c r="E153" s="443" t="s">
        <v>649</v>
      </c>
      <c r="F153" s="443" t="s">
        <v>650</v>
      </c>
      <c r="I153" s="467"/>
      <c r="J153" s="444">
        <f>BK153</f>
        <v>0</v>
      </c>
      <c r="L153" s="433"/>
      <c r="M153" s="438"/>
      <c r="P153" s="439">
        <f>SUM(P154:P157)</f>
        <v>0.64112000000000002</v>
      </c>
      <c r="R153" s="439">
        <f>SUM(R154:R157)</f>
        <v>0</v>
      </c>
      <c r="T153" s="440">
        <f>SUM(T154:T157)</f>
        <v>0</v>
      </c>
      <c r="AR153" s="435" t="s">
        <v>109</v>
      </c>
      <c r="AT153" s="441" t="s">
        <v>216</v>
      </c>
      <c r="AU153" s="441" t="s">
        <v>109</v>
      </c>
      <c r="AY153" s="435" t="s">
        <v>217</v>
      </c>
      <c r="BK153" s="442">
        <f>SUM(BK154:BK157)</f>
        <v>0</v>
      </c>
    </row>
    <row r="154" spans="2:65" s="365" customFormat="1" ht="24.2" customHeight="1" x14ac:dyDescent="0.25">
      <c r="B154" s="364"/>
      <c r="C154" s="445" t="s">
        <v>234</v>
      </c>
      <c r="D154" s="445" t="s">
        <v>218</v>
      </c>
      <c r="E154" s="446" t="s">
        <v>652</v>
      </c>
      <c r="F154" s="447" t="s">
        <v>1494</v>
      </c>
      <c r="G154" s="448" t="s">
        <v>112</v>
      </c>
      <c r="H154" s="449">
        <f>H152</f>
        <v>0.84000000000000008</v>
      </c>
      <c r="I154" s="329">
        <v>0</v>
      </c>
      <c r="J154" s="450">
        <f>ROUND(I154*H154,2)</f>
        <v>0</v>
      </c>
      <c r="K154" s="451"/>
      <c r="L154" s="364"/>
      <c r="M154" s="452" t="s">
        <v>171</v>
      </c>
      <c r="N154" s="415" t="s">
        <v>185</v>
      </c>
      <c r="O154" s="453">
        <v>0.59799999999999998</v>
      </c>
      <c r="P154" s="453">
        <f>O154*H154</f>
        <v>0.50231999999999999</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1495</v>
      </c>
    </row>
    <row r="155" spans="2:65" s="365" customFormat="1" ht="24.2" customHeight="1" x14ac:dyDescent="0.25">
      <c r="B155" s="364"/>
      <c r="C155" s="445" t="s">
        <v>235</v>
      </c>
      <c r="D155" s="445" t="s">
        <v>218</v>
      </c>
      <c r="E155" s="446" t="s">
        <v>656</v>
      </c>
      <c r="F155" s="447" t="s">
        <v>1496</v>
      </c>
      <c r="G155" s="448" t="s">
        <v>112</v>
      </c>
      <c r="H155" s="449">
        <f>H154*22</f>
        <v>18.48</v>
      </c>
      <c r="I155" s="329">
        <v>0</v>
      </c>
      <c r="J155" s="450">
        <f>ROUND(I155*H155,2)</f>
        <v>0</v>
      </c>
      <c r="K155" s="451"/>
      <c r="L155" s="364"/>
      <c r="M155" s="452" t="s">
        <v>171</v>
      </c>
      <c r="N155" s="415" t="s">
        <v>185</v>
      </c>
      <c r="O155" s="453">
        <v>7.0000000000000001E-3</v>
      </c>
      <c r="P155" s="453">
        <f>O155*H155</f>
        <v>0.12936</v>
      </c>
      <c r="Q155" s="453">
        <v>0</v>
      </c>
      <c r="R155" s="453">
        <f>Q155*H155</f>
        <v>0</v>
      </c>
      <c r="S155" s="453">
        <v>0</v>
      </c>
      <c r="T155" s="454">
        <f>S155*H155</f>
        <v>0</v>
      </c>
      <c r="AR155" s="455" t="s">
        <v>110</v>
      </c>
      <c r="AT155" s="455" t="s">
        <v>218</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1497</v>
      </c>
    </row>
    <row r="156" spans="2:65" s="365" customFormat="1" ht="21.75" customHeight="1" x14ac:dyDescent="0.25">
      <c r="B156" s="364"/>
      <c r="C156" s="445" t="s">
        <v>236</v>
      </c>
      <c r="D156" s="445" t="s">
        <v>218</v>
      </c>
      <c r="E156" s="446" t="s">
        <v>660</v>
      </c>
      <c r="F156" s="447" t="s">
        <v>3110</v>
      </c>
      <c r="G156" s="448" t="s">
        <v>112</v>
      </c>
      <c r="H156" s="449">
        <f>H154</f>
        <v>0.84000000000000008</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1498</v>
      </c>
    </row>
    <row r="157" spans="2:65" s="365" customFormat="1" ht="16.5" customHeight="1" x14ac:dyDescent="0.25">
      <c r="B157" s="364"/>
      <c r="C157" s="445" t="s">
        <v>237</v>
      </c>
      <c r="D157" s="445" t="s">
        <v>218</v>
      </c>
      <c r="E157" s="446" t="s">
        <v>665</v>
      </c>
      <c r="F157" s="447" t="s">
        <v>1499</v>
      </c>
      <c r="G157" s="448" t="s">
        <v>112</v>
      </c>
      <c r="H157" s="449">
        <v>0.23599999999999999</v>
      </c>
      <c r="I157" s="329">
        <v>0</v>
      </c>
      <c r="J157" s="450">
        <f>ROUND(I157*H157,2)</f>
        <v>0</v>
      </c>
      <c r="K157" s="451"/>
      <c r="L157" s="364"/>
      <c r="M157" s="452" t="s">
        <v>171</v>
      </c>
      <c r="N157" s="415" t="s">
        <v>185</v>
      </c>
      <c r="O157" s="453">
        <v>0.04</v>
      </c>
      <c r="P157" s="453">
        <f>O157*H157</f>
        <v>9.4400000000000005E-3</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937</v>
      </c>
    </row>
    <row r="158" spans="2:65" s="434" customFormat="1" ht="25.9" customHeight="1" x14ac:dyDescent="0.2">
      <c r="B158" s="433"/>
      <c r="D158" s="435" t="s">
        <v>216</v>
      </c>
      <c r="E158" s="436" t="s">
        <v>662</v>
      </c>
      <c r="F158" s="436" t="s">
        <v>663</v>
      </c>
      <c r="I158" s="467"/>
      <c r="J158" s="437">
        <f>BK158</f>
        <v>0</v>
      </c>
      <c r="L158" s="433"/>
      <c r="M158" s="438"/>
      <c r="P158" s="439">
        <f>P159</f>
        <v>17.641500000000001</v>
      </c>
      <c r="R158" s="439">
        <f>R159</f>
        <v>0</v>
      </c>
      <c r="T158" s="440">
        <f>T159</f>
        <v>0.39599999999999996</v>
      </c>
      <c r="AR158" s="435" t="s">
        <v>108</v>
      </c>
      <c r="AT158" s="441" t="s">
        <v>216</v>
      </c>
      <c r="AU158" s="441" t="s">
        <v>165</v>
      </c>
      <c r="AY158" s="435" t="s">
        <v>217</v>
      </c>
      <c r="BK158" s="442">
        <f>BK159</f>
        <v>0</v>
      </c>
    </row>
    <row r="159" spans="2:65" s="434" customFormat="1" ht="22.9" customHeight="1" x14ac:dyDescent="0.2">
      <c r="B159" s="433"/>
      <c r="D159" s="435" t="s">
        <v>216</v>
      </c>
      <c r="E159" s="443" t="s">
        <v>1319</v>
      </c>
      <c r="F159" s="443" t="s">
        <v>1320</v>
      </c>
      <c r="I159" s="467"/>
      <c r="J159" s="444">
        <f>BK159</f>
        <v>0</v>
      </c>
      <c r="L159" s="433"/>
      <c r="M159" s="438"/>
      <c r="P159" s="439">
        <f>SUM(P160:P161)</f>
        <v>17.641500000000001</v>
      </c>
      <c r="R159" s="439">
        <f>SUM(R160:R161)</f>
        <v>0</v>
      </c>
      <c r="T159" s="440">
        <f>SUM(T160:T161)</f>
        <v>0.39599999999999996</v>
      </c>
      <c r="AR159" s="435" t="s">
        <v>108</v>
      </c>
      <c r="AT159" s="441" t="s">
        <v>216</v>
      </c>
      <c r="AU159" s="441" t="s">
        <v>109</v>
      </c>
      <c r="AY159" s="435" t="s">
        <v>217</v>
      </c>
      <c r="BK159" s="442">
        <f>SUM(BK160:BK161)</f>
        <v>0</v>
      </c>
    </row>
    <row r="160" spans="2:65" s="365" customFormat="1" ht="16.5" customHeight="1" x14ac:dyDescent="0.25">
      <c r="B160" s="364"/>
      <c r="C160" s="445" t="s">
        <v>238</v>
      </c>
      <c r="D160" s="445" t="s">
        <v>218</v>
      </c>
      <c r="E160" s="446" t="s">
        <v>1500</v>
      </c>
      <c r="F160" s="447" t="s">
        <v>1501</v>
      </c>
      <c r="G160" s="448" t="s">
        <v>113</v>
      </c>
      <c r="H160" s="449">
        <v>150</v>
      </c>
      <c r="I160" s="329">
        <v>0</v>
      </c>
      <c r="J160" s="450">
        <f>ROUND(I160*H160,2)</f>
        <v>0</v>
      </c>
      <c r="K160" s="451"/>
      <c r="L160" s="364"/>
      <c r="M160" s="452" t="s">
        <v>171</v>
      </c>
      <c r="N160" s="415" t="s">
        <v>185</v>
      </c>
      <c r="O160" s="453">
        <v>3.4009999999999999E-2</v>
      </c>
      <c r="P160" s="453">
        <f>O160*H160</f>
        <v>5.1014999999999997</v>
      </c>
      <c r="Q160" s="453">
        <v>0</v>
      </c>
      <c r="R160" s="453">
        <f>Q160*H160</f>
        <v>0</v>
      </c>
      <c r="S160" s="453">
        <v>0</v>
      </c>
      <c r="T160" s="454">
        <f>S160*H160</f>
        <v>0</v>
      </c>
      <c r="AR160" s="455" t="s">
        <v>228</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228</v>
      </c>
      <c r="BM160" s="455" t="s">
        <v>1502</v>
      </c>
    </row>
    <row r="161" spans="2:65" s="365" customFormat="1" ht="24.2" customHeight="1" x14ac:dyDescent="0.25">
      <c r="B161" s="364"/>
      <c r="C161" s="445" t="s">
        <v>239</v>
      </c>
      <c r="D161" s="445" t="s">
        <v>218</v>
      </c>
      <c r="E161" s="446" t="s">
        <v>1321</v>
      </c>
      <c r="F161" s="447" t="s">
        <v>1503</v>
      </c>
      <c r="G161" s="448" t="s">
        <v>113</v>
      </c>
      <c r="H161" s="449">
        <v>44</v>
      </c>
      <c r="I161" s="329">
        <v>0</v>
      </c>
      <c r="J161" s="450">
        <f>ROUND(I161*H161,2)</f>
        <v>0</v>
      </c>
      <c r="K161" s="451"/>
      <c r="L161" s="364"/>
      <c r="M161" s="468" t="s">
        <v>171</v>
      </c>
      <c r="N161" s="469" t="s">
        <v>185</v>
      </c>
      <c r="O161" s="470">
        <v>0.28499999999999998</v>
      </c>
      <c r="P161" s="470">
        <f>O161*H161</f>
        <v>12.54</v>
      </c>
      <c r="Q161" s="470">
        <v>0</v>
      </c>
      <c r="R161" s="470">
        <f>Q161*H161</f>
        <v>0</v>
      </c>
      <c r="S161" s="470">
        <v>8.9999999999999993E-3</v>
      </c>
      <c r="T161" s="471">
        <f>S161*H161</f>
        <v>0.39599999999999996</v>
      </c>
      <c r="AR161" s="455" t="s">
        <v>228</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228</v>
      </c>
      <c r="BM161" s="455" t="s">
        <v>1504</v>
      </c>
    </row>
    <row r="162" spans="2:65" s="365" customFormat="1" ht="6.95" customHeight="1" x14ac:dyDescent="0.25">
      <c r="B162" s="397"/>
      <c r="C162" s="398"/>
      <c r="D162" s="398"/>
      <c r="E162" s="398"/>
      <c r="F162" s="398"/>
      <c r="G162" s="398"/>
      <c r="H162" s="398"/>
      <c r="I162" s="398"/>
      <c r="J162" s="398"/>
      <c r="K162" s="398"/>
      <c r="L162" s="364"/>
    </row>
  </sheetData>
  <sheetProtection algorithmName="SHA-512" hashValue="KOno+dV3quSLgLsUS8eyPtI81L5vDbsopPD8TmHiFVQjyWOLaXCYGmDNTo8axUAfICeLnFtKib97k1Ro6kfkYQ==" saltValue="ZGGOvxLOmc/Cpq6Fq8ONdQ==" spinCount="100000" sheet="1" objects="1" scenarios="1"/>
  <autoFilter ref="C127:K161" xr:uid="{00000000-0009-0000-0000-00000B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5D79-8B22-41E8-83BD-72BAC7A5E130}">
  <sheetPr codeName="Hárok19">
    <pageSetUpPr fitToPage="1"/>
  </sheetPr>
  <dimension ref="B2:BM179"/>
  <sheetViews>
    <sheetView topLeftCell="A103" workbookViewId="0">
      <selection activeCell="W189" sqref="W189"/>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368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1505</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SUM(BE128:BE178)),  2)</f>
        <v>0</v>
      </c>
      <c r="G35" s="380"/>
      <c r="H35" s="380"/>
      <c r="I35" s="381">
        <v>0.23</v>
      </c>
      <c r="J35" s="379">
        <f>ROUND(((SUM(BE107:BE108) + SUM(BE128:BE178))*I35),  2)</f>
        <v>0</v>
      </c>
      <c r="L35" s="364"/>
    </row>
    <row r="36" spans="2:12" s="365" customFormat="1" ht="14.45" customHeight="1" x14ac:dyDescent="0.25">
      <c r="B36" s="364"/>
      <c r="E36" s="378" t="s">
        <v>185</v>
      </c>
      <c r="F36" s="382">
        <f>ROUND((SUM(BF107:BF108) + SUM(BF128:BF178)),  2)</f>
        <v>0</v>
      </c>
      <c r="I36" s="383">
        <v>0.23</v>
      </c>
      <c r="J36" s="382">
        <f>ROUND(((SUM(BF107:BF108) + SUM(BF128:BF178))*I36),  2)</f>
        <v>0</v>
      </c>
      <c r="L36" s="364"/>
    </row>
    <row r="37" spans="2:12" s="365" customFormat="1" ht="14.45" hidden="1" customHeight="1" x14ac:dyDescent="0.25">
      <c r="B37" s="364"/>
      <c r="E37" s="363" t="s">
        <v>186</v>
      </c>
      <c r="F37" s="382">
        <f>ROUND((SUM(BG107:BG108) + SUM(BG128:BG178)),  2)</f>
        <v>0</v>
      </c>
      <c r="I37" s="383">
        <v>0.23</v>
      </c>
      <c r="J37" s="382">
        <f>0</f>
        <v>0</v>
      </c>
      <c r="L37" s="364"/>
    </row>
    <row r="38" spans="2:12" s="365" customFormat="1" ht="14.45" hidden="1" customHeight="1" x14ac:dyDescent="0.25">
      <c r="B38" s="364"/>
      <c r="E38" s="363" t="s">
        <v>187</v>
      </c>
      <c r="F38" s="382">
        <f>ROUND((SUM(BH107:BH108) + SUM(BH128:BH178)),  2)</f>
        <v>0</v>
      </c>
      <c r="I38" s="383">
        <v>0.23</v>
      </c>
      <c r="J38" s="382">
        <f>0</f>
        <v>0</v>
      </c>
      <c r="L38" s="364"/>
    </row>
    <row r="39" spans="2:12" s="365" customFormat="1" ht="14.45" hidden="1" customHeight="1" x14ac:dyDescent="0.25">
      <c r="B39" s="364"/>
      <c r="E39" s="378" t="s">
        <v>188</v>
      </c>
      <c r="F39" s="379">
        <f>ROUND((SUM(BI107:BI108) + SUM(BI128:BI178)),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104.2 - SO 104.2 Oplotenie - úsek B</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J142</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683</v>
      </c>
      <c r="E101" s="412"/>
      <c r="F101" s="412"/>
      <c r="G101" s="412"/>
      <c r="H101" s="412"/>
      <c r="I101" s="412"/>
      <c r="J101" s="413">
        <f>J164</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J171</f>
        <v>0</v>
      </c>
      <c r="L103" s="409"/>
    </row>
    <row r="104" spans="2:14" s="405" customFormat="1" ht="24.95" customHeight="1" x14ac:dyDescent="0.25">
      <c r="B104" s="404"/>
      <c r="D104" s="406" t="s">
        <v>416</v>
      </c>
      <c r="E104" s="407"/>
      <c r="F104" s="407"/>
      <c r="G104" s="407"/>
      <c r="H104" s="407"/>
      <c r="I104" s="407"/>
      <c r="J104" s="408">
        <f>J177</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104.2 - SO 104.2 Oplotenie - úsek B</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P129+P177</f>
        <v>3511.7389839999996</v>
      </c>
      <c r="Q128" s="371"/>
      <c r="R128" s="430">
        <f>R129+R177</f>
        <v>716.16624346599997</v>
      </c>
      <c r="S128" s="371"/>
      <c r="T128" s="431">
        <f>T129+T177</f>
        <v>506.46599999999995</v>
      </c>
      <c r="AT128" s="357" t="s">
        <v>216</v>
      </c>
      <c r="AU128" s="357" t="s">
        <v>202</v>
      </c>
      <c r="BK128" s="432">
        <f>BK129+BK177</f>
        <v>0</v>
      </c>
    </row>
    <row r="129" spans="2:65" s="434" customFormat="1" ht="25.9" customHeight="1" x14ac:dyDescent="0.2">
      <c r="B129" s="433"/>
      <c r="D129" s="435" t="s">
        <v>216</v>
      </c>
      <c r="E129" s="436" t="s">
        <v>418</v>
      </c>
      <c r="F129" s="436" t="s">
        <v>419</v>
      </c>
      <c r="J129" s="437">
        <f>BK129</f>
        <v>0</v>
      </c>
      <c r="L129" s="433"/>
      <c r="M129" s="438"/>
      <c r="P129" s="439">
        <f>P130+P142+P150+P164+P165+P171</f>
        <v>3483.0923439999997</v>
      </c>
      <c r="R129" s="439">
        <f>R130+R142+R150+R164+R165+R171</f>
        <v>716.16624346599997</v>
      </c>
      <c r="T129" s="440">
        <f>T130+T142+T150+T164+T165+T171</f>
        <v>506.46599999999995</v>
      </c>
      <c r="AR129" s="435" t="s">
        <v>109</v>
      </c>
      <c r="AT129" s="441" t="s">
        <v>216</v>
      </c>
      <c r="AU129" s="441" t="s">
        <v>165</v>
      </c>
      <c r="AY129" s="435" t="s">
        <v>217</v>
      </c>
      <c r="BK129" s="442">
        <f>BK130+BK142+BK150+BK164+BK165+BK171</f>
        <v>0</v>
      </c>
    </row>
    <row r="130" spans="2:65" s="434" customFormat="1" ht="22.9" customHeight="1" x14ac:dyDescent="0.2">
      <c r="B130" s="433"/>
      <c r="D130" s="435" t="s">
        <v>216</v>
      </c>
      <c r="E130" s="443" t="s">
        <v>109</v>
      </c>
      <c r="F130" s="443" t="s">
        <v>220</v>
      </c>
      <c r="J130" s="444">
        <f>BK130</f>
        <v>0</v>
      </c>
      <c r="L130" s="433"/>
      <c r="M130" s="438"/>
      <c r="P130" s="439">
        <f>SUM(P131:P141)</f>
        <v>145.522244</v>
      </c>
      <c r="R130" s="439">
        <f>SUM(R131:R141)</f>
        <v>0</v>
      </c>
      <c r="T130" s="440">
        <f>SUM(T131:T141)</f>
        <v>0</v>
      </c>
      <c r="AR130" s="435" t="s">
        <v>109</v>
      </c>
      <c r="AT130" s="441" t="s">
        <v>216</v>
      </c>
      <c r="AU130" s="441" t="s">
        <v>109</v>
      </c>
      <c r="AY130" s="435" t="s">
        <v>217</v>
      </c>
      <c r="BK130" s="442">
        <f>SUM(BK131:BK141)</f>
        <v>0</v>
      </c>
    </row>
    <row r="131" spans="2:65" s="365" customFormat="1" ht="37.9" customHeight="1" x14ac:dyDescent="0.25">
      <c r="B131" s="364"/>
      <c r="C131" s="445" t="s">
        <v>109</v>
      </c>
      <c r="D131" s="445" t="s">
        <v>218</v>
      </c>
      <c r="E131" s="446" t="s">
        <v>420</v>
      </c>
      <c r="F131" s="447" t="s">
        <v>421</v>
      </c>
      <c r="G131" s="448" t="s">
        <v>111</v>
      </c>
      <c r="H131" s="449">
        <v>565</v>
      </c>
      <c r="I131" s="329">
        <v>0</v>
      </c>
      <c r="J131" s="450">
        <f t="shared" ref="J131:J141" si="0">ROUND(I131*H131,2)</f>
        <v>0</v>
      </c>
      <c r="K131" s="451"/>
      <c r="L131" s="364"/>
      <c r="M131" s="452" t="s">
        <v>171</v>
      </c>
      <c r="N131" s="415" t="s">
        <v>185</v>
      </c>
      <c r="O131" s="453">
        <v>5.2500000000000003E-3</v>
      </c>
      <c r="P131" s="453">
        <f t="shared" ref="P131:P141" si="1">O131*H131</f>
        <v>2.9662500000000001</v>
      </c>
      <c r="Q131" s="453">
        <v>0</v>
      </c>
      <c r="R131" s="453">
        <f t="shared" ref="R131:R141" si="2">Q131*H131</f>
        <v>0</v>
      </c>
      <c r="S131" s="453">
        <v>0</v>
      </c>
      <c r="T131" s="454">
        <f t="shared" ref="T131:T141" si="3">S131*H131</f>
        <v>0</v>
      </c>
      <c r="AR131" s="455" t="s">
        <v>110</v>
      </c>
      <c r="AT131" s="455" t="s">
        <v>218</v>
      </c>
      <c r="AU131" s="455" t="s">
        <v>108</v>
      </c>
      <c r="AY131" s="357" t="s">
        <v>217</v>
      </c>
      <c r="BE131" s="456">
        <f t="shared" ref="BE131:BE141" si="4">IF(N131="základná",J131,0)</f>
        <v>0</v>
      </c>
      <c r="BF131" s="456">
        <f t="shared" ref="BF131:BF141" si="5">IF(N131="znížená",J131,0)</f>
        <v>0</v>
      </c>
      <c r="BG131" s="456">
        <f t="shared" ref="BG131:BG141" si="6">IF(N131="zákl. prenesená",J131,0)</f>
        <v>0</v>
      </c>
      <c r="BH131" s="456">
        <f t="shared" ref="BH131:BH141" si="7">IF(N131="zníž. prenesená",J131,0)</f>
        <v>0</v>
      </c>
      <c r="BI131" s="456">
        <f t="shared" ref="BI131:BI141" si="8">IF(N131="nulová",J131,0)</f>
        <v>0</v>
      </c>
      <c r="BJ131" s="357" t="s">
        <v>108</v>
      </c>
      <c r="BK131" s="456">
        <f t="shared" ref="BK131:BK141"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84.75</v>
      </c>
      <c r="I132" s="329">
        <v>0</v>
      </c>
      <c r="J132" s="450">
        <f t="shared" si="0"/>
        <v>0</v>
      </c>
      <c r="K132" s="451"/>
      <c r="L132" s="364"/>
      <c r="M132" s="452" t="s">
        <v>171</v>
      </c>
      <c r="N132" s="415" t="s">
        <v>185</v>
      </c>
      <c r="O132" s="453">
        <v>0.16300000000000001</v>
      </c>
      <c r="P132" s="453">
        <f t="shared" si="1"/>
        <v>13.814250000000001</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565</v>
      </c>
      <c r="I133" s="329">
        <v>0</v>
      </c>
      <c r="J133" s="450">
        <f t="shared" si="0"/>
        <v>0</v>
      </c>
      <c r="K133" s="451"/>
      <c r="L133" s="364"/>
      <c r="M133" s="452" t="s">
        <v>171</v>
      </c>
      <c r="N133" s="415" t="s">
        <v>185</v>
      </c>
      <c r="O133" s="453">
        <v>6.6000000000000003E-2</v>
      </c>
      <c r="P133" s="453">
        <f t="shared" si="1"/>
        <v>37.29</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203.03</v>
      </c>
      <c r="I134" s="329">
        <v>0</v>
      </c>
      <c r="J134" s="450">
        <f t="shared" si="0"/>
        <v>0</v>
      </c>
      <c r="K134" s="451"/>
      <c r="L134" s="364"/>
      <c r="M134" s="452" t="s">
        <v>171</v>
      </c>
      <c r="N134" s="415" t="s">
        <v>185</v>
      </c>
      <c r="O134" s="453">
        <v>0.15</v>
      </c>
      <c r="P134" s="453">
        <f t="shared" si="1"/>
        <v>30.454499999999999</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203.03</v>
      </c>
      <c r="I135" s="329">
        <v>0</v>
      </c>
      <c r="J135" s="450">
        <f t="shared" si="0"/>
        <v>0</v>
      </c>
      <c r="K135" s="451"/>
      <c r="L135" s="364"/>
      <c r="M135" s="452" t="s">
        <v>171</v>
      </c>
      <c r="N135" s="415" t="s">
        <v>185</v>
      </c>
      <c r="O135" s="453">
        <v>7.6999999999999999E-2</v>
      </c>
      <c r="P135" s="453">
        <f t="shared" si="1"/>
        <v>15.63331</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37.9" customHeight="1" x14ac:dyDescent="0.25">
      <c r="B136" s="364"/>
      <c r="C136" s="445" t="s">
        <v>117</v>
      </c>
      <c r="D136" s="445" t="s">
        <v>218</v>
      </c>
      <c r="E136" s="446" t="s">
        <v>446</v>
      </c>
      <c r="F136" s="447" t="s">
        <v>447</v>
      </c>
      <c r="G136" s="448" t="s">
        <v>114</v>
      </c>
      <c r="H136" s="449">
        <v>156.33000000000001</v>
      </c>
      <c r="I136" s="329">
        <v>0</v>
      </c>
      <c r="J136" s="450">
        <f t="shared" si="0"/>
        <v>0</v>
      </c>
      <c r="K136" s="451"/>
      <c r="L136" s="364"/>
      <c r="M136" s="452" t="s">
        <v>171</v>
      </c>
      <c r="N136" s="415" t="s">
        <v>185</v>
      </c>
      <c r="O136" s="453">
        <v>0.22900000000000001</v>
      </c>
      <c r="P136" s="453">
        <f t="shared" si="1"/>
        <v>35.799570000000003</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448</v>
      </c>
    </row>
    <row r="137" spans="2:65" s="365" customFormat="1" ht="21.75" customHeight="1" x14ac:dyDescent="0.25">
      <c r="B137" s="364"/>
      <c r="C137" s="445" t="s">
        <v>116</v>
      </c>
      <c r="D137" s="445" t="s">
        <v>218</v>
      </c>
      <c r="E137" s="446" t="s">
        <v>455</v>
      </c>
      <c r="F137" s="447" t="s">
        <v>230</v>
      </c>
      <c r="G137" s="448" t="s">
        <v>111</v>
      </c>
      <c r="H137" s="449">
        <v>170</v>
      </c>
      <c r="I137" s="329">
        <v>0</v>
      </c>
      <c r="J137" s="450">
        <f t="shared" si="0"/>
        <v>0</v>
      </c>
      <c r="K137" s="451"/>
      <c r="L137" s="364"/>
      <c r="M137" s="452" t="s">
        <v>171</v>
      </c>
      <c r="N137" s="415" t="s">
        <v>185</v>
      </c>
      <c r="O137" s="453">
        <v>1.7000000000000001E-2</v>
      </c>
      <c r="P137" s="453">
        <f t="shared" si="1"/>
        <v>2.89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456</v>
      </c>
    </row>
    <row r="138" spans="2:65" s="365" customFormat="1" ht="16.5" customHeight="1" x14ac:dyDescent="0.25">
      <c r="B138" s="364"/>
      <c r="C138" s="445" t="s">
        <v>115</v>
      </c>
      <c r="D138" s="445" t="s">
        <v>218</v>
      </c>
      <c r="E138" s="446" t="s">
        <v>435</v>
      </c>
      <c r="F138" s="447" t="s">
        <v>1393</v>
      </c>
      <c r="G138" s="448" t="s">
        <v>114</v>
      </c>
      <c r="H138" s="449">
        <v>46.7</v>
      </c>
      <c r="I138" s="329">
        <v>0</v>
      </c>
      <c r="J138" s="450">
        <f t="shared" si="0"/>
        <v>0</v>
      </c>
      <c r="K138" s="451"/>
      <c r="L138" s="364"/>
      <c r="M138" s="452" t="s">
        <v>171</v>
      </c>
      <c r="N138" s="415" t="s">
        <v>185</v>
      </c>
      <c r="O138" s="453">
        <v>8.6999999999999994E-2</v>
      </c>
      <c r="P138" s="453">
        <f t="shared" si="1"/>
        <v>4.0629</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437</v>
      </c>
    </row>
    <row r="139" spans="2:65" s="365" customFormat="1" ht="24.2" customHeight="1" x14ac:dyDescent="0.25">
      <c r="B139" s="364"/>
      <c r="C139" s="445" t="s">
        <v>162</v>
      </c>
      <c r="D139" s="445" t="s">
        <v>218</v>
      </c>
      <c r="E139" s="446" t="s">
        <v>444</v>
      </c>
      <c r="F139" s="447" t="s">
        <v>1506</v>
      </c>
      <c r="G139" s="448" t="s">
        <v>112</v>
      </c>
      <c r="H139" s="449">
        <f>Ponuka!S123</f>
        <v>75.654000000000025</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1394</v>
      </c>
    </row>
    <row r="140" spans="2:65" s="365" customFormat="1" ht="37.9" customHeight="1" x14ac:dyDescent="0.25">
      <c r="B140" s="364"/>
      <c r="C140" s="445" t="s">
        <v>221</v>
      </c>
      <c r="D140" s="445" t="s">
        <v>218</v>
      </c>
      <c r="E140" s="446" t="s">
        <v>1395</v>
      </c>
      <c r="F140" s="447" t="s">
        <v>1507</v>
      </c>
      <c r="G140" s="448" t="s">
        <v>114</v>
      </c>
      <c r="H140" s="449">
        <v>14.01</v>
      </c>
      <c r="I140" s="329">
        <v>0</v>
      </c>
      <c r="J140" s="450">
        <f t="shared" si="0"/>
        <v>0</v>
      </c>
      <c r="K140" s="451"/>
      <c r="L140" s="364"/>
      <c r="M140" s="452" t="s">
        <v>171</v>
      </c>
      <c r="N140" s="415" t="s">
        <v>185</v>
      </c>
      <c r="O140" s="453">
        <v>5.4399999999999997E-2</v>
      </c>
      <c r="P140" s="453">
        <f t="shared" si="1"/>
        <v>0.76214399999999993</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1397</v>
      </c>
    </row>
    <row r="141" spans="2:65" s="365" customFormat="1" ht="49.15" customHeight="1" x14ac:dyDescent="0.25">
      <c r="B141" s="364"/>
      <c r="C141" s="445" t="s">
        <v>222</v>
      </c>
      <c r="D141" s="445" t="s">
        <v>218</v>
      </c>
      <c r="E141" s="446" t="s">
        <v>1398</v>
      </c>
      <c r="F141" s="447" t="s">
        <v>1508</v>
      </c>
      <c r="G141" s="448" t="s">
        <v>114</v>
      </c>
      <c r="H141" s="449">
        <v>308.22000000000003</v>
      </c>
      <c r="I141" s="329">
        <v>0</v>
      </c>
      <c r="J141" s="450">
        <f t="shared" si="0"/>
        <v>0</v>
      </c>
      <c r="K141" s="451"/>
      <c r="L141" s="364"/>
      <c r="M141" s="452" t="s">
        <v>171</v>
      </c>
      <c r="N141" s="415" t="s">
        <v>185</v>
      </c>
      <c r="O141" s="453">
        <v>6.0000000000000001E-3</v>
      </c>
      <c r="P141" s="453">
        <f t="shared" si="1"/>
        <v>1.8493200000000003</v>
      </c>
      <c r="Q141" s="453">
        <v>0</v>
      </c>
      <c r="R141" s="453">
        <f t="shared" si="2"/>
        <v>0</v>
      </c>
      <c r="S141" s="453">
        <v>0</v>
      </c>
      <c r="T141" s="454">
        <f t="shared" si="3"/>
        <v>0</v>
      </c>
      <c r="AR141" s="455" t="s">
        <v>228</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228</v>
      </c>
      <c r="BM141" s="455" t="s">
        <v>1400</v>
      </c>
    </row>
    <row r="142" spans="2:65" s="434" customFormat="1" ht="22.9" customHeight="1" x14ac:dyDescent="0.2">
      <c r="B142" s="433"/>
      <c r="D142" s="435" t="s">
        <v>216</v>
      </c>
      <c r="E142" s="443" t="s">
        <v>108</v>
      </c>
      <c r="F142" s="443" t="s">
        <v>469</v>
      </c>
      <c r="I142" s="331"/>
      <c r="J142" s="444">
        <f>BK142</f>
        <v>0</v>
      </c>
      <c r="L142" s="433"/>
      <c r="M142" s="438"/>
      <c r="P142" s="439">
        <f>SUM(P143:P149)</f>
        <v>1352.7396799999999</v>
      </c>
      <c r="R142" s="439">
        <f>SUM(R143:R149)</f>
        <v>706.32795036599998</v>
      </c>
      <c r="T142" s="440">
        <f>SUM(T143:T149)</f>
        <v>0</v>
      </c>
      <c r="AR142" s="435" t="s">
        <v>109</v>
      </c>
      <c r="AT142" s="441" t="s">
        <v>216</v>
      </c>
      <c r="AU142" s="441" t="s">
        <v>109</v>
      </c>
      <c r="AY142" s="435" t="s">
        <v>217</v>
      </c>
      <c r="BK142" s="442">
        <f>SUM(BK143:BK149)</f>
        <v>0</v>
      </c>
    </row>
    <row r="143" spans="2:65" s="365" customFormat="1" ht="33" customHeight="1" x14ac:dyDescent="0.25">
      <c r="B143" s="364"/>
      <c r="C143" s="445" t="s">
        <v>223</v>
      </c>
      <c r="D143" s="445" t="s">
        <v>218</v>
      </c>
      <c r="E143" s="446" t="s">
        <v>500</v>
      </c>
      <c r="F143" s="447" t="s">
        <v>1509</v>
      </c>
      <c r="G143" s="448" t="s">
        <v>502</v>
      </c>
      <c r="H143" s="449">
        <v>400</v>
      </c>
      <c r="I143" s="329">
        <v>0</v>
      </c>
      <c r="J143" s="450">
        <f t="shared" ref="J143:J149" si="10">ROUND(I143*H143,2)</f>
        <v>0</v>
      </c>
      <c r="K143" s="451"/>
      <c r="L143" s="364"/>
      <c r="M143" s="452" t="s">
        <v>171</v>
      </c>
      <c r="N143" s="415" t="s">
        <v>185</v>
      </c>
      <c r="O143" s="453">
        <v>3.8100000000000002E-2</v>
      </c>
      <c r="P143" s="453">
        <f t="shared" ref="P143:P149" si="11">O143*H143</f>
        <v>15.24</v>
      </c>
      <c r="Q143" s="453">
        <v>2.5910000000000001E-5</v>
      </c>
      <c r="R143" s="453">
        <f t="shared" ref="R143:R149" si="12">Q143*H143</f>
        <v>1.0364E-2</v>
      </c>
      <c r="S143" s="453">
        <v>0</v>
      </c>
      <c r="T143" s="454">
        <f t="shared" ref="T143:T149" si="13">S143*H143</f>
        <v>0</v>
      </c>
      <c r="AR143" s="455" t="s">
        <v>110</v>
      </c>
      <c r="AT143" s="455" t="s">
        <v>218</v>
      </c>
      <c r="AU143" s="455" t="s">
        <v>108</v>
      </c>
      <c r="AY143" s="357" t="s">
        <v>217</v>
      </c>
      <c r="BE143" s="456">
        <f t="shared" ref="BE143:BE149" si="14">IF(N143="základná",J143,0)</f>
        <v>0</v>
      </c>
      <c r="BF143" s="456">
        <f t="shared" ref="BF143:BF149" si="15">IF(N143="znížená",J143,0)</f>
        <v>0</v>
      </c>
      <c r="BG143" s="456">
        <f t="shared" ref="BG143:BG149" si="16">IF(N143="zákl. prenesená",J143,0)</f>
        <v>0</v>
      </c>
      <c r="BH143" s="456">
        <f t="shared" ref="BH143:BH149" si="17">IF(N143="zníž. prenesená",J143,0)</f>
        <v>0</v>
      </c>
      <c r="BI143" s="456">
        <f t="shared" ref="BI143:BI149" si="18">IF(N143="nulová",J143,0)</f>
        <v>0</v>
      </c>
      <c r="BJ143" s="357" t="s">
        <v>108</v>
      </c>
      <c r="BK143" s="456">
        <f t="shared" ref="BK143:BK149" si="19">ROUND(I143*H143,2)</f>
        <v>0</v>
      </c>
      <c r="BL143" s="357" t="s">
        <v>110</v>
      </c>
      <c r="BM143" s="455" t="s">
        <v>503</v>
      </c>
    </row>
    <row r="144" spans="2:65" s="365" customFormat="1" ht="21.75" customHeight="1" x14ac:dyDescent="0.25">
      <c r="B144" s="364"/>
      <c r="C144" s="445" t="s">
        <v>225</v>
      </c>
      <c r="D144" s="445" t="s">
        <v>218</v>
      </c>
      <c r="E144" s="446" t="s">
        <v>507</v>
      </c>
      <c r="F144" s="447" t="s">
        <v>1510</v>
      </c>
      <c r="G144" s="448" t="s">
        <v>114</v>
      </c>
      <c r="H144" s="449">
        <v>277</v>
      </c>
      <c r="I144" s="329">
        <v>0</v>
      </c>
      <c r="J144" s="450">
        <f t="shared" si="10"/>
        <v>0</v>
      </c>
      <c r="K144" s="451"/>
      <c r="L144" s="364"/>
      <c r="M144" s="452" t="s">
        <v>171</v>
      </c>
      <c r="N144" s="415" t="s">
        <v>185</v>
      </c>
      <c r="O144" s="453">
        <v>0.58269000000000004</v>
      </c>
      <c r="P144" s="453">
        <f t="shared" si="11"/>
        <v>161.40513000000001</v>
      </c>
      <c r="Q144" s="453">
        <v>2.3223457000000001</v>
      </c>
      <c r="R144" s="453">
        <f t="shared" si="12"/>
        <v>643.28975890000004</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1407</v>
      </c>
    </row>
    <row r="145" spans="2:65" s="365" customFormat="1" ht="16.5" customHeight="1" x14ac:dyDescent="0.25">
      <c r="B145" s="364"/>
      <c r="C145" s="457" t="s">
        <v>226</v>
      </c>
      <c r="D145" s="457" t="s">
        <v>259</v>
      </c>
      <c r="E145" s="458" t="s">
        <v>545</v>
      </c>
      <c r="F145" s="459" t="s">
        <v>546</v>
      </c>
      <c r="G145" s="460" t="s">
        <v>547</v>
      </c>
      <c r="H145" s="461">
        <v>332</v>
      </c>
      <c r="I145" s="330">
        <v>0</v>
      </c>
      <c r="J145" s="462">
        <f t="shared" si="10"/>
        <v>0</v>
      </c>
      <c r="K145" s="463"/>
      <c r="L145" s="464"/>
      <c r="M145" s="465" t="s">
        <v>171</v>
      </c>
      <c r="N145" s="466" t="s">
        <v>185</v>
      </c>
      <c r="O145" s="453">
        <v>0</v>
      </c>
      <c r="P145" s="453">
        <f t="shared" si="11"/>
        <v>0</v>
      </c>
      <c r="Q145" s="453">
        <v>7.5000000000000002E-4</v>
      </c>
      <c r="R145" s="453">
        <f t="shared" si="12"/>
        <v>0.249</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548</v>
      </c>
    </row>
    <row r="146" spans="2:65" s="365" customFormat="1" ht="24.2" customHeight="1" x14ac:dyDescent="0.25">
      <c r="B146" s="364"/>
      <c r="C146" s="445" t="s">
        <v>227</v>
      </c>
      <c r="D146" s="445" t="s">
        <v>218</v>
      </c>
      <c r="E146" s="446" t="s">
        <v>1511</v>
      </c>
      <c r="F146" s="447" t="s">
        <v>1512</v>
      </c>
      <c r="G146" s="448" t="s">
        <v>114</v>
      </c>
      <c r="H146" s="449">
        <v>17</v>
      </c>
      <c r="I146" s="329">
        <v>0</v>
      </c>
      <c r="J146" s="450">
        <f t="shared" si="10"/>
        <v>0</v>
      </c>
      <c r="K146" s="451"/>
      <c r="L146" s="364"/>
      <c r="M146" s="452" t="s">
        <v>171</v>
      </c>
      <c r="N146" s="415" t="s">
        <v>185</v>
      </c>
      <c r="O146" s="453">
        <v>1.13175</v>
      </c>
      <c r="P146" s="453">
        <f t="shared" si="11"/>
        <v>19.239750000000001</v>
      </c>
      <c r="Q146" s="453">
        <v>2.6640000000000001</v>
      </c>
      <c r="R146" s="453">
        <f t="shared" si="12"/>
        <v>45.288000000000004</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1513</v>
      </c>
    </row>
    <row r="147" spans="2:65" s="365" customFormat="1" ht="21.75" customHeight="1" x14ac:dyDescent="0.25">
      <c r="B147" s="364"/>
      <c r="C147" s="445" t="s">
        <v>228</v>
      </c>
      <c r="D147" s="445" t="s">
        <v>218</v>
      </c>
      <c r="E147" s="446" t="s">
        <v>510</v>
      </c>
      <c r="F147" s="447" t="s">
        <v>511</v>
      </c>
      <c r="G147" s="448" t="s">
        <v>111</v>
      </c>
      <c r="H147" s="449">
        <v>1128</v>
      </c>
      <c r="I147" s="329">
        <v>0</v>
      </c>
      <c r="J147" s="450">
        <f t="shared" si="10"/>
        <v>0</v>
      </c>
      <c r="K147" s="451"/>
      <c r="L147" s="364"/>
      <c r="M147" s="452" t="s">
        <v>171</v>
      </c>
      <c r="N147" s="415" t="s">
        <v>185</v>
      </c>
      <c r="O147" s="453">
        <v>0.35799999999999998</v>
      </c>
      <c r="P147" s="453">
        <f t="shared" si="11"/>
        <v>403.82399999999996</v>
      </c>
      <c r="Q147" s="453">
        <v>1.5947400000000001E-3</v>
      </c>
      <c r="R147" s="453">
        <f t="shared" si="12"/>
        <v>1.7988667200000001</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1409</v>
      </c>
    </row>
    <row r="148" spans="2:65" s="365" customFormat="1" ht="21.75" customHeight="1" x14ac:dyDescent="0.25">
      <c r="B148" s="364"/>
      <c r="C148" s="445" t="s">
        <v>229</v>
      </c>
      <c r="D148" s="445" t="s">
        <v>218</v>
      </c>
      <c r="E148" s="446" t="s">
        <v>513</v>
      </c>
      <c r="F148" s="447" t="s">
        <v>514</v>
      </c>
      <c r="G148" s="448" t="s">
        <v>111</v>
      </c>
      <c r="H148" s="449">
        <v>1128</v>
      </c>
      <c r="I148" s="329">
        <v>0</v>
      </c>
      <c r="J148" s="450">
        <f t="shared" si="10"/>
        <v>0</v>
      </c>
      <c r="K148" s="451"/>
      <c r="L148" s="364"/>
      <c r="M148" s="452" t="s">
        <v>171</v>
      </c>
      <c r="N148" s="415" t="s">
        <v>185</v>
      </c>
      <c r="O148" s="453">
        <v>0.19900000000000001</v>
      </c>
      <c r="P148" s="453">
        <f t="shared" si="11"/>
        <v>224.47200000000001</v>
      </c>
      <c r="Q148" s="453">
        <v>0</v>
      </c>
      <c r="R148" s="453">
        <f t="shared" si="12"/>
        <v>0</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1411</v>
      </c>
    </row>
    <row r="149" spans="2:65" s="365" customFormat="1" ht="16.5" customHeight="1" x14ac:dyDescent="0.25">
      <c r="B149" s="364"/>
      <c r="C149" s="445" t="s">
        <v>231</v>
      </c>
      <c r="D149" s="445" t="s">
        <v>218</v>
      </c>
      <c r="E149" s="446" t="s">
        <v>1412</v>
      </c>
      <c r="F149" s="447" t="s">
        <v>1413</v>
      </c>
      <c r="G149" s="448" t="s">
        <v>112</v>
      </c>
      <c r="H149" s="449">
        <v>15.4</v>
      </c>
      <c r="I149" s="329">
        <v>0</v>
      </c>
      <c r="J149" s="450">
        <f t="shared" si="10"/>
        <v>0</v>
      </c>
      <c r="K149" s="451"/>
      <c r="L149" s="364"/>
      <c r="M149" s="452" t="s">
        <v>171</v>
      </c>
      <c r="N149" s="415" t="s">
        <v>185</v>
      </c>
      <c r="O149" s="453">
        <v>34.322000000000003</v>
      </c>
      <c r="P149" s="453">
        <f t="shared" si="11"/>
        <v>528.55880000000002</v>
      </c>
      <c r="Q149" s="453">
        <v>1.0189584899999999</v>
      </c>
      <c r="R149" s="453">
        <f t="shared" si="12"/>
        <v>15.691960745999999</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1414</v>
      </c>
    </row>
    <row r="150" spans="2:65" s="434" customFormat="1" ht="22.9" customHeight="1" x14ac:dyDescent="0.2">
      <c r="B150" s="433"/>
      <c r="D150" s="435" t="s">
        <v>216</v>
      </c>
      <c r="E150" s="443" t="s">
        <v>119</v>
      </c>
      <c r="F150" s="443" t="s">
        <v>541</v>
      </c>
      <c r="I150" s="331"/>
      <c r="J150" s="444">
        <f>BK150</f>
        <v>0</v>
      </c>
      <c r="L150" s="433"/>
      <c r="M150" s="438"/>
      <c r="P150" s="439">
        <f>SUM(P151:P163)</f>
        <v>420.73093999999992</v>
      </c>
      <c r="R150" s="439">
        <f>SUM(R151:R163)</f>
        <v>9.1517295999999977</v>
      </c>
      <c r="T150" s="440">
        <f>SUM(T151:T163)</f>
        <v>3.6160000000000001</v>
      </c>
      <c r="AR150" s="435" t="s">
        <v>109</v>
      </c>
      <c r="AT150" s="441" t="s">
        <v>216</v>
      </c>
      <c r="AU150" s="441" t="s">
        <v>109</v>
      </c>
      <c r="AY150" s="435" t="s">
        <v>217</v>
      </c>
      <c r="BK150" s="442">
        <f>SUM(BK151:BK163)</f>
        <v>0</v>
      </c>
    </row>
    <row r="151" spans="2:65" s="365" customFormat="1" ht="24.2" customHeight="1" x14ac:dyDescent="0.25">
      <c r="B151" s="364"/>
      <c r="C151" s="445" t="s">
        <v>232</v>
      </c>
      <c r="D151" s="445" t="s">
        <v>218</v>
      </c>
      <c r="E151" s="446" t="s">
        <v>598</v>
      </c>
      <c r="F151" s="447" t="s">
        <v>599</v>
      </c>
      <c r="G151" s="448" t="s">
        <v>111</v>
      </c>
      <c r="H151" s="449">
        <v>22</v>
      </c>
      <c r="I151" s="329">
        <v>0</v>
      </c>
      <c r="J151" s="450">
        <f t="shared" ref="J151:J163" si="20">ROUND(I151*H151,2)</f>
        <v>0</v>
      </c>
      <c r="K151" s="451"/>
      <c r="L151" s="364"/>
      <c r="M151" s="452" t="s">
        <v>171</v>
      </c>
      <c r="N151" s="415" t="s">
        <v>185</v>
      </c>
      <c r="O151" s="453">
        <v>0.19703000000000001</v>
      </c>
      <c r="P151" s="453">
        <f t="shared" ref="P151:P163" si="21">O151*H151</f>
        <v>4.3346600000000004</v>
      </c>
      <c r="Q151" s="453">
        <v>6.3000000000000003E-4</v>
      </c>
      <c r="R151" s="453">
        <f t="shared" ref="R151:R163" si="22">Q151*H151</f>
        <v>1.3860000000000001E-2</v>
      </c>
      <c r="S151" s="453">
        <v>0</v>
      </c>
      <c r="T151" s="454">
        <f t="shared" ref="T151:T163" si="23">S151*H151</f>
        <v>0</v>
      </c>
      <c r="AR151" s="455" t="s">
        <v>110</v>
      </c>
      <c r="AT151" s="455" t="s">
        <v>218</v>
      </c>
      <c r="AU151" s="455" t="s">
        <v>108</v>
      </c>
      <c r="AY151" s="357" t="s">
        <v>217</v>
      </c>
      <c r="BE151" s="456">
        <f t="shared" ref="BE151:BE163" si="24">IF(N151="základná",J151,0)</f>
        <v>0</v>
      </c>
      <c r="BF151" s="456">
        <f t="shared" ref="BF151:BF163" si="25">IF(N151="znížená",J151,0)</f>
        <v>0</v>
      </c>
      <c r="BG151" s="456">
        <f t="shared" ref="BG151:BG163" si="26">IF(N151="zákl. prenesená",J151,0)</f>
        <v>0</v>
      </c>
      <c r="BH151" s="456">
        <f t="shared" ref="BH151:BH163" si="27">IF(N151="zníž. prenesená",J151,0)</f>
        <v>0</v>
      </c>
      <c r="BI151" s="456">
        <f t="shared" ref="BI151:BI163" si="28">IF(N151="nulová",J151,0)</f>
        <v>0</v>
      </c>
      <c r="BJ151" s="357" t="s">
        <v>108</v>
      </c>
      <c r="BK151" s="456">
        <f t="shared" ref="BK151:BK163" si="29">ROUND(I151*H151,2)</f>
        <v>0</v>
      </c>
      <c r="BL151" s="357" t="s">
        <v>110</v>
      </c>
      <c r="BM151" s="455" t="s">
        <v>600</v>
      </c>
    </row>
    <row r="152" spans="2:65" s="365" customFormat="1" ht="24.2" customHeight="1" x14ac:dyDescent="0.25">
      <c r="B152" s="364"/>
      <c r="C152" s="445" t="s">
        <v>234</v>
      </c>
      <c r="D152" s="445" t="s">
        <v>218</v>
      </c>
      <c r="E152" s="446" t="s">
        <v>602</v>
      </c>
      <c r="F152" s="447" t="s">
        <v>603</v>
      </c>
      <c r="G152" s="448" t="s">
        <v>113</v>
      </c>
      <c r="H152" s="449">
        <v>72</v>
      </c>
      <c r="I152" s="329">
        <v>0</v>
      </c>
      <c r="J152" s="450">
        <f t="shared" si="20"/>
        <v>0</v>
      </c>
      <c r="K152" s="451"/>
      <c r="L152" s="364"/>
      <c r="M152" s="452" t="s">
        <v>171</v>
      </c>
      <c r="N152" s="415" t="s">
        <v>185</v>
      </c>
      <c r="O152" s="453">
        <v>0.48901</v>
      </c>
      <c r="P152" s="453">
        <f t="shared" si="21"/>
        <v>35.20872</v>
      </c>
      <c r="Q152" s="453">
        <v>2.7999999999999998E-4</v>
      </c>
      <c r="R152" s="453">
        <f t="shared" si="22"/>
        <v>2.0159999999999997E-2</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604</v>
      </c>
    </row>
    <row r="153" spans="2:65" s="365" customFormat="1" ht="24.2" customHeight="1" x14ac:dyDescent="0.25">
      <c r="B153" s="364"/>
      <c r="C153" s="445" t="s">
        <v>235</v>
      </c>
      <c r="D153" s="445" t="s">
        <v>218</v>
      </c>
      <c r="E153" s="446" t="s">
        <v>606</v>
      </c>
      <c r="F153" s="447" t="s">
        <v>607</v>
      </c>
      <c r="G153" s="448" t="s">
        <v>113</v>
      </c>
      <c r="H153" s="449">
        <v>72</v>
      </c>
      <c r="I153" s="329">
        <v>0</v>
      </c>
      <c r="J153" s="450">
        <f t="shared" si="20"/>
        <v>0</v>
      </c>
      <c r="K153" s="451"/>
      <c r="L153" s="364"/>
      <c r="M153" s="452" t="s">
        <v>171</v>
      </c>
      <c r="N153" s="415" t="s">
        <v>185</v>
      </c>
      <c r="O153" s="453">
        <v>0.23601</v>
      </c>
      <c r="P153" s="453">
        <f t="shared" si="21"/>
        <v>16.992719999999998</v>
      </c>
      <c r="Q153" s="453">
        <v>1.818E-4</v>
      </c>
      <c r="R153" s="453">
        <f t="shared" si="22"/>
        <v>1.30896E-2</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608</v>
      </c>
    </row>
    <row r="154" spans="2:65" s="365" customFormat="1" ht="16.5" customHeight="1" x14ac:dyDescent="0.25">
      <c r="B154" s="364"/>
      <c r="C154" s="457" t="s">
        <v>236</v>
      </c>
      <c r="D154" s="457" t="s">
        <v>259</v>
      </c>
      <c r="E154" s="458" t="s">
        <v>626</v>
      </c>
      <c r="F154" s="459" t="s">
        <v>627</v>
      </c>
      <c r="G154" s="460" t="s">
        <v>113</v>
      </c>
      <c r="H154" s="461">
        <v>10</v>
      </c>
      <c r="I154" s="330">
        <v>0</v>
      </c>
      <c r="J154" s="462">
        <f t="shared" si="20"/>
        <v>0</v>
      </c>
      <c r="K154" s="463"/>
      <c r="L154" s="464"/>
      <c r="M154" s="465" t="s">
        <v>171</v>
      </c>
      <c r="N154" s="466" t="s">
        <v>185</v>
      </c>
      <c r="O154" s="453">
        <v>0</v>
      </c>
      <c r="P154" s="453">
        <f t="shared" si="21"/>
        <v>0</v>
      </c>
      <c r="Q154" s="453">
        <v>3.6999999999999999E-4</v>
      </c>
      <c r="R154" s="453">
        <f t="shared" si="22"/>
        <v>3.7000000000000002E-3</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628</v>
      </c>
    </row>
    <row r="155" spans="2:65" s="365" customFormat="1" ht="24.2" customHeight="1" x14ac:dyDescent="0.25">
      <c r="B155" s="364"/>
      <c r="C155" s="445" t="s">
        <v>237</v>
      </c>
      <c r="D155" s="445" t="s">
        <v>218</v>
      </c>
      <c r="E155" s="446" t="s">
        <v>1514</v>
      </c>
      <c r="F155" s="447" t="s">
        <v>1515</v>
      </c>
      <c r="G155" s="448" t="s">
        <v>502</v>
      </c>
      <c r="H155" s="449">
        <v>11300</v>
      </c>
      <c r="I155" s="329">
        <v>0</v>
      </c>
      <c r="J155" s="450">
        <f t="shared" si="20"/>
        <v>0</v>
      </c>
      <c r="K155" s="451"/>
      <c r="L155" s="364"/>
      <c r="M155" s="452" t="s">
        <v>171</v>
      </c>
      <c r="N155" s="415" t="s">
        <v>185</v>
      </c>
      <c r="O155" s="453">
        <v>2.2790000000000001E-2</v>
      </c>
      <c r="P155" s="453">
        <f t="shared" si="21"/>
        <v>257.52699999999999</v>
      </c>
      <c r="Q155" s="453">
        <v>1.5E-5</v>
      </c>
      <c r="R155" s="453">
        <f t="shared" si="22"/>
        <v>0.16950000000000001</v>
      </c>
      <c r="S155" s="453">
        <v>3.2000000000000003E-4</v>
      </c>
      <c r="T155" s="454">
        <f t="shared" si="23"/>
        <v>3.6160000000000001</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1516</v>
      </c>
    </row>
    <row r="156" spans="2:65" s="365" customFormat="1" ht="37.9" customHeight="1" x14ac:dyDescent="0.25">
      <c r="B156" s="364"/>
      <c r="C156" s="445" t="s">
        <v>238</v>
      </c>
      <c r="D156" s="445" t="s">
        <v>218</v>
      </c>
      <c r="E156" s="446" t="s">
        <v>1517</v>
      </c>
      <c r="F156" s="447" t="s">
        <v>1518</v>
      </c>
      <c r="G156" s="448" t="s">
        <v>123</v>
      </c>
      <c r="H156" s="449">
        <v>226</v>
      </c>
      <c r="I156" s="329">
        <v>0</v>
      </c>
      <c r="J156" s="450">
        <f t="shared" si="20"/>
        <v>0</v>
      </c>
      <c r="K156" s="451"/>
      <c r="L156" s="364"/>
      <c r="M156" s="452" t="s">
        <v>171</v>
      </c>
      <c r="N156" s="415" t="s">
        <v>185</v>
      </c>
      <c r="O156" s="453">
        <v>0.35133999999999999</v>
      </c>
      <c r="P156" s="453">
        <f t="shared" si="21"/>
        <v>79.402839999999998</v>
      </c>
      <c r="Q156" s="453">
        <v>6.3E-3</v>
      </c>
      <c r="R156" s="453">
        <f t="shared" si="22"/>
        <v>1.4238</v>
      </c>
      <c r="S156" s="453">
        <v>0</v>
      </c>
      <c r="T156" s="454">
        <f t="shared" si="23"/>
        <v>0</v>
      </c>
      <c r="AR156" s="455" t="s">
        <v>110</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1519</v>
      </c>
    </row>
    <row r="157" spans="2:65" s="365" customFormat="1" ht="24.2" customHeight="1" x14ac:dyDescent="0.25">
      <c r="B157" s="364"/>
      <c r="C157" s="457" t="s">
        <v>239</v>
      </c>
      <c r="D157" s="457" t="s">
        <v>259</v>
      </c>
      <c r="E157" s="458" t="s">
        <v>1520</v>
      </c>
      <c r="F157" s="459" t="s">
        <v>1521</v>
      </c>
      <c r="G157" s="460" t="s">
        <v>123</v>
      </c>
      <c r="H157" s="461">
        <v>226</v>
      </c>
      <c r="I157" s="330">
        <v>0</v>
      </c>
      <c r="J157" s="462">
        <f t="shared" si="20"/>
        <v>0</v>
      </c>
      <c r="K157" s="463"/>
      <c r="L157" s="464"/>
      <c r="M157" s="465" t="s">
        <v>171</v>
      </c>
      <c r="N157" s="466" t="s">
        <v>185</v>
      </c>
      <c r="O157" s="453">
        <v>0</v>
      </c>
      <c r="P157" s="453">
        <f t="shared" si="21"/>
        <v>0</v>
      </c>
      <c r="Q157" s="453">
        <v>9.4000000000000004E-3</v>
      </c>
      <c r="R157" s="453">
        <f t="shared" si="22"/>
        <v>2.1244000000000001</v>
      </c>
      <c r="S157" s="453">
        <v>0</v>
      </c>
      <c r="T157" s="454">
        <f t="shared" si="23"/>
        <v>0</v>
      </c>
      <c r="AR157" s="455" t="s">
        <v>115</v>
      </c>
      <c r="AT157" s="455" t="s">
        <v>259</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1522</v>
      </c>
    </row>
    <row r="158" spans="2:65" s="365" customFormat="1" ht="24.2" customHeight="1" x14ac:dyDescent="0.25">
      <c r="B158" s="364"/>
      <c r="C158" s="445" t="s">
        <v>240</v>
      </c>
      <c r="D158" s="445" t="s">
        <v>218</v>
      </c>
      <c r="E158" s="446" t="s">
        <v>1523</v>
      </c>
      <c r="F158" s="447" t="s">
        <v>1524</v>
      </c>
      <c r="G158" s="448" t="s">
        <v>123</v>
      </c>
      <c r="H158" s="449">
        <v>76</v>
      </c>
      <c r="I158" s="329">
        <v>0</v>
      </c>
      <c r="J158" s="450">
        <f t="shared" si="20"/>
        <v>0</v>
      </c>
      <c r="K158" s="451"/>
      <c r="L158" s="364"/>
      <c r="M158" s="452" t="s">
        <v>171</v>
      </c>
      <c r="N158" s="415" t="s">
        <v>185</v>
      </c>
      <c r="O158" s="453">
        <v>0.35875000000000001</v>
      </c>
      <c r="P158" s="453">
        <f t="shared" si="21"/>
        <v>27.265000000000001</v>
      </c>
      <c r="Q158" s="453">
        <v>6.3E-3</v>
      </c>
      <c r="R158" s="453">
        <f t="shared" si="22"/>
        <v>0.4788</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1525</v>
      </c>
    </row>
    <row r="159" spans="2:65" s="365" customFormat="1" ht="16.5" customHeight="1" x14ac:dyDescent="0.25">
      <c r="B159" s="364"/>
      <c r="C159" s="457" t="s">
        <v>241</v>
      </c>
      <c r="D159" s="457" t="s">
        <v>259</v>
      </c>
      <c r="E159" s="458" t="s">
        <v>1526</v>
      </c>
      <c r="F159" s="459" t="s">
        <v>1527</v>
      </c>
      <c r="G159" s="460" t="s">
        <v>123</v>
      </c>
      <c r="H159" s="461">
        <v>76</v>
      </c>
      <c r="I159" s="330">
        <v>0</v>
      </c>
      <c r="J159" s="462">
        <f t="shared" si="20"/>
        <v>0</v>
      </c>
      <c r="K159" s="463"/>
      <c r="L159" s="464"/>
      <c r="M159" s="465" t="s">
        <v>171</v>
      </c>
      <c r="N159" s="466" t="s">
        <v>185</v>
      </c>
      <c r="O159" s="453">
        <v>0</v>
      </c>
      <c r="P159" s="453">
        <f t="shared" si="21"/>
        <v>0</v>
      </c>
      <c r="Q159" s="453">
        <v>2.47E-3</v>
      </c>
      <c r="R159" s="453">
        <f t="shared" si="22"/>
        <v>0.18772</v>
      </c>
      <c r="S159" s="453">
        <v>0</v>
      </c>
      <c r="T159" s="454">
        <f t="shared" si="23"/>
        <v>0</v>
      </c>
      <c r="AR159" s="455" t="s">
        <v>115</v>
      </c>
      <c r="AT159" s="455" t="s">
        <v>259</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1528</v>
      </c>
    </row>
    <row r="160" spans="2:65" s="365" customFormat="1" ht="24.2" customHeight="1" x14ac:dyDescent="0.25">
      <c r="B160" s="364"/>
      <c r="C160" s="457" t="s">
        <v>242</v>
      </c>
      <c r="D160" s="457" t="s">
        <v>259</v>
      </c>
      <c r="E160" s="458" t="s">
        <v>1529</v>
      </c>
      <c r="F160" s="459" t="s">
        <v>1530</v>
      </c>
      <c r="G160" s="460" t="s">
        <v>123</v>
      </c>
      <c r="H160" s="461">
        <v>226</v>
      </c>
      <c r="I160" s="330">
        <v>0</v>
      </c>
      <c r="J160" s="462">
        <f t="shared" si="20"/>
        <v>0</v>
      </c>
      <c r="K160" s="463"/>
      <c r="L160" s="464"/>
      <c r="M160" s="465" t="s">
        <v>171</v>
      </c>
      <c r="N160" s="466" t="s">
        <v>185</v>
      </c>
      <c r="O160" s="453">
        <v>0</v>
      </c>
      <c r="P160" s="453">
        <f t="shared" si="21"/>
        <v>0</v>
      </c>
      <c r="Q160" s="453">
        <v>1E-3</v>
      </c>
      <c r="R160" s="453">
        <f t="shared" si="22"/>
        <v>0.22600000000000001</v>
      </c>
      <c r="S160" s="453">
        <v>0</v>
      </c>
      <c r="T160" s="454">
        <f t="shared" si="23"/>
        <v>0</v>
      </c>
      <c r="AR160" s="455" t="s">
        <v>115</v>
      </c>
      <c r="AT160" s="455" t="s">
        <v>259</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1531</v>
      </c>
    </row>
    <row r="161" spans="2:65" s="365" customFormat="1" ht="37.9" customHeight="1" x14ac:dyDescent="0.25">
      <c r="B161" s="364"/>
      <c r="C161" s="457" t="s">
        <v>243</v>
      </c>
      <c r="D161" s="457" t="s">
        <v>259</v>
      </c>
      <c r="E161" s="458" t="s">
        <v>1532</v>
      </c>
      <c r="F161" s="459" t="s">
        <v>1533</v>
      </c>
      <c r="G161" s="460" t="s">
        <v>123</v>
      </c>
      <c r="H161" s="461">
        <v>235</v>
      </c>
      <c r="I161" s="330">
        <v>0</v>
      </c>
      <c r="J161" s="462">
        <f t="shared" si="20"/>
        <v>0</v>
      </c>
      <c r="K161" s="463"/>
      <c r="L161" s="464"/>
      <c r="M161" s="465" t="s">
        <v>171</v>
      </c>
      <c r="N161" s="466" t="s">
        <v>185</v>
      </c>
      <c r="O161" s="453">
        <v>0</v>
      </c>
      <c r="P161" s="453">
        <f t="shared" si="21"/>
        <v>0</v>
      </c>
      <c r="Q161" s="453">
        <v>1.84E-2</v>
      </c>
      <c r="R161" s="453">
        <f t="shared" si="22"/>
        <v>4.3239999999999998</v>
      </c>
      <c r="S161" s="453">
        <v>0</v>
      </c>
      <c r="T161" s="454">
        <f t="shared" si="23"/>
        <v>0</v>
      </c>
      <c r="AR161" s="455" t="s">
        <v>115</v>
      </c>
      <c r="AT161" s="455" t="s">
        <v>259</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1534</v>
      </c>
    </row>
    <row r="162" spans="2:65" s="365" customFormat="1" ht="16.5" customHeight="1" x14ac:dyDescent="0.25">
      <c r="B162" s="364"/>
      <c r="C162" s="457" t="s">
        <v>244</v>
      </c>
      <c r="D162" s="457" t="s">
        <v>259</v>
      </c>
      <c r="E162" s="458" t="s">
        <v>1535</v>
      </c>
      <c r="F162" s="459" t="s">
        <v>1536</v>
      </c>
      <c r="G162" s="460" t="s">
        <v>123</v>
      </c>
      <c r="H162" s="461">
        <v>19</v>
      </c>
      <c r="I162" s="330">
        <v>0</v>
      </c>
      <c r="J162" s="462">
        <f t="shared" si="20"/>
        <v>0</v>
      </c>
      <c r="K162" s="463"/>
      <c r="L162" s="464"/>
      <c r="M162" s="465" t="s">
        <v>171</v>
      </c>
      <c r="N162" s="466" t="s">
        <v>185</v>
      </c>
      <c r="O162" s="453">
        <v>0</v>
      </c>
      <c r="P162" s="453">
        <f t="shared" si="21"/>
        <v>0</v>
      </c>
      <c r="Q162" s="453">
        <v>3.3E-3</v>
      </c>
      <c r="R162" s="453">
        <f t="shared" si="22"/>
        <v>6.2700000000000006E-2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1537</v>
      </c>
    </row>
    <row r="163" spans="2:65" s="365" customFormat="1" ht="21.75" customHeight="1" x14ac:dyDescent="0.25">
      <c r="B163" s="364"/>
      <c r="C163" s="457" t="s">
        <v>245</v>
      </c>
      <c r="D163" s="457" t="s">
        <v>259</v>
      </c>
      <c r="E163" s="458" t="s">
        <v>1538</v>
      </c>
      <c r="F163" s="459" t="s">
        <v>1539</v>
      </c>
      <c r="G163" s="460" t="s">
        <v>123</v>
      </c>
      <c r="H163" s="461">
        <v>8</v>
      </c>
      <c r="I163" s="330">
        <v>0</v>
      </c>
      <c r="J163" s="462">
        <f t="shared" si="20"/>
        <v>0</v>
      </c>
      <c r="K163" s="463"/>
      <c r="L163" s="464"/>
      <c r="M163" s="465" t="s">
        <v>171</v>
      </c>
      <c r="N163" s="466" t="s">
        <v>185</v>
      </c>
      <c r="O163" s="453">
        <v>0</v>
      </c>
      <c r="P163" s="453">
        <f t="shared" si="21"/>
        <v>0</v>
      </c>
      <c r="Q163" s="453">
        <v>1.2999999999999999E-2</v>
      </c>
      <c r="R163" s="453">
        <f t="shared" si="22"/>
        <v>0.104</v>
      </c>
      <c r="S163" s="453">
        <v>0</v>
      </c>
      <c r="T163" s="454">
        <f t="shared" si="23"/>
        <v>0</v>
      </c>
      <c r="AR163" s="455" t="s">
        <v>115</v>
      </c>
      <c r="AT163" s="455" t="s">
        <v>259</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1540</v>
      </c>
    </row>
    <row r="164" spans="2:65" s="434" customFormat="1" ht="22.9" customHeight="1" x14ac:dyDescent="0.2">
      <c r="B164" s="433"/>
      <c r="D164" s="435" t="s">
        <v>216</v>
      </c>
      <c r="E164" s="443" t="s">
        <v>118</v>
      </c>
      <c r="F164" s="443" t="s">
        <v>739</v>
      </c>
      <c r="I164" s="331"/>
      <c r="J164" s="444">
        <f>BK164</f>
        <v>0</v>
      </c>
      <c r="L164" s="433"/>
      <c r="M164" s="438"/>
      <c r="P164" s="439">
        <v>0</v>
      </c>
      <c r="R164" s="439">
        <v>0</v>
      </c>
      <c r="T164" s="440">
        <v>0</v>
      </c>
      <c r="AR164" s="435" t="s">
        <v>109</v>
      </c>
      <c r="AT164" s="441" t="s">
        <v>216</v>
      </c>
      <c r="AU164" s="441" t="s">
        <v>109</v>
      </c>
      <c r="AY164" s="435" t="s">
        <v>217</v>
      </c>
      <c r="BK164" s="442">
        <v>0</v>
      </c>
    </row>
    <row r="165" spans="2:65" s="434" customFormat="1" ht="22.9" customHeight="1" x14ac:dyDescent="0.2">
      <c r="B165" s="433"/>
      <c r="D165" s="435" t="s">
        <v>216</v>
      </c>
      <c r="E165" s="443" t="s">
        <v>162</v>
      </c>
      <c r="F165" s="443" t="s">
        <v>633</v>
      </c>
      <c r="I165" s="331"/>
      <c r="J165" s="444">
        <f>BK165</f>
        <v>0</v>
      </c>
      <c r="L165" s="433"/>
      <c r="M165" s="438"/>
      <c r="P165" s="439">
        <f>SUM(P166:P170)</f>
        <v>1449.0886</v>
      </c>
      <c r="R165" s="439">
        <f>SUM(R166:R170)</f>
        <v>0.68656349999999999</v>
      </c>
      <c r="T165" s="440">
        <f>SUM(T166:T170)</f>
        <v>502.84999999999997</v>
      </c>
      <c r="AR165" s="435" t="s">
        <v>109</v>
      </c>
      <c r="AT165" s="441" t="s">
        <v>216</v>
      </c>
      <c r="AU165" s="441" t="s">
        <v>109</v>
      </c>
      <c r="AY165" s="435" t="s">
        <v>217</v>
      </c>
      <c r="BK165" s="442">
        <f>SUM(BK166:BK170)</f>
        <v>0</v>
      </c>
    </row>
    <row r="166" spans="2:65" s="365" customFormat="1" ht="21.75" customHeight="1" x14ac:dyDescent="0.25">
      <c r="B166" s="364"/>
      <c r="C166" s="445" t="s">
        <v>246</v>
      </c>
      <c r="D166" s="445" t="s">
        <v>218</v>
      </c>
      <c r="E166" s="446" t="s">
        <v>1541</v>
      </c>
      <c r="F166" s="447" t="s">
        <v>1542</v>
      </c>
      <c r="G166" s="448" t="s">
        <v>113</v>
      </c>
      <c r="H166" s="449">
        <v>610</v>
      </c>
      <c r="I166" s="329">
        <v>0</v>
      </c>
      <c r="J166" s="450">
        <f>ROUND(I166*H166,2)</f>
        <v>0</v>
      </c>
      <c r="K166" s="451"/>
      <c r="L166" s="364"/>
      <c r="M166" s="452" t="s">
        <v>171</v>
      </c>
      <c r="N166" s="415" t="s">
        <v>185</v>
      </c>
      <c r="O166" s="453">
        <v>0.52</v>
      </c>
      <c r="P166" s="453">
        <f>O166*H166</f>
        <v>317.2</v>
      </c>
      <c r="Q166" s="453">
        <v>0</v>
      </c>
      <c r="R166" s="453">
        <f>Q166*H166</f>
        <v>0</v>
      </c>
      <c r="S166" s="453">
        <v>5.0000000000000001E-3</v>
      </c>
      <c r="T166" s="454">
        <f>S166*H166</f>
        <v>3.0500000000000003</v>
      </c>
      <c r="AR166" s="455" t="s">
        <v>110</v>
      </c>
      <c r="AT166" s="455" t="s">
        <v>218</v>
      </c>
      <c r="AU166" s="455" t="s">
        <v>108</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1543</v>
      </c>
    </row>
    <row r="167" spans="2:65" s="365" customFormat="1" ht="62.65" customHeight="1" x14ac:dyDescent="0.25">
      <c r="B167" s="364"/>
      <c r="C167" s="445" t="s">
        <v>247</v>
      </c>
      <c r="D167" s="445" t="s">
        <v>218</v>
      </c>
      <c r="E167" s="446" t="s">
        <v>635</v>
      </c>
      <c r="F167" s="447" t="s">
        <v>3111</v>
      </c>
      <c r="G167" s="448" t="s">
        <v>112</v>
      </c>
      <c r="H167" s="449">
        <f>Ponuka!L123</f>
        <v>349.86</v>
      </c>
      <c r="I167" s="329">
        <v>0</v>
      </c>
      <c r="J167" s="450">
        <f>ROUND(I167*H167,2)</f>
        <v>0</v>
      </c>
      <c r="K167" s="451"/>
      <c r="L167" s="364"/>
      <c r="M167" s="452" t="s">
        <v>171</v>
      </c>
      <c r="N167" s="415" t="s">
        <v>185</v>
      </c>
      <c r="O167" s="453">
        <v>0</v>
      </c>
      <c r="P167" s="453">
        <f>O167*H167</f>
        <v>0</v>
      </c>
      <c r="Q167" s="453">
        <v>0</v>
      </c>
      <c r="R167" s="453">
        <f>Q167*H167</f>
        <v>0</v>
      </c>
      <c r="S167" s="453">
        <v>0</v>
      </c>
      <c r="T167" s="454">
        <f>S167*H167</f>
        <v>0</v>
      </c>
      <c r="AR167" s="455" t="s">
        <v>110</v>
      </c>
      <c r="AT167" s="455" t="s">
        <v>218</v>
      </c>
      <c r="AU167" s="455" t="s">
        <v>108</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110</v>
      </c>
      <c r="BM167" s="455" t="s">
        <v>1544</v>
      </c>
    </row>
    <row r="168" spans="2:65" s="365" customFormat="1" ht="66.75" customHeight="1" x14ac:dyDescent="0.25">
      <c r="B168" s="364"/>
      <c r="C168" s="445" t="s">
        <v>248</v>
      </c>
      <c r="D168" s="445" t="s">
        <v>218</v>
      </c>
      <c r="E168" s="446" t="s">
        <v>638</v>
      </c>
      <c r="F168" s="447" t="s">
        <v>3112</v>
      </c>
      <c r="G168" s="448" t="s">
        <v>112</v>
      </c>
      <c r="H168" s="449">
        <f>Ponuka!R123</f>
        <v>176.52599999999998</v>
      </c>
      <c r="I168" s="329">
        <v>0</v>
      </c>
      <c r="J168" s="450">
        <f>ROUND(I168*H168,2)</f>
        <v>0</v>
      </c>
      <c r="K168" s="451"/>
      <c r="L168" s="364"/>
      <c r="M168" s="452" t="s">
        <v>171</v>
      </c>
      <c r="N168" s="415" t="s">
        <v>185</v>
      </c>
      <c r="O168" s="453">
        <v>0</v>
      </c>
      <c r="P168" s="453">
        <f>O168*H168</f>
        <v>0</v>
      </c>
      <c r="Q168" s="453">
        <v>0</v>
      </c>
      <c r="R168" s="453">
        <f>Q168*H168</f>
        <v>0</v>
      </c>
      <c r="S168" s="453">
        <v>0</v>
      </c>
      <c r="T168" s="454">
        <f>S168*H168</f>
        <v>0</v>
      </c>
      <c r="AR168" s="455" t="s">
        <v>110</v>
      </c>
      <c r="AT168" s="455" t="s">
        <v>218</v>
      </c>
      <c r="AU168" s="455" t="s">
        <v>108</v>
      </c>
      <c r="AY168" s="357" t="s">
        <v>217</v>
      </c>
      <c r="BE168" s="456">
        <f>IF(N168="základná",J168,0)</f>
        <v>0</v>
      </c>
      <c r="BF168" s="456">
        <f>IF(N168="znížená",J168,0)</f>
        <v>0</v>
      </c>
      <c r="BG168" s="456">
        <f>IF(N168="zákl. prenesená",J168,0)</f>
        <v>0</v>
      </c>
      <c r="BH168" s="456">
        <f>IF(N168="zníž. prenesená",J168,0)</f>
        <v>0</v>
      </c>
      <c r="BI168" s="456">
        <f>IF(N168="nulová",J168,0)</f>
        <v>0</v>
      </c>
      <c r="BJ168" s="357" t="s">
        <v>108</v>
      </c>
      <c r="BK168" s="456">
        <f>ROUND(I168*H168,2)</f>
        <v>0</v>
      </c>
      <c r="BL168" s="357" t="s">
        <v>110</v>
      </c>
      <c r="BM168" s="455" t="s">
        <v>1545</v>
      </c>
    </row>
    <row r="169" spans="2:65" s="365" customFormat="1" ht="24.2" customHeight="1" x14ac:dyDescent="0.25">
      <c r="B169" s="364"/>
      <c r="C169" s="445" t="s">
        <v>249</v>
      </c>
      <c r="D169" s="445" t="s">
        <v>218</v>
      </c>
      <c r="E169" s="446" t="s">
        <v>641</v>
      </c>
      <c r="F169" s="447" t="s">
        <v>642</v>
      </c>
      <c r="G169" s="448" t="s">
        <v>112</v>
      </c>
      <c r="H169" s="449">
        <v>301.2</v>
      </c>
      <c r="I169" s="329">
        <v>0</v>
      </c>
      <c r="J169" s="450">
        <f>ROUND(I169*H169,2)</f>
        <v>0</v>
      </c>
      <c r="K169" s="451"/>
      <c r="L169" s="364"/>
      <c r="M169" s="452" t="s">
        <v>171</v>
      </c>
      <c r="N169" s="415" t="s">
        <v>185</v>
      </c>
      <c r="O169" s="453">
        <v>6.0000000000000001E-3</v>
      </c>
      <c r="P169" s="453">
        <f>O169*H169</f>
        <v>1.8071999999999999</v>
      </c>
      <c r="Q169" s="453">
        <v>0</v>
      </c>
      <c r="R169" s="453">
        <f>Q169*H169</f>
        <v>0</v>
      </c>
      <c r="S169" s="453">
        <v>0</v>
      </c>
      <c r="T169" s="454">
        <f>S169*H169</f>
        <v>0</v>
      </c>
      <c r="AR169" s="455" t="s">
        <v>110</v>
      </c>
      <c r="AT169" s="455" t="s">
        <v>218</v>
      </c>
      <c r="AU169" s="455" t="s">
        <v>108</v>
      </c>
      <c r="AY169" s="357" t="s">
        <v>217</v>
      </c>
      <c r="BE169" s="456">
        <f>IF(N169="základná",J169,0)</f>
        <v>0</v>
      </c>
      <c r="BF169" s="456">
        <f>IF(N169="znížená",J169,0)</f>
        <v>0</v>
      </c>
      <c r="BG169" s="456">
        <f>IF(N169="zákl. prenesená",J169,0)</f>
        <v>0</v>
      </c>
      <c r="BH169" s="456">
        <f>IF(N169="zníž. prenesená",J169,0)</f>
        <v>0</v>
      </c>
      <c r="BI169" s="456">
        <f>IF(N169="nulová",J169,0)</f>
        <v>0</v>
      </c>
      <c r="BJ169" s="357" t="s">
        <v>108</v>
      </c>
      <c r="BK169" s="456">
        <f>ROUND(I169*H169,2)</f>
        <v>0</v>
      </c>
      <c r="BL169" s="357" t="s">
        <v>110</v>
      </c>
      <c r="BM169" s="455" t="s">
        <v>1546</v>
      </c>
    </row>
    <row r="170" spans="2:65" s="365" customFormat="1" ht="24.2" customHeight="1" x14ac:dyDescent="0.25">
      <c r="B170" s="364"/>
      <c r="C170" s="445" t="s">
        <v>251</v>
      </c>
      <c r="D170" s="445" t="s">
        <v>218</v>
      </c>
      <c r="E170" s="446" t="s">
        <v>1442</v>
      </c>
      <c r="F170" s="447" t="s">
        <v>1443</v>
      </c>
      <c r="G170" s="448" t="s">
        <v>114</v>
      </c>
      <c r="H170" s="449">
        <v>210</v>
      </c>
      <c r="I170" s="329">
        <v>0</v>
      </c>
      <c r="J170" s="450">
        <f>ROUND(I170*H170,2)</f>
        <v>0</v>
      </c>
      <c r="K170" s="451"/>
      <c r="L170" s="364"/>
      <c r="M170" s="452" t="s">
        <v>171</v>
      </c>
      <c r="N170" s="415" t="s">
        <v>185</v>
      </c>
      <c r="O170" s="453">
        <v>5.3813399999999998</v>
      </c>
      <c r="P170" s="453">
        <f>O170*H170</f>
        <v>1130.0814</v>
      </c>
      <c r="Q170" s="453">
        <v>3.2693499999999999E-3</v>
      </c>
      <c r="R170" s="453">
        <f>Q170*H170</f>
        <v>0.68656349999999999</v>
      </c>
      <c r="S170" s="453">
        <v>2.38</v>
      </c>
      <c r="T170" s="454">
        <f>S170*H170</f>
        <v>499.79999999999995</v>
      </c>
      <c r="AR170" s="455" t="s">
        <v>110</v>
      </c>
      <c r="AT170" s="455" t="s">
        <v>218</v>
      </c>
      <c r="AU170" s="455" t="s">
        <v>108</v>
      </c>
      <c r="AY170" s="357" t="s">
        <v>217</v>
      </c>
      <c r="BE170" s="456">
        <f>IF(N170="základná",J170,0)</f>
        <v>0</v>
      </c>
      <c r="BF170" s="456">
        <f>IF(N170="znížená",J170,0)</f>
        <v>0</v>
      </c>
      <c r="BG170" s="456">
        <f>IF(N170="zákl. prenesená",J170,0)</f>
        <v>0</v>
      </c>
      <c r="BH170" s="456">
        <f>IF(N170="zníž. prenesená",J170,0)</f>
        <v>0</v>
      </c>
      <c r="BI170" s="456">
        <f>IF(N170="nulová",J170,0)</f>
        <v>0</v>
      </c>
      <c r="BJ170" s="357" t="s">
        <v>108</v>
      </c>
      <c r="BK170" s="456">
        <f>ROUND(I170*H170,2)</f>
        <v>0</v>
      </c>
      <c r="BL170" s="357" t="s">
        <v>110</v>
      </c>
      <c r="BM170" s="455" t="s">
        <v>1444</v>
      </c>
    </row>
    <row r="171" spans="2:65" s="434" customFormat="1" ht="22.9" customHeight="1" x14ac:dyDescent="0.2">
      <c r="B171" s="433"/>
      <c r="D171" s="435" t="s">
        <v>216</v>
      </c>
      <c r="E171" s="443" t="s">
        <v>649</v>
      </c>
      <c r="F171" s="443" t="s">
        <v>650</v>
      </c>
      <c r="I171" s="331"/>
      <c r="J171" s="444">
        <f>BK171</f>
        <v>0</v>
      </c>
      <c r="L171" s="433"/>
      <c r="M171" s="438"/>
      <c r="P171" s="439">
        <f>SUM(P172:P176)</f>
        <v>115.01088</v>
      </c>
      <c r="R171" s="439">
        <f>SUM(R172:R176)</f>
        <v>0</v>
      </c>
      <c r="T171" s="440">
        <f>SUM(T172:T176)</f>
        <v>0</v>
      </c>
      <c r="AR171" s="435" t="s">
        <v>109</v>
      </c>
      <c r="AT171" s="441" t="s">
        <v>216</v>
      </c>
      <c r="AU171" s="441" t="s">
        <v>109</v>
      </c>
      <c r="AY171" s="435" t="s">
        <v>217</v>
      </c>
      <c r="BK171" s="442">
        <f>SUM(BK172:BK176)</f>
        <v>0</v>
      </c>
    </row>
    <row r="172" spans="2:65" s="365" customFormat="1" ht="24.2" customHeight="1" x14ac:dyDescent="0.25">
      <c r="B172" s="364"/>
      <c r="C172" s="445" t="s">
        <v>252</v>
      </c>
      <c r="D172" s="445" t="s">
        <v>218</v>
      </c>
      <c r="E172" s="446" t="s">
        <v>652</v>
      </c>
      <c r="F172" s="447" t="s">
        <v>3113</v>
      </c>
      <c r="G172" s="448" t="s">
        <v>112</v>
      </c>
      <c r="H172" s="449">
        <f>Ponuka!M123</f>
        <v>149.94</v>
      </c>
      <c r="I172" s="329">
        <v>0</v>
      </c>
      <c r="J172" s="450">
        <f>ROUND(I172*H172,2)</f>
        <v>0</v>
      </c>
      <c r="K172" s="451"/>
      <c r="L172" s="364"/>
      <c r="M172" s="452" t="s">
        <v>171</v>
      </c>
      <c r="N172" s="415" t="s">
        <v>185</v>
      </c>
      <c r="O172" s="453">
        <v>0.59799999999999998</v>
      </c>
      <c r="P172" s="453">
        <f>O172*H172</f>
        <v>89.664119999999997</v>
      </c>
      <c r="Q172" s="453">
        <v>0</v>
      </c>
      <c r="R172" s="453">
        <f>Q172*H172</f>
        <v>0</v>
      </c>
      <c r="S172" s="453">
        <v>0</v>
      </c>
      <c r="T172" s="454">
        <f>S172*H172</f>
        <v>0</v>
      </c>
      <c r="AR172" s="455" t="s">
        <v>110</v>
      </c>
      <c r="AT172" s="455" t="s">
        <v>218</v>
      </c>
      <c r="AU172" s="455" t="s">
        <v>108</v>
      </c>
      <c r="AY172" s="357" t="s">
        <v>217</v>
      </c>
      <c r="BE172" s="456">
        <f>IF(N172="základná",J172,0)</f>
        <v>0</v>
      </c>
      <c r="BF172" s="456">
        <f>IF(N172="znížená",J172,0)</f>
        <v>0</v>
      </c>
      <c r="BG172" s="456">
        <f>IF(N172="zákl. prenesená",J172,0)</f>
        <v>0</v>
      </c>
      <c r="BH172" s="456">
        <f>IF(N172="zníž. prenesená",J172,0)</f>
        <v>0</v>
      </c>
      <c r="BI172" s="456">
        <f>IF(N172="nulová",J172,0)</f>
        <v>0</v>
      </c>
      <c r="BJ172" s="357" t="s">
        <v>108</v>
      </c>
      <c r="BK172" s="456">
        <f>ROUND(I172*H172,2)</f>
        <v>0</v>
      </c>
      <c r="BL172" s="357" t="s">
        <v>110</v>
      </c>
      <c r="BM172" s="455" t="s">
        <v>1547</v>
      </c>
    </row>
    <row r="173" spans="2:65" s="365" customFormat="1" ht="24.2" customHeight="1" x14ac:dyDescent="0.25">
      <c r="B173" s="364"/>
      <c r="C173" s="445" t="s">
        <v>253</v>
      </c>
      <c r="D173" s="445" t="s">
        <v>218</v>
      </c>
      <c r="E173" s="446" t="s">
        <v>656</v>
      </c>
      <c r="F173" s="447" t="s">
        <v>3114</v>
      </c>
      <c r="G173" s="448" t="s">
        <v>112</v>
      </c>
      <c r="H173" s="449">
        <f>H172*22</f>
        <v>3298.68</v>
      </c>
      <c r="I173" s="329">
        <v>0</v>
      </c>
      <c r="J173" s="450">
        <f>ROUND(I173*H173,2)</f>
        <v>0</v>
      </c>
      <c r="K173" s="451"/>
      <c r="L173" s="364"/>
      <c r="M173" s="452" t="s">
        <v>171</v>
      </c>
      <c r="N173" s="415" t="s">
        <v>185</v>
      </c>
      <c r="O173" s="453">
        <v>7.0000000000000001E-3</v>
      </c>
      <c r="P173" s="453">
        <f>O173*H173</f>
        <v>23.09076</v>
      </c>
      <c r="Q173" s="453">
        <v>0</v>
      </c>
      <c r="R173" s="453">
        <f>Q173*H173</f>
        <v>0</v>
      </c>
      <c r="S173" s="453">
        <v>0</v>
      </c>
      <c r="T173" s="454">
        <f>S173*H173</f>
        <v>0</v>
      </c>
      <c r="AR173" s="455" t="s">
        <v>110</v>
      </c>
      <c r="AT173" s="455" t="s">
        <v>218</v>
      </c>
      <c r="AU173" s="455" t="s">
        <v>108</v>
      </c>
      <c r="AY173" s="357" t="s">
        <v>217</v>
      </c>
      <c r="BE173" s="456">
        <f>IF(N173="základná",J173,0)</f>
        <v>0</v>
      </c>
      <c r="BF173" s="456">
        <f>IF(N173="znížená",J173,0)</f>
        <v>0</v>
      </c>
      <c r="BG173" s="456">
        <f>IF(N173="zákl. prenesená",J173,0)</f>
        <v>0</v>
      </c>
      <c r="BH173" s="456">
        <f>IF(N173="zníž. prenesená",J173,0)</f>
        <v>0</v>
      </c>
      <c r="BI173" s="456">
        <f>IF(N173="nulová",J173,0)</f>
        <v>0</v>
      </c>
      <c r="BJ173" s="357" t="s">
        <v>108</v>
      </c>
      <c r="BK173" s="456">
        <f>ROUND(I173*H173,2)</f>
        <v>0</v>
      </c>
      <c r="BL173" s="357" t="s">
        <v>110</v>
      </c>
      <c r="BM173" s="455" t="s">
        <v>1548</v>
      </c>
    </row>
    <row r="174" spans="2:65" s="365" customFormat="1" ht="21.75" customHeight="1" x14ac:dyDescent="0.25">
      <c r="B174" s="364"/>
      <c r="C174" s="445" t="s">
        <v>254</v>
      </c>
      <c r="D174" s="445" t="s">
        <v>218</v>
      </c>
      <c r="E174" s="446" t="s">
        <v>660</v>
      </c>
      <c r="F174" s="447" t="s">
        <v>3115</v>
      </c>
      <c r="G174" s="448" t="s">
        <v>112</v>
      </c>
      <c r="H174" s="449">
        <f>H172</f>
        <v>149.94</v>
      </c>
      <c r="I174" s="329">
        <v>0</v>
      </c>
      <c r="J174" s="450">
        <f>ROUND(I174*H174,2)</f>
        <v>0</v>
      </c>
      <c r="K174" s="451"/>
      <c r="L174" s="364"/>
      <c r="M174" s="452" t="s">
        <v>171</v>
      </c>
      <c r="N174" s="415" t="s">
        <v>185</v>
      </c>
      <c r="O174" s="453">
        <v>0</v>
      </c>
      <c r="P174" s="453">
        <f>O174*H174</f>
        <v>0</v>
      </c>
      <c r="Q174" s="453">
        <v>0</v>
      </c>
      <c r="R174" s="453">
        <f>Q174*H174</f>
        <v>0</v>
      </c>
      <c r="S174" s="453">
        <v>0</v>
      </c>
      <c r="T174" s="454">
        <f>S174*H174</f>
        <v>0</v>
      </c>
      <c r="AR174" s="455" t="s">
        <v>110</v>
      </c>
      <c r="AT174" s="455" t="s">
        <v>218</v>
      </c>
      <c r="AU174" s="455" t="s">
        <v>108</v>
      </c>
      <c r="AY174" s="357" t="s">
        <v>217</v>
      </c>
      <c r="BE174" s="456">
        <f>IF(N174="základná",J174,0)</f>
        <v>0</v>
      </c>
      <c r="BF174" s="456">
        <f>IF(N174="znížená",J174,0)</f>
        <v>0</v>
      </c>
      <c r="BG174" s="456">
        <f>IF(N174="zákl. prenesená",J174,0)</f>
        <v>0</v>
      </c>
      <c r="BH174" s="456">
        <f>IF(N174="zníž. prenesená",J174,0)</f>
        <v>0</v>
      </c>
      <c r="BI174" s="456">
        <f>IF(N174="nulová",J174,0)</f>
        <v>0</v>
      </c>
      <c r="BJ174" s="357" t="s">
        <v>108</v>
      </c>
      <c r="BK174" s="456">
        <f>ROUND(I174*H174,2)</f>
        <v>0</v>
      </c>
      <c r="BL174" s="357" t="s">
        <v>110</v>
      </c>
      <c r="BM174" s="455" t="s">
        <v>1549</v>
      </c>
    </row>
    <row r="175" spans="2:65" s="365" customFormat="1" ht="24.2" customHeight="1" x14ac:dyDescent="0.25">
      <c r="B175" s="364"/>
      <c r="C175" s="445" t="s">
        <v>255</v>
      </c>
      <c r="D175" s="445" t="s">
        <v>218</v>
      </c>
      <c r="E175" s="446" t="s">
        <v>1550</v>
      </c>
      <c r="F175" s="472" t="s">
        <v>3189</v>
      </c>
      <c r="G175" s="473" t="s">
        <v>112</v>
      </c>
      <c r="H175" s="474">
        <v>3</v>
      </c>
      <c r="I175" s="329">
        <v>0</v>
      </c>
      <c r="J175" s="450">
        <f>ROUND(I175*H175,2)</f>
        <v>0</v>
      </c>
      <c r="K175" s="451"/>
      <c r="L175" s="364"/>
      <c r="M175" s="452" t="s">
        <v>171</v>
      </c>
      <c r="N175" s="415" t="s">
        <v>185</v>
      </c>
      <c r="O175" s="453">
        <v>0.59799999999999998</v>
      </c>
      <c r="P175" s="453">
        <f>O175*H175</f>
        <v>1.794</v>
      </c>
      <c r="Q175" s="453">
        <v>0</v>
      </c>
      <c r="R175" s="453">
        <f>Q175*H175</f>
        <v>0</v>
      </c>
      <c r="S175" s="453">
        <v>0</v>
      </c>
      <c r="T175" s="454">
        <f>S175*H175</f>
        <v>0</v>
      </c>
      <c r="AR175" s="455" t="s">
        <v>110</v>
      </c>
      <c r="AT175" s="455" t="s">
        <v>218</v>
      </c>
      <c r="AU175" s="455" t="s">
        <v>108</v>
      </c>
      <c r="AY175" s="357" t="s">
        <v>217</v>
      </c>
      <c r="BE175" s="456">
        <f>IF(N175="základná",J175,0)</f>
        <v>0</v>
      </c>
      <c r="BF175" s="456">
        <f>IF(N175="znížená",J175,0)</f>
        <v>0</v>
      </c>
      <c r="BG175" s="456">
        <f>IF(N175="zákl. prenesená",J175,0)</f>
        <v>0</v>
      </c>
      <c r="BH175" s="456">
        <f>IF(N175="zníž. prenesená",J175,0)</f>
        <v>0</v>
      </c>
      <c r="BI175" s="456">
        <f>IF(N175="nulová",J175,0)</f>
        <v>0</v>
      </c>
      <c r="BJ175" s="357" t="s">
        <v>108</v>
      </c>
      <c r="BK175" s="456">
        <f>ROUND(I175*H175,2)</f>
        <v>0</v>
      </c>
      <c r="BL175" s="357" t="s">
        <v>110</v>
      </c>
      <c r="BM175" s="455" t="s">
        <v>1551</v>
      </c>
    </row>
    <row r="176" spans="2:65" s="365" customFormat="1" ht="24.2" customHeight="1" x14ac:dyDescent="0.25">
      <c r="B176" s="364"/>
      <c r="C176" s="445" t="s">
        <v>256</v>
      </c>
      <c r="D176" s="445" t="s">
        <v>218</v>
      </c>
      <c r="E176" s="446" t="s">
        <v>1552</v>
      </c>
      <c r="F176" s="472" t="s">
        <v>3190</v>
      </c>
      <c r="G176" s="473" t="s">
        <v>112</v>
      </c>
      <c r="H176" s="474">
        <v>66</v>
      </c>
      <c r="I176" s="329">
        <v>0</v>
      </c>
      <c r="J176" s="450">
        <f>ROUND(I176*H176,2)</f>
        <v>0</v>
      </c>
      <c r="K176" s="451"/>
      <c r="L176" s="364"/>
      <c r="M176" s="452" t="s">
        <v>171</v>
      </c>
      <c r="N176" s="415" t="s">
        <v>185</v>
      </c>
      <c r="O176" s="453">
        <v>7.0000000000000001E-3</v>
      </c>
      <c r="P176" s="453">
        <f>O176*H176</f>
        <v>0.46200000000000002</v>
      </c>
      <c r="Q176" s="453">
        <v>0</v>
      </c>
      <c r="R176" s="453">
        <f>Q176*H176</f>
        <v>0</v>
      </c>
      <c r="S176" s="453">
        <v>0</v>
      </c>
      <c r="T176" s="454">
        <f>S176*H176</f>
        <v>0</v>
      </c>
      <c r="AR176" s="455" t="s">
        <v>110</v>
      </c>
      <c r="AT176" s="455" t="s">
        <v>218</v>
      </c>
      <c r="AU176" s="455" t="s">
        <v>108</v>
      </c>
      <c r="AY176" s="357" t="s">
        <v>217</v>
      </c>
      <c r="BE176" s="456">
        <f>IF(N176="základná",J176,0)</f>
        <v>0</v>
      </c>
      <c r="BF176" s="456">
        <f>IF(N176="znížená",J176,0)</f>
        <v>0</v>
      </c>
      <c r="BG176" s="456">
        <f>IF(N176="zákl. prenesená",J176,0)</f>
        <v>0</v>
      </c>
      <c r="BH176" s="456">
        <f>IF(N176="zníž. prenesená",J176,0)</f>
        <v>0</v>
      </c>
      <c r="BI176" s="456">
        <f>IF(N176="nulová",J176,0)</f>
        <v>0</v>
      </c>
      <c r="BJ176" s="357" t="s">
        <v>108</v>
      </c>
      <c r="BK176" s="456">
        <f>ROUND(I176*H176,2)</f>
        <v>0</v>
      </c>
      <c r="BL176" s="357" t="s">
        <v>110</v>
      </c>
      <c r="BM176" s="455" t="s">
        <v>1553</v>
      </c>
    </row>
    <row r="177" spans="2:65" s="434" customFormat="1" ht="25.9" customHeight="1" x14ac:dyDescent="0.2">
      <c r="B177" s="433"/>
      <c r="D177" s="435" t="s">
        <v>216</v>
      </c>
      <c r="E177" s="436" t="s">
        <v>662</v>
      </c>
      <c r="F177" s="436" t="s">
        <v>663</v>
      </c>
      <c r="I177" s="331"/>
      <c r="J177" s="437">
        <f>BK177</f>
        <v>0</v>
      </c>
      <c r="L177" s="433"/>
      <c r="M177" s="438"/>
      <c r="P177" s="439">
        <f>P178</f>
        <v>28.646640000000001</v>
      </c>
      <c r="R177" s="439">
        <f>R178</f>
        <v>0</v>
      </c>
      <c r="T177" s="440">
        <f>T178</f>
        <v>0</v>
      </c>
      <c r="AR177" s="435" t="s">
        <v>108</v>
      </c>
      <c r="AT177" s="441" t="s">
        <v>216</v>
      </c>
      <c r="AU177" s="441" t="s">
        <v>165</v>
      </c>
      <c r="AY177" s="435" t="s">
        <v>217</v>
      </c>
      <c r="BK177" s="442">
        <f>BK178</f>
        <v>0</v>
      </c>
    </row>
    <row r="178" spans="2:65" s="365" customFormat="1" ht="33" customHeight="1" x14ac:dyDescent="0.25">
      <c r="B178" s="364"/>
      <c r="C178" s="445" t="s">
        <v>257</v>
      </c>
      <c r="D178" s="445" t="s">
        <v>218</v>
      </c>
      <c r="E178" s="446" t="s">
        <v>665</v>
      </c>
      <c r="F178" s="447" t="s">
        <v>666</v>
      </c>
      <c r="G178" s="448" t="s">
        <v>112</v>
      </c>
      <c r="H178" s="449">
        <v>716.16600000000005</v>
      </c>
      <c r="I178" s="329">
        <v>0</v>
      </c>
      <c r="J178" s="450">
        <f>ROUND(I178*H178,2)</f>
        <v>0</v>
      </c>
      <c r="K178" s="451"/>
      <c r="L178" s="364"/>
      <c r="M178" s="468" t="s">
        <v>171</v>
      </c>
      <c r="N178" s="469" t="s">
        <v>185</v>
      </c>
      <c r="O178" s="470">
        <v>0.04</v>
      </c>
      <c r="P178" s="470">
        <f>O178*H178</f>
        <v>28.646640000000001</v>
      </c>
      <c r="Q178" s="470">
        <v>0</v>
      </c>
      <c r="R178" s="470">
        <f>Q178*H178</f>
        <v>0</v>
      </c>
      <c r="S178" s="470">
        <v>0</v>
      </c>
      <c r="T178" s="471">
        <f>S178*H178</f>
        <v>0</v>
      </c>
      <c r="AR178" s="455" t="s">
        <v>228</v>
      </c>
      <c r="AT178" s="455" t="s">
        <v>218</v>
      </c>
      <c r="AU178" s="455" t="s">
        <v>109</v>
      </c>
      <c r="AY178" s="357" t="s">
        <v>217</v>
      </c>
      <c r="BE178" s="456">
        <f>IF(N178="základná",J178,0)</f>
        <v>0</v>
      </c>
      <c r="BF178" s="456">
        <f>IF(N178="znížená",J178,0)</f>
        <v>0</v>
      </c>
      <c r="BG178" s="456">
        <f>IF(N178="zákl. prenesená",J178,0)</f>
        <v>0</v>
      </c>
      <c r="BH178" s="456">
        <f>IF(N178="zníž. prenesená",J178,0)</f>
        <v>0</v>
      </c>
      <c r="BI178" s="456">
        <f>IF(N178="nulová",J178,0)</f>
        <v>0</v>
      </c>
      <c r="BJ178" s="357" t="s">
        <v>108</v>
      </c>
      <c r="BK178" s="456">
        <f>ROUND(I178*H178,2)</f>
        <v>0</v>
      </c>
      <c r="BL178" s="357" t="s">
        <v>228</v>
      </c>
      <c r="BM178" s="455" t="s">
        <v>667</v>
      </c>
    </row>
    <row r="179" spans="2:65" s="365" customFormat="1" ht="6.95" customHeight="1" x14ac:dyDescent="0.25">
      <c r="B179" s="397"/>
      <c r="C179" s="398"/>
      <c r="D179" s="398"/>
      <c r="E179" s="398"/>
      <c r="F179" s="398"/>
      <c r="G179" s="398"/>
      <c r="H179" s="398"/>
      <c r="I179" s="398"/>
      <c r="J179" s="398"/>
      <c r="K179" s="398"/>
      <c r="L179" s="364"/>
    </row>
  </sheetData>
  <sheetProtection algorithmName="SHA-512" hashValue="duSOBg2ePoxP8g9ulCigy3/K7K1905AaHKhtAqu/sxoXNr5yYs4XA4teuYL0eqfQhKxEnOKi4l3ppvAQlHi7Ig==" saltValue="erv2qLTkGMjbXlWn2MddfQ==" spinCount="100000" sheet="1" objects="1" scenarios="1"/>
  <autoFilter ref="C127:K178" xr:uid="{00000000-0009-0000-0000-00000C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D72D7-F57A-4281-B6C9-052DA7EFDDF2}">
  <sheetPr codeName="Hárok2">
    <tabColor theme="8" tint="0.39997558519241921"/>
  </sheetPr>
  <dimension ref="B1:S182"/>
  <sheetViews>
    <sheetView topLeftCell="A18" zoomScaleNormal="100" workbookViewId="0">
      <selection activeCell="G166" sqref="G166:J167"/>
    </sheetView>
  </sheetViews>
  <sheetFormatPr defaultColWidth="8.7109375" defaultRowHeight="15" x14ac:dyDescent="0.25"/>
  <cols>
    <col min="1" max="1" width="3.5703125" style="14" customWidth="1"/>
    <col min="2" max="2" width="35.140625" style="14" customWidth="1"/>
    <col min="3" max="4" width="23.28515625" style="14" customWidth="1"/>
    <col min="5" max="5" width="24.7109375" style="14" customWidth="1"/>
    <col min="6" max="6" width="24.85546875" style="14" customWidth="1"/>
    <col min="7" max="8" width="25.140625" style="14" customWidth="1"/>
    <col min="9" max="9" width="28.42578125" style="14" customWidth="1"/>
    <col min="10" max="10" width="25.7109375" style="14" customWidth="1"/>
    <col min="11" max="11" width="3" style="14" customWidth="1"/>
    <col min="12" max="12" width="28.85546875" style="14" hidden="1" customWidth="1"/>
    <col min="13" max="13" width="21.42578125" style="14" hidden="1" customWidth="1"/>
    <col min="14" max="14" width="22.28515625" style="14" hidden="1" customWidth="1"/>
    <col min="15" max="15" width="25.28515625" style="14" hidden="1" customWidth="1"/>
    <col min="16" max="16" width="13.28515625" style="14" hidden="1" customWidth="1"/>
    <col min="17" max="17" width="19" style="14" hidden="1" customWidth="1"/>
    <col min="18" max="18" width="18.7109375" style="14" hidden="1" customWidth="1"/>
    <col min="19" max="19" width="15.7109375" style="14" hidden="1" customWidth="1"/>
    <col min="20" max="16384" width="8.7109375" style="14"/>
  </cols>
  <sheetData>
    <row r="1" spans="2:14" ht="15.75" thickBot="1" x14ac:dyDescent="0.3">
      <c r="B1" s="727"/>
      <c r="C1" s="727"/>
      <c r="D1" s="727"/>
      <c r="E1" s="727"/>
      <c r="F1" s="727"/>
      <c r="G1" s="727"/>
      <c r="H1" s="727"/>
      <c r="I1" s="727"/>
      <c r="J1" s="727"/>
      <c r="K1"/>
      <c r="L1"/>
      <c r="M1"/>
    </row>
    <row r="2" spans="2:14" ht="45.75" customHeight="1" thickBot="1" x14ac:dyDescent="0.3">
      <c r="B2" s="728" t="s">
        <v>273</v>
      </c>
      <c r="C2" s="729"/>
      <c r="D2" s="729"/>
      <c r="E2" s="729"/>
      <c r="F2" s="729"/>
      <c r="G2" s="729"/>
      <c r="H2" s="730"/>
      <c r="I2" s="730"/>
      <c r="J2" s="731"/>
      <c r="K2"/>
      <c r="L2"/>
      <c r="M2"/>
    </row>
    <row r="3" spans="2:14" ht="15.75" thickBot="1" x14ac:dyDescent="0.3">
      <c r="B3" s="732"/>
      <c r="C3" s="732"/>
      <c r="D3" s="732"/>
      <c r="E3" s="732"/>
      <c r="F3" s="732"/>
      <c r="G3" s="732"/>
      <c r="H3" s="732"/>
      <c r="I3" s="732"/>
      <c r="J3" s="732"/>
      <c r="K3"/>
      <c r="L3"/>
      <c r="M3"/>
    </row>
    <row r="4" spans="2:14" x14ac:dyDescent="0.25">
      <c r="B4" s="105" t="s">
        <v>26</v>
      </c>
      <c r="C4" s="733" t="s">
        <v>145</v>
      </c>
      <c r="D4" s="733"/>
      <c r="E4" s="734"/>
      <c r="F4" s="734"/>
      <c r="G4" s="734"/>
      <c r="H4" s="735"/>
      <c r="I4" s="735"/>
      <c r="J4" s="736"/>
      <c r="K4"/>
      <c r="L4"/>
      <c r="M4"/>
    </row>
    <row r="5" spans="2:14" x14ac:dyDescent="0.25">
      <c r="B5" s="106" t="s">
        <v>27</v>
      </c>
      <c r="C5" s="737"/>
      <c r="D5" s="737"/>
      <c r="E5" s="737"/>
      <c r="F5" s="737"/>
      <c r="G5" s="737"/>
      <c r="H5" s="738"/>
      <c r="I5" s="738"/>
      <c r="J5" s="739"/>
      <c r="K5"/>
      <c r="L5"/>
      <c r="M5"/>
      <c r="N5" s="107"/>
    </row>
    <row r="6" spans="2:14" x14ac:dyDescent="0.25">
      <c r="B6" s="106" t="s">
        <v>28</v>
      </c>
      <c r="C6" s="740"/>
      <c r="D6" s="740"/>
      <c r="E6" s="740"/>
      <c r="F6" s="740"/>
      <c r="G6" s="740"/>
      <c r="H6" s="741"/>
      <c r="I6" s="741"/>
      <c r="J6" s="742"/>
      <c r="K6"/>
      <c r="L6"/>
      <c r="M6"/>
    </row>
    <row r="7" spans="2:14" ht="15" customHeight="1" x14ac:dyDescent="0.25">
      <c r="B7" s="106" t="s">
        <v>29</v>
      </c>
      <c r="C7" s="743" t="s">
        <v>145</v>
      </c>
      <c r="D7" s="744"/>
      <c r="E7" s="744"/>
      <c r="F7" s="744"/>
      <c r="G7" s="744"/>
      <c r="H7" s="744"/>
      <c r="I7" s="744"/>
      <c r="J7" s="745"/>
      <c r="K7"/>
      <c r="L7"/>
      <c r="M7"/>
    </row>
    <row r="8" spans="2:14" ht="15" customHeight="1" x14ac:dyDescent="0.25">
      <c r="B8" s="106" t="s">
        <v>30</v>
      </c>
      <c r="C8" s="743" t="s">
        <v>145</v>
      </c>
      <c r="D8" s="744"/>
      <c r="E8" s="744"/>
      <c r="F8" s="744"/>
      <c r="G8" s="744"/>
      <c r="H8" s="744"/>
      <c r="I8" s="744"/>
      <c r="J8" s="745"/>
      <c r="K8"/>
      <c r="L8"/>
      <c r="M8"/>
    </row>
    <row r="9" spans="2:14" x14ac:dyDescent="0.25">
      <c r="B9" s="106" t="s">
        <v>31</v>
      </c>
      <c r="C9" s="747"/>
      <c r="D9" s="748"/>
      <c r="E9" s="748"/>
      <c r="F9" s="748"/>
      <c r="G9" s="748"/>
      <c r="H9" s="748"/>
      <c r="I9" s="748"/>
      <c r="J9" s="749"/>
      <c r="K9"/>
      <c r="L9"/>
      <c r="M9"/>
    </row>
    <row r="10" spans="2:14" ht="15.75" customHeight="1" thickBot="1" x14ac:dyDescent="0.3">
      <c r="B10" s="108" t="s">
        <v>32</v>
      </c>
      <c r="C10" s="750" t="s">
        <v>72</v>
      </c>
      <c r="D10" s="750"/>
      <c r="E10" s="750"/>
      <c r="F10" s="751"/>
      <c r="G10" s="769"/>
      <c r="H10" s="770"/>
      <c r="I10" s="770"/>
      <c r="J10" s="771"/>
      <c r="K10"/>
      <c r="L10"/>
      <c r="M10"/>
    </row>
    <row r="11" spans="2:14" ht="15.75" thickBot="1" x14ac:dyDescent="0.3">
      <c r="B11" s="732"/>
      <c r="C11" s="732"/>
      <c r="D11" s="732"/>
      <c r="E11" s="732"/>
      <c r="F11" s="732"/>
      <c r="G11" s="732"/>
      <c r="H11" s="732"/>
      <c r="I11" s="732"/>
      <c r="J11" s="732"/>
      <c r="K11"/>
      <c r="L11"/>
      <c r="M11"/>
    </row>
    <row r="12" spans="2:14" ht="30" customHeight="1" x14ac:dyDescent="0.25">
      <c r="B12" s="772" t="s">
        <v>33</v>
      </c>
      <c r="C12" s="773"/>
      <c r="D12" s="773"/>
      <c r="E12" s="773"/>
      <c r="F12" s="773"/>
      <c r="G12" s="773"/>
      <c r="H12" s="774"/>
      <c r="I12" s="774"/>
      <c r="J12" s="775"/>
      <c r="K12"/>
      <c r="L12"/>
      <c r="M12"/>
    </row>
    <row r="13" spans="2:14" ht="30" customHeight="1" x14ac:dyDescent="0.25">
      <c r="B13" s="759" t="s">
        <v>148</v>
      </c>
      <c r="C13" s="760"/>
      <c r="D13" s="760"/>
      <c r="E13" s="760"/>
      <c r="F13" s="760"/>
      <c r="G13" s="760"/>
      <c r="H13" s="760"/>
      <c r="I13" s="761"/>
      <c r="J13" s="109"/>
      <c r="K13"/>
      <c r="L13"/>
      <c r="M13"/>
    </row>
    <row r="14" spans="2:14" ht="42.75" customHeight="1" x14ac:dyDescent="0.25">
      <c r="B14" s="759" t="s">
        <v>34</v>
      </c>
      <c r="C14" s="760"/>
      <c r="D14" s="760"/>
      <c r="E14" s="760"/>
      <c r="F14" s="760"/>
      <c r="G14" s="760"/>
      <c r="H14" s="760"/>
      <c r="I14" s="761"/>
      <c r="J14" s="109"/>
      <c r="K14"/>
      <c r="L14"/>
      <c r="M14"/>
    </row>
    <row r="15" spans="2:14" ht="45" customHeight="1" x14ac:dyDescent="0.25">
      <c r="B15" s="759" t="s">
        <v>35</v>
      </c>
      <c r="C15" s="760"/>
      <c r="D15" s="760"/>
      <c r="E15" s="760"/>
      <c r="F15" s="760"/>
      <c r="G15" s="760"/>
      <c r="H15" s="760"/>
      <c r="I15" s="761"/>
      <c r="J15" s="109"/>
      <c r="K15"/>
      <c r="L15"/>
      <c r="M15"/>
    </row>
    <row r="16" spans="2:14" ht="45" customHeight="1" x14ac:dyDescent="0.25">
      <c r="B16" s="759" t="s">
        <v>272</v>
      </c>
      <c r="C16" s="760"/>
      <c r="D16" s="760"/>
      <c r="E16" s="760"/>
      <c r="F16" s="760"/>
      <c r="G16" s="760"/>
      <c r="H16" s="760"/>
      <c r="I16" s="761"/>
      <c r="J16" s="109"/>
      <c r="K16"/>
      <c r="L16"/>
      <c r="M16"/>
    </row>
    <row r="17" spans="2:13" ht="45" customHeight="1" thickBot="1" x14ac:dyDescent="0.3">
      <c r="B17" s="752" t="s">
        <v>274</v>
      </c>
      <c r="C17" s="753"/>
      <c r="D17" s="753"/>
      <c r="E17" s="753"/>
      <c r="F17" s="753"/>
      <c r="G17" s="753"/>
      <c r="H17" s="753"/>
      <c r="I17" s="754"/>
      <c r="J17" s="110"/>
      <c r="K17"/>
      <c r="L17"/>
      <c r="M17"/>
    </row>
    <row r="18" spans="2:13" ht="15.75" customHeight="1" thickBot="1" x14ac:dyDescent="0.3">
      <c r="B18" s="755"/>
      <c r="C18" s="755"/>
      <c r="D18" s="755"/>
      <c r="E18" s="755"/>
      <c r="F18" s="755"/>
      <c r="G18" s="755"/>
      <c r="H18" s="755"/>
      <c r="I18" s="755"/>
      <c r="J18" s="755"/>
      <c r="K18"/>
      <c r="L18"/>
      <c r="M18"/>
    </row>
    <row r="19" spans="2:13" ht="34.5" customHeight="1" x14ac:dyDescent="0.25">
      <c r="B19" s="661" t="s">
        <v>73</v>
      </c>
      <c r="C19" s="756"/>
      <c r="D19" s="756"/>
      <c r="E19" s="756"/>
      <c r="F19" s="756"/>
      <c r="G19" s="756"/>
      <c r="H19" s="756"/>
      <c r="I19" s="756"/>
      <c r="J19" s="757"/>
      <c r="K19"/>
      <c r="L19"/>
      <c r="M19"/>
    </row>
    <row r="20" spans="2:13" ht="22.5" customHeight="1" x14ac:dyDescent="0.25">
      <c r="B20" s="758" t="s">
        <v>74</v>
      </c>
      <c r="C20" s="720"/>
      <c r="D20" s="720"/>
      <c r="E20" s="720"/>
      <c r="F20" s="720"/>
      <c r="G20" s="720"/>
      <c r="H20" s="720"/>
      <c r="I20" s="746"/>
      <c r="J20" s="111" t="s">
        <v>135</v>
      </c>
      <c r="K20"/>
      <c r="L20"/>
      <c r="M20"/>
    </row>
    <row r="21" spans="2:13" ht="59.25" customHeight="1" x14ac:dyDescent="0.25">
      <c r="B21" s="762" t="s">
        <v>75</v>
      </c>
      <c r="C21" s="763"/>
      <c r="D21" s="763"/>
      <c r="E21" s="763"/>
      <c r="F21" s="763"/>
      <c r="G21" s="763"/>
      <c r="H21" s="763"/>
      <c r="I21" s="763"/>
      <c r="J21" s="764"/>
      <c r="K21"/>
      <c r="L21"/>
      <c r="M21"/>
    </row>
    <row r="22" spans="2:13" ht="33" customHeight="1" x14ac:dyDescent="0.25">
      <c r="B22" s="782" t="s">
        <v>76</v>
      </c>
      <c r="C22" s="783"/>
      <c r="D22" s="113"/>
      <c r="E22" s="15"/>
      <c r="F22" s="15"/>
      <c r="G22" s="15"/>
      <c r="H22" s="15"/>
      <c r="I22" s="15"/>
      <c r="J22" s="124"/>
      <c r="K22"/>
      <c r="L22"/>
      <c r="M22"/>
    </row>
    <row r="23" spans="2:13" ht="20.25" customHeight="1" x14ac:dyDescent="0.25">
      <c r="B23" s="758" t="s">
        <v>77</v>
      </c>
      <c r="C23" s="720"/>
      <c r="D23" s="113"/>
      <c r="E23" s="15"/>
      <c r="F23" s="15"/>
      <c r="G23" s="15"/>
      <c r="H23" s="15"/>
      <c r="I23" s="15"/>
      <c r="J23" s="124"/>
      <c r="K23"/>
      <c r="L23"/>
      <c r="M23"/>
    </row>
    <row r="24" spans="2:13" ht="19.5" customHeight="1" x14ac:dyDescent="0.25">
      <c r="B24" s="758" t="s">
        <v>78</v>
      </c>
      <c r="C24" s="720"/>
      <c r="D24" s="113"/>
      <c r="E24" s="15"/>
      <c r="F24" s="15"/>
      <c r="G24" s="15"/>
      <c r="H24" s="15"/>
      <c r="I24" s="15"/>
      <c r="J24" s="124"/>
      <c r="K24"/>
      <c r="L24"/>
      <c r="M24"/>
    </row>
    <row r="25" spans="2:13" ht="18" customHeight="1" x14ac:dyDescent="0.25">
      <c r="B25" s="758" t="s">
        <v>79</v>
      </c>
      <c r="C25" s="720"/>
      <c r="D25" s="113"/>
      <c r="E25" s="15"/>
      <c r="F25" s="15"/>
      <c r="G25" s="15"/>
      <c r="H25" s="15"/>
      <c r="I25" s="15"/>
      <c r="J25" s="124"/>
      <c r="K25"/>
      <c r="L25"/>
      <c r="M25"/>
    </row>
    <row r="26" spans="2:13" ht="17.25" customHeight="1" thickBot="1" x14ac:dyDescent="0.3">
      <c r="B26" s="776" t="s">
        <v>80</v>
      </c>
      <c r="C26" s="777"/>
      <c r="D26" s="294"/>
      <c r="E26" s="125"/>
      <c r="F26" s="125"/>
      <c r="G26" s="125"/>
      <c r="H26" s="125"/>
      <c r="I26" s="125"/>
      <c r="J26" s="126"/>
      <c r="K26"/>
      <c r="L26"/>
      <c r="M26"/>
    </row>
    <row r="27" spans="2:13" ht="17.25" customHeight="1" thickBot="1" x14ac:dyDescent="0.3">
      <c r="K27"/>
      <c r="L27"/>
      <c r="M27"/>
    </row>
    <row r="28" spans="2:13" ht="37.5" customHeight="1" thickBot="1" x14ac:dyDescent="0.3">
      <c r="B28" s="661" t="s">
        <v>81</v>
      </c>
      <c r="C28" s="662"/>
      <c r="D28" s="662"/>
      <c r="E28" s="662"/>
      <c r="F28" s="662"/>
      <c r="G28" s="662"/>
      <c r="H28" s="662"/>
      <c r="I28" s="662"/>
      <c r="J28" s="663"/>
      <c r="K28"/>
      <c r="L28"/>
      <c r="M28"/>
    </row>
    <row r="29" spans="2:13" ht="27.6" customHeight="1" x14ac:dyDescent="0.25">
      <c r="B29" s="779" t="s">
        <v>82</v>
      </c>
      <c r="C29" s="780"/>
      <c r="D29" s="780"/>
      <c r="E29" s="780"/>
      <c r="F29" s="780"/>
      <c r="G29" s="780"/>
      <c r="H29" s="780"/>
      <c r="I29" s="780"/>
      <c r="J29" s="781"/>
      <c r="K29"/>
      <c r="L29"/>
      <c r="M29"/>
    </row>
    <row r="30" spans="2:13" ht="59.45" customHeight="1" x14ac:dyDescent="0.25">
      <c r="B30" s="691" t="s">
        <v>275</v>
      </c>
      <c r="C30" s="692"/>
      <c r="D30" s="692"/>
      <c r="E30" s="692"/>
      <c r="F30" s="692"/>
      <c r="G30" s="692"/>
      <c r="H30" s="692"/>
      <c r="I30" s="692"/>
      <c r="J30" s="693"/>
      <c r="K30"/>
      <c r="L30"/>
      <c r="M30"/>
    </row>
    <row r="31" spans="2:13" ht="44.1" customHeight="1" x14ac:dyDescent="0.25">
      <c r="B31" s="112" t="s">
        <v>83</v>
      </c>
      <c r="C31" s="630" t="s">
        <v>280</v>
      </c>
      <c r="D31" s="630"/>
      <c r="E31" s="630"/>
      <c r="F31" s="630"/>
      <c r="G31" s="630"/>
      <c r="H31" s="113" t="s">
        <v>84</v>
      </c>
      <c r="I31" s="630" t="s">
        <v>85</v>
      </c>
      <c r="J31" s="778"/>
      <c r="K31"/>
      <c r="L31"/>
      <c r="M31"/>
    </row>
    <row r="32" spans="2:13" ht="48" customHeight="1" x14ac:dyDescent="0.25">
      <c r="B32" s="114">
        <v>1</v>
      </c>
      <c r="C32" s="647"/>
      <c r="D32" s="647"/>
      <c r="E32" s="647"/>
      <c r="F32" s="647"/>
      <c r="G32" s="647"/>
      <c r="H32" s="127"/>
      <c r="I32" s="647"/>
      <c r="J32" s="648"/>
      <c r="K32"/>
      <c r="L32"/>
      <c r="M32"/>
    </row>
    <row r="33" spans="2:13" ht="51.6" customHeight="1" x14ac:dyDescent="0.25">
      <c r="B33" s="114">
        <v>2</v>
      </c>
      <c r="C33" s="654"/>
      <c r="D33" s="654"/>
      <c r="E33" s="654"/>
      <c r="F33" s="654"/>
      <c r="G33" s="654"/>
      <c r="H33" s="150"/>
      <c r="I33" s="655"/>
      <c r="J33" s="656"/>
      <c r="K33"/>
      <c r="L33"/>
      <c r="M33"/>
    </row>
    <row r="34" spans="2:13" ht="30.6" customHeight="1" x14ac:dyDescent="0.25">
      <c r="B34" s="657" t="s">
        <v>276</v>
      </c>
      <c r="C34" s="658"/>
      <c r="D34" s="658"/>
      <c r="E34" s="658"/>
      <c r="F34" s="658"/>
      <c r="G34" s="658"/>
      <c r="H34" s="658"/>
      <c r="I34" s="658"/>
      <c r="J34" s="659"/>
      <c r="K34"/>
      <c r="L34"/>
      <c r="M34"/>
    </row>
    <row r="35" spans="2:13" ht="27" customHeight="1" x14ac:dyDescent="0.25">
      <c r="B35" s="691" t="s">
        <v>125</v>
      </c>
      <c r="C35" s="692"/>
      <c r="D35" s="692"/>
      <c r="E35" s="692"/>
      <c r="F35" s="692"/>
      <c r="G35" s="692"/>
      <c r="H35" s="692"/>
      <c r="I35" s="692"/>
      <c r="J35" s="693"/>
      <c r="K35"/>
      <c r="L35"/>
      <c r="M35"/>
    </row>
    <row r="36" spans="2:13" ht="24.6" customHeight="1" x14ac:dyDescent="0.25">
      <c r="B36" s="115" t="s">
        <v>86</v>
      </c>
      <c r="C36" s="694" t="s">
        <v>87</v>
      </c>
      <c r="D36" s="695"/>
      <c r="E36" s="695"/>
      <c r="F36" s="696"/>
      <c r="G36" s="767" t="s">
        <v>88</v>
      </c>
      <c r="H36" s="768"/>
      <c r="I36" s="765"/>
      <c r="J36" s="766"/>
      <c r="K36"/>
      <c r="L36"/>
      <c r="M36"/>
    </row>
    <row r="37" spans="2:13" ht="36.75" customHeight="1" x14ac:dyDescent="0.25">
      <c r="B37" s="657" t="s">
        <v>277</v>
      </c>
      <c r="C37" s="658"/>
      <c r="D37" s="658"/>
      <c r="E37" s="658"/>
      <c r="F37" s="658"/>
      <c r="G37" s="658"/>
      <c r="H37" s="658"/>
      <c r="I37" s="658"/>
      <c r="J37" s="659"/>
      <c r="K37"/>
      <c r="L37"/>
      <c r="M37"/>
    </row>
    <row r="38" spans="2:13" ht="36.75" customHeight="1" x14ac:dyDescent="0.25">
      <c r="B38" s="691" t="s">
        <v>279</v>
      </c>
      <c r="C38" s="692"/>
      <c r="D38" s="692"/>
      <c r="E38" s="692"/>
      <c r="F38" s="692"/>
      <c r="G38" s="692"/>
      <c r="H38" s="692"/>
      <c r="I38" s="692"/>
      <c r="J38" s="693"/>
      <c r="K38"/>
      <c r="L38"/>
      <c r="M38"/>
    </row>
    <row r="39" spans="2:13" ht="26.25" customHeight="1" x14ac:dyDescent="0.25">
      <c r="B39" s="115" t="s">
        <v>278</v>
      </c>
      <c r="C39" s="694" t="s">
        <v>87</v>
      </c>
      <c r="D39" s="695"/>
      <c r="E39" s="695"/>
      <c r="F39" s="696"/>
      <c r="G39" s="767" t="s">
        <v>88</v>
      </c>
      <c r="H39" s="768"/>
      <c r="I39" s="765"/>
      <c r="J39" s="766"/>
      <c r="K39"/>
      <c r="L39"/>
      <c r="M39"/>
    </row>
    <row r="40" spans="2:13" ht="32.1" customHeight="1" x14ac:dyDescent="0.25">
      <c r="B40" s="657" t="s">
        <v>3182</v>
      </c>
      <c r="C40" s="658"/>
      <c r="D40" s="658"/>
      <c r="E40" s="658"/>
      <c r="F40" s="658"/>
      <c r="G40" s="658"/>
      <c r="H40" s="658"/>
      <c r="I40" s="658"/>
      <c r="J40" s="659"/>
      <c r="K40"/>
      <c r="L40"/>
      <c r="M40"/>
    </row>
    <row r="41" spans="2:13" ht="66" customHeight="1" thickBot="1" x14ac:dyDescent="0.3">
      <c r="B41" s="115" t="s">
        <v>3184</v>
      </c>
      <c r="C41" s="666" t="s">
        <v>87</v>
      </c>
      <c r="D41" s="667"/>
      <c r="E41" s="668" t="s">
        <v>3186</v>
      </c>
      <c r="F41" s="668"/>
      <c r="G41" s="668"/>
      <c r="H41" s="668"/>
      <c r="I41" s="668"/>
      <c r="J41" s="669"/>
      <c r="K41"/>
      <c r="L41"/>
      <c r="M41"/>
    </row>
    <row r="42" spans="2:13" ht="29.1" customHeight="1" x14ac:dyDescent="0.25">
      <c r="B42" s="697" t="s">
        <v>3183</v>
      </c>
      <c r="C42" s="698"/>
      <c r="D42" s="698"/>
      <c r="E42" s="698"/>
      <c r="F42" s="698"/>
      <c r="G42" s="698"/>
      <c r="H42" s="698"/>
      <c r="I42" s="698"/>
      <c r="J42" s="699"/>
      <c r="K42"/>
      <c r="L42"/>
      <c r="M42"/>
    </row>
    <row r="43" spans="2:13" ht="32.25" customHeight="1" x14ac:dyDescent="0.25">
      <c r="B43" s="670" t="s">
        <v>86</v>
      </c>
      <c r="C43" s="671"/>
      <c r="D43" s="672"/>
      <c r="E43" s="149" t="s">
        <v>135</v>
      </c>
      <c r="F43" s="700" t="s">
        <v>160</v>
      </c>
      <c r="G43" s="701"/>
      <c r="H43" s="701"/>
      <c r="I43" s="701"/>
      <c r="J43" s="702"/>
      <c r="K43"/>
      <c r="L43"/>
      <c r="M43"/>
    </row>
    <row r="44" spans="2:13" ht="32.25" customHeight="1" x14ac:dyDescent="0.25">
      <c r="B44" s="670" t="s">
        <v>278</v>
      </c>
      <c r="C44" s="671"/>
      <c r="D44" s="672"/>
      <c r="E44" s="149" t="s">
        <v>135</v>
      </c>
      <c r="F44" s="703"/>
      <c r="G44" s="704"/>
      <c r="H44" s="704"/>
      <c r="I44" s="704"/>
      <c r="J44" s="705"/>
      <c r="K44"/>
      <c r="L44" s="328"/>
      <c r="M44"/>
    </row>
    <row r="45" spans="2:13" ht="35.25" customHeight="1" thickBot="1" x14ac:dyDescent="0.3">
      <c r="B45" s="707" t="s">
        <v>3184</v>
      </c>
      <c r="C45" s="708"/>
      <c r="D45" s="709"/>
      <c r="E45" s="149" t="s">
        <v>135</v>
      </c>
      <c r="F45" s="703"/>
      <c r="G45" s="704"/>
      <c r="H45" s="704"/>
      <c r="I45" s="704"/>
      <c r="J45" s="705"/>
      <c r="K45"/>
      <c r="L45"/>
      <c r="M45"/>
    </row>
    <row r="46" spans="2:13" ht="15.75" thickBot="1" x14ac:dyDescent="0.3">
      <c r="B46" s="116"/>
      <c r="C46" s="117"/>
      <c r="D46" s="117"/>
      <c r="E46" s="117"/>
      <c r="F46" s="117"/>
      <c r="G46" s="117"/>
      <c r="H46" s="118"/>
      <c r="I46" s="118"/>
      <c r="J46" s="118"/>
      <c r="K46"/>
      <c r="L46"/>
      <c r="M46"/>
    </row>
    <row r="47" spans="2:13" ht="33.6" customHeight="1" thickBot="1" x14ac:dyDescent="0.3">
      <c r="B47" s="661" t="s">
        <v>136</v>
      </c>
      <c r="C47" s="662"/>
      <c r="D47" s="662"/>
      <c r="E47" s="662"/>
      <c r="F47" s="662"/>
      <c r="G47" s="662"/>
      <c r="H47" s="662"/>
      <c r="I47" s="662"/>
      <c r="J47" s="663"/>
      <c r="K47"/>
      <c r="L47"/>
      <c r="M47"/>
    </row>
    <row r="48" spans="2:13" ht="21.6" customHeight="1" x14ac:dyDescent="0.25">
      <c r="B48" s="684" t="s">
        <v>137</v>
      </c>
      <c r="C48" s="685"/>
      <c r="D48" s="685"/>
      <c r="E48" s="685"/>
      <c r="F48" s="685"/>
      <c r="G48" s="685"/>
      <c r="H48" s="686"/>
      <c r="I48" s="686"/>
      <c r="J48" s="687"/>
      <c r="K48"/>
      <c r="L48"/>
      <c r="M48"/>
    </row>
    <row r="49" spans="2:13" ht="15" customHeight="1" x14ac:dyDescent="0.25">
      <c r="B49" s="716" t="s">
        <v>36</v>
      </c>
      <c r="C49" s="717"/>
      <c r="D49" s="718"/>
      <c r="E49" s="719" t="s">
        <v>89</v>
      </c>
      <c r="F49" s="746"/>
      <c r="G49" s="119" t="s">
        <v>90</v>
      </c>
      <c r="H49" s="719" t="s">
        <v>91</v>
      </c>
      <c r="I49" s="720"/>
      <c r="J49" s="721"/>
      <c r="K49"/>
      <c r="L49"/>
      <c r="M49"/>
    </row>
    <row r="50" spans="2:13" ht="20.45" customHeight="1" x14ac:dyDescent="0.25">
      <c r="B50" s="710" t="s">
        <v>293</v>
      </c>
      <c r="C50" s="711"/>
      <c r="D50" s="712"/>
      <c r="E50" s="722">
        <f>'Rekapitulácia stavby ÚSEK A-D'!AG94</f>
        <v>0</v>
      </c>
      <c r="F50" s="723"/>
      <c r="G50" s="147">
        <f>IF(C$10="Som platcom DPH",E50*0.23,0)</f>
        <v>0</v>
      </c>
      <c r="H50" s="724">
        <f>SUM(E50+G50)</f>
        <v>0</v>
      </c>
      <c r="I50" s="725"/>
      <c r="J50" s="726"/>
      <c r="K50"/>
      <c r="L50"/>
      <c r="M50"/>
    </row>
    <row r="51" spans="2:13" ht="20.100000000000001" customHeight="1" thickBot="1" x14ac:dyDescent="0.3">
      <c r="B51" s="713" t="s">
        <v>296</v>
      </c>
      <c r="C51" s="714"/>
      <c r="D51" s="715"/>
      <c r="E51" s="784">
        <f>'Rekapitulácia stavby - ÚSEK F '!AG94</f>
        <v>0</v>
      </c>
      <c r="F51" s="785"/>
      <c r="G51" s="148">
        <f>IF(C$10="Som platcom DPH",E51*0.23,0)</f>
        <v>0</v>
      </c>
      <c r="H51" s="688">
        <f>SUM(E51+G51)</f>
        <v>0</v>
      </c>
      <c r="I51" s="689"/>
      <c r="J51" s="690"/>
      <c r="K51"/>
      <c r="L51"/>
      <c r="M51"/>
    </row>
    <row r="52" spans="2:13" ht="15.75" thickBot="1" x14ac:dyDescent="0.3">
      <c r="K52"/>
      <c r="L52" s="146"/>
      <c r="M52"/>
    </row>
    <row r="53" spans="2:13" ht="27.95" customHeight="1" x14ac:dyDescent="0.25">
      <c r="B53" s="684" t="s">
        <v>3187</v>
      </c>
      <c r="C53" s="685"/>
      <c r="D53" s="685"/>
      <c r="E53" s="685"/>
      <c r="F53" s="685"/>
      <c r="G53" s="685"/>
      <c r="H53" s="686"/>
      <c r="I53" s="686"/>
      <c r="J53" s="687"/>
      <c r="K53"/>
      <c r="L53"/>
      <c r="M53"/>
    </row>
    <row r="54" spans="2:13" ht="27.95" customHeight="1" x14ac:dyDescent="0.25">
      <c r="B54" s="584" t="s">
        <v>134</v>
      </c>
      <c r="C54" s="585"/>
      <c r="D54" s="586"/>
      <c r="E54" s="679" t="s">
        <v>130</v>
      </c>
      <c r="F54" s="679"/>
      <c r="G54" s="679" t="s">
        <v>131</v>
      </c>
      <c r="H54" s="679"/>
      <c r="I54" s="679" t="s">
        <v>129</v>
      </c>
      <c r="J54" s="706"/>
      <c r="K54"/>
      <c r="L54"/>
      <c r="M54"/>
    </row>
    <row r="55" spans="2:13" ht="27.95" customHeight="1" x14ac:dyDescent="0.25">
      <c r="B55" s="791">
        <v>350000</v>
      </c>
      <c r="C55" s="792"/>
      <c r="D55" s="793"/>
      <c r="E55" s="680">
        <v>0</v>
      </c>
      <c r="F55" s="680"/>
      <c r="G55" s="680">
        <v>60</v>
      </c>
      <c r="H55" s="680"/>
      <c r="I55" s="673">
        <v>0</v>
      </c>
      <c r="J55" s="674"/>
      <c r="K55"/>
      <c r="L55"/>
      <c r="M55"/>
    </row>
    <row r="56" spans="2:13" ht="27.95" customHeight="1" x14ac:dyDescent="0.25">
      <c r="B56" s="681" t="s">
        <v>132</v>
      </c>
      <c r="C56" s="682"/>
      <c r="D56" s="682"/>
      <c r="E56" s="682"/>
      <c r="F56" s="682"/>
      <c r="G56" s="682"/>
      <c r="H56" s="682"/>
      <c r="I56" s="682"/>
      <c r="J56" s="683"/>
      <c r="K56"/>
      <c r="L56"/>
      <c r="M56"/>
    </row>
    <row r="57" spans="2:13" ht="19.5" thickBot="1" x14ac:dyDescent="0.35">
      <c r="B57" s="591" t="s">
        <v>103</v>
      </c>
      <c r="C57" s="592"/>
      <c r="D57" s="592"/>
      <c r="E57" s="592"/>
      <c r="F57" s="592"/>
      <c r="G57" s="592"/>
      <c r="H57" s="592"/>
      <c r="I57" s="593"/>
      <c r="J57" s="123">
        <f>B55*((G55-I55)/(G55-E55))</f>
        <v>350000</v>
      </c>
      <c r="K57"/>
      <c r="L57"/>
      <c r="M57"/>
    </row>
    <row r="58" spans="2:13" ht="15.75" thickBot="1" x14ac:dyDescent="0.3">
      <c r="K58"/>
      <c r="L58"/>
      <c r="M58"/>
    </row>
    <row r="59" spans="2:13" ht="45.6" customHeight="1" x14ac:dyDescent="0.25">
      <c r="B59" s="676" t="s">
        <v>127</v>
      </c>
      <c r="C59" s="677"/>
      <c r="D59" s="677"/>
      <c r="E59" s="677"/>
      <c r="F59" s="677"/>
      <c r="G59" s="677"/>
      <c r="H59" s="677"/>
      <c r="I59" s="677"/>
      <c r="J59" s="678"/>
      <c r="K59"/>
      <c r="L59"/>
      <c r="M59"/>
    </row>
    <row r="60" spans="2:13" ht="60.95" customHeight="1" x14ac:dyDescent="0.25">
      <c r="B60" s="626" t="s">
        <v>281</v>
      </c>
      <c r="C60" s="627"/>
      <c r="D60" s="627"/>
      <c r="E60" s="627"/>
      <c r="F60" s="627"/>
      <c r="G60" s="627"/>
      <c r="H60" s="627"/>
      <c r="I60" s="627"/>
      <c r="J60" s="628"/>
      <c r="K60"/>
      <c r="L60"/>
      <c r="M60"/>
    </row>
    <row r="61" spans="2:13" x14ac:dyDescent="0.25">
      <c r="B61" s="629" t="s">
        <v>104</v>
      </c>
      <c r="C61" s="630"/>
      <c r="D61" s="630"/>
      <c r="E61" s="630"/>
      <c r="F61" s="630"/>
      <c r="G61" s="630"/>
      <c r="H61" s="631"/>
      <c r="I61" s="632" t="str">
        <f>C36</f>
        <v>meno a priezvisko</v>
      </c>
      <c r="J61" s="633"/>
      <c r="K61"/>
      <c r="L61"/>
      <c r="M61"/>
    </row>
    <row r="62" spans="2:13" ht="30" customHeight="1" x14ac:dyDescent="0.25">
      <c r="B62" s="794" t="s">
        <v>134</v>
      </c>
      <c r="C62" s="795"/>
      <c r="D62" s="796"/>
      <c r="E62" s="675" t="s">
        <v>146</v>
      </c>
      <c r="F62" s="675"/>
      <c r="G62" s="675" t="s">
        <v>147</v>
      </c>
      <c r="H62" s="675"/>
      <c r="I62" s="649" t="s">
        <v>129</v>
      </c>
      <c r="J62" s="650"/>
      <c r="K62"/>
      <c r="L62"/>
      <c r="M62"/>
    </row>
    <row r="63" spans="2:13" ht="18.75" x14ac:dyDescent="0.25">
      <c r="B63" s="797">
        <v>700000</v>
      </c>
      <c r="C63" s="798"/>
      <c r="D63" s="799"/>
      <c r="E63" s="675">
        <v>0</v>
      </c>
      <c r="F63" s="675"/>
      <c r="G63" s="675">
        <v>10000</v>
      </c>
      <c r="H63" s="675"/>
      <c r="I63" s="786">
        <v>0</v>
      </c>
      <c r="J63" s="787"/>
      <c r="K63"/>
      <c r="L63"/>
      <c r="M63"/>
    </row>
    <row r="64" spans="2:13" ht="54" customHeight="1" x14ac:dyDescent="0.25">
      <c r="B64" s="112" t="s">
        <v>83</v>
      </c>
      <c r="C64" s="630" t="s">
        <v>159</v>
      </c>
      <c r="D64" s="630"/>
      <c r="E64" s="630"/>
      <c r="F64" s="630"/>
      <c r="G64" s="630"/>
      <c r="H64" s="113" t="s">
        <v>126</v>
      </c>
      <c r="I64" s="295" t="s">
        <v>105</v>
      </c>
      <c r="J64" s="296" t="s">
        <v>106</v>
      </c>
      <c r="K64"/>
      <c r="L64"/>
      <c r="M64"/>
    </row>
    <row r="65" spans="2:13" ht="51" customHeight="1" x14ac:dyDescent="0.25">
      <c r="B65" s="120">
        <v>1</v>
      </c>
      <c r="C65" s="613"/>
      <c r="D65" s="613"/>
      <c r="E65" s="613"/>
      <c r="F65" s="613"/>
      <c r="G65" s="613"/>
      <c r="H65" s="354"/>
      <c r="I65" s="355"/>
      <c r="J65" s="143"/>
      <c r="K65"/>
      <c r="L65"/>
      <c r="M65"/>
    </row>
    <row r="66" spans="2:13" ht="53.45" customHeight="1" x14ac:dyDescent="0.25">
      <c r="B66" s="120">
        <v>2</v>
      </c>
      <c r="C66" s="613"/>
      <c r="D66" s="613"/>
      <c r="E66" s="613"/>
      <c r="F66" s="613"/>
      <c r="G66" s="613"/>
      <c r="H66" s="354"/>
      <c r="I66" s="355"/>
      <c r="J66" s="143"/>
      <c r="K66"/>
      <c r="L66"/>
      <c r="M66"/>
    </row>
    <row r="67" spans="2:13" ht="53.45" customHeight="1" x14ac:dyDescent="0.25">
      <c r="B67" s="120">
        <v>3</v>
      </c>
      <c r="C67" s="613"/>
      <c r="D67" s="613"/>
      <c r="E67" s="613"/>
      <c r="F67" s="613"/>
      <c r="G67" s="613"/>
      <c r="H67" s="354"/>
      <c r="I67" s="355"/>
      <c r="J67" s="143"/>
      <c r="K67"/>
      <c r="L67"/>
      <c r="M67"/>
    </row>
    <row r="68" spans="2:13" ht="53.45" customHeight="1" x14ac:dyDescent="0.25">
      <c r="B68" s="120">
        <v>4</v>
      </c>
      <c r="C68" s="613"/>
      <c r="D68" s="613"/>
      <c r="E68" s="613"/>
      <c r="F68" s="613"/>
      <c r="G68" s="613"/>
      <c r="H68" s="354"/>
      <c r="I68" s="355"/>
      <c r="J68" s="143"/>
      <c r="K68"/>
      <c r="L68"/>
      <c r="M68"/>
    </row>
    <row r="69" spans="2:13" ht="53.45" customHeight="1" x14ac:dyDescent="0.25">
      <c r="B69" s="120">
        <v>5</v>
      </c>
      <c r="C69" s="613"/>
      <c r="D69" s="613"/>
      <c r="E69" s="613"/>
      <c r="F69" s="613"/>
      <c r="G69" s="613"/>
      <c r="H69" s="354"/>
      <c r="I69" s="355"/>
      <c r="J69" s="143"/>
      <c r="K69"/>
      <c r="L69"/>
      <c r="M69"/>
    </row>
    <row r="70" spans="2:13" ht="53.45" customHeight="1" x14ac:dyDescent="0.25">
      <c r="B70" s="120">
        <v>6</v>
      </c>
      <c r="C70" s="613"/>
      <c r="D70" s="613"/>
      <c r="E70" s="613"/>
      <c r="F70" s="613"/>
      <c r="G70" s="613"/>
      <c r="H70" s="354"/>
      <c r="I70" s="355"/>
      <c r="J70" s="143"/>
      <c r="K70"/>
      <c r="L70"/>
      <c r="M70"/>
    </row>
    <row r="71" spans="2:13" ht="53.1" customHeight="1" x14ac:dyDescent="0.25">
      <c r="B71" s="120">
        <v>7</v>
      </c>
      <c r="C71" s="613"/>
      <c r="D71" s="613"/>
      <c r="E71" s="613"/>
      <c r="F71" s="613"/>
      <c r="G71" s="613"/>
      <c r="H71" s="354"/>
      <c r="I71" s="355"/>
      <c r="J71" s="143"/>
      <c r="K71"/>
      <c r="L71"/>
      <c r="M71"/>
    </row>
    <row r="72" spans="2:13" ht="24.95" customHeight="1" x14ac:dyDescent="0.25">
      <c r="B72" s="623" t="s">
        <v>133</v>
      </c>
      <c r="C72" s="624"/>
      <c r="D72" s="624"/>
      <c r="E72" s="624"/>
      <c r="F72" s="624"/>
      <c r="G72" s="624"/>
      <c r="H72" s="624"/>
      <c r="I72" s="624"/>
      <c r="J72" s="625"/>
      <c r="K72"/>
      <c r="L72"/>
      <c r="M72"/>
    </row>
    <row r="73" spans="2:13" ht="21" customHeight="1" thickBot="1" x14ac:dyDescent="0.35">
      <c r="B73" s="591" t="s">
        <v>103</v>
      </c>
      <c r="C73" s="592"/>
      <c r="D73" s="592"/>
      <c r="E73" s="592"/>
      <c r="F73" s="592"/>
      <c r="G73" s="592"/>
      <c r="H73" s="592"/>
      <c r="I73" s="593"/>
      <c r="J73" s="121">
        <f>B63*((G63-I63)/(G63-E63))</f>
        <v>700000</v>
      </c>
      <c r="K73"/>
      <c r="L73"/>
      <c r="M73"/>
    </row>
    <row r="74" spans="2:13" ht="21" customHeight="1" thickBot="1" x14ac:dyDescent="0.35">
      <c r="B74" s="144"/>
      <c r="C74" s="144"/>
      <c r="D74" s="144"/>
      <c r="E74" s="144"/>
      <c r="F74" s="144"/>
      <c r="G74" s="144"/>
      <c r="H74" s="144"/>
      <c r="I74" s="144"/>
      <c r="J74" s="145"/>
      <c r="K74"/>
      <c r="L74"/>
      <c r="M74"/>
    </row>
    <row r="75" spans="2:13" ht="32.1" customHeight="1" x14ac:dyDescent="0.25">
      <c r="B75" s="676" t="s">
        <v>282</v>
      </c>
      <c r="C75" s="677"/>
      <c r="D75" s="677"/>
      <c r="E75" s="677"/>
      <c r="F75" s="677"/>
      <c r="G75" s="677"/>
      <c r="H75" s="677"/>
      <c r="I75" s="677"/>
      <c r="J75" s="678"/>
      <c r="K75"/>
      <c r="L75"/>
      <c r="M75"/>
    </row>
    <row r="76" spans="2:13" ht="53.1" customHeight="1" x14ac:dyDescent="0.25">
      <c r="B76" s="626" t="s">
        <v>283</v>
      </c>
      <c r="C76" s="627"/>
      <c r="D76" s="627"/>
      <c r="E76" s="627"/>
      <c r="F76" s="627"/>
      <c r="G76" s="627"/>
      <c r="H76" s="627"/>
      <c r="I76" s="627"/>
      <c r="J76" s="628"/>
      <c r="K76"/>
      <c r="L76"/>
      <c r="M76"/>
    </row>
    <row r="77" spans="2:13" ht="21" customHeight="1" x14ac:dyDescent="0.25">
      <c r="B77" s="629" t="s">
        <v>284</v>
      </c>
      <c r="C77" s="630"/>
      <c r="D77" s="630"/>
      <c r="E77" s="630"/>
      <c r="F77" s="630"/>
      <c r="G77" s="630"/>
      <c r="H77" s="631"/>
      <c r="I77" s="632" t="str">
        <f>C39</f>
        <v>meno a priezvisko</v>
      </c>
      <c r="J77" s="633"/>
      <c r="K77"/>
      <c r="L77"/>
      <c r="M77"/>
    </row>
    <row r="78" spans="2:13" ht="21" customHeight="1" x14ac:dyDescent="0.25">
      <c r="B78" s="584" t="s">
        <v>134</v>
      </c>
      <c r="C78" s="585"/>
      <c r="D78" s="586"/>
      <c r="E78" s="788" t="s">
        <v>286</v>
      </c>
      <c r="F78" s="788"/>
      <c r="G78" s="788" t="s">
        <v>287</v>
      </c>
      <c r="H78" s="788"/>
      <c r="I78" s="679" t="s">
        <v>129</v>
      </c>
      <c r="J78" s="706"/>
      <c r="K78"/>
      <c r="L78"/>
      <c r="M78"/>
    </row>
    <row r="79" spans="2:13" ht="21" customHeight="1" x14ac:dyDescent="0.25">
      <c r="B79" s="581">
        <v>200000</v>
      </c>
      <c r="C79" s="582"/>
      <c r="D79" s="583"/>
      <c r="E79" s="788">
        <v>0</v>
      </c>
      <c r="F79" s="788"/>
      <c r="G79" s="788">
        <v>2000</v>
      </c>
      <c r="H79" s="788"/>
      <c r="I79" s="789">
        <v>0</v>
      </c>
      <c r="J79" s="790"/>
      <c r="K79"/>
      <c r="L79"/>
      <c r="M79"/>
    </row>
    <row r="80" spans="2:13" ht="31.5" customHeight="1" x14ac:dyDescent="0.25">
      <c r="B80" s="112" t="s">
        <v>83</v>
      </c>
      <c r="C80" s="630" t="s">
        <v>159</v>
      </c>
      <c r="D80" s="630"/>
      <c r="E80" s="630"/>
      <c r="F80" s="630"/>
      <c r="G80" s="630"/>
      <c r="H80" s="113" t="s">
        <v>285</v>
      </c>
      <c r="I80" s="295" t="s">
        <v>105</v>
      </c>
      <c r="J80" s="296" t="s">
        <v>106</v>
      </c>
      <c r="K80"/>
      <c r="L80"/>
      <c r="M80"/>
    </row>
    <row r="81" spans="2:13" ht="44.1" customHeight="1" x14ac:dyDescent="0.25">
      <c r="B81" s="120">
        <v>1</v>
      </c>
      <c r="C81" s="613"/>
      <c r="D81" s="613"/>
      <c r="E81" s="613"/>
      <c r="F81" s="613"/>
      <c r="G81" s="613"/>
      <c r="H81" s="354"/>
      <c r="I81" s="355"/>
      <c r="J81" s="143"/>
      <c r="K81"/>
      <c r="L81"/>
      <c r="M81"/>
    </row>
    <row r="82" spans="2:13" ht="42.95" customHeight="1" x14ac:dyDescent="0.25">
      <c r="B82" s="120">
        <v>2</v>
      </c>
      <c r="C82" s="613"/>
      <c r="D82" s="613"/>
      <c r="E82" s="613"/>
      <c r="F82" s="613"/>
      <c r="G82" s="613"/>
      <c r="H82" s="354"/>
      <c r="I82" s="355"/>
      <c r="J82" s="143"/>
      <c r="K82"/>
      <c r="L82"/>
      <c r="M82"/>
    </row>
    <row r="83" spans="2:13" ht="42.6" customHeight="1" x14ac:dyDescent="0.25">
      <c r="B83" s="120">
        <v>3</v>
      </c>
      <c r="C83" s="613"/>
      <c r="D83" s="613"/>
      <c r="E83" s="613"/>
      <c r="F83" s="613"/>
      <c r="G83" s="613"/>
      <c r="H83" s="354"/>
      <c r="I83" s="355"/>
      <c r="J83" s="143"/>
      <c r="K83"/>
      <c r="L83"/>
      <c r="M83"/>
    </row>
    <row r="84" spans="2:13" ht="44.1" customHeight="1" x14ac:dyDescent="0.25">
      <c r="B84" s="120">
        <v>4</v>
      </c>
      <c r="C84" s="613"/>
      <c r="D84" s="613"/>
      <c r="E84" s="613"/>
      <c r="F84" s="613"/>
      <c r="G84" s="613"/>
      <c r="H84" s="354"/>
      <c r="I84" s="355"/>
      <c r="J84" s="143"/>
      <c r="K84"/>
      <c r="L84"/>
      <c r="M84"/>
    </row>
    <row r="85" spans="2:13" ht="42.6" customHeight="1" x14ac:dyDescent="0.25">
      <c r="B85" s="120">
        <v>5</v>
      </c>
      <c r="C85" s="613"/>
      <c r="D85" s="613"/>
      <c r="E85" s="613"/>
      <c r="F85" s="613"/>
      <c r="G85" s="613"/>
      <c r="H85" s="354"/>
      <c r="I85" s="355"/>
      <c r="J85" s="143"/>
      <c r="K85"/>
      <c r="L85"/>
      <c r="M85"/>
    </row>
    <row r="86" spans="2:13" ht="41.1" customHeight="1" x14ac:dyDescent="0.25">
      <c r="B86" s="120">
        <v>6</v>
      </c>
      <c r="C86" s="613"/>
      <c r="D86" s="613"/>
      <c r="E86" s="613"/>
      <c r="F86" s="613"/>
      <c r="G86" s="613"/>
      <c r="H86" s="354"/>
      <c r="I86" s="355"/>
      <c r="J86" s="143"/>
      <c r="K86"/>
      <c r="L86"/>
      <c r="M86"/>
    </row>
    <row r="87" spans="2:13" ht="39.6" customHeight="1" x14ac:dyDescent="0.25">
      <c r="B87" s="120">
        <v>7</v>
      </c>
      <c r="C87" s="613"/>
      <c r="D87" s="613"/>
      <c r="E87" s="613"/>
      <c r="F87" s="613"/>
      <c r="G87" s="613"/>
      <c r="H87" s="354"/>
      <c r="I87" s="355"/>
      <c r="J87" s="143"/>
      <c r="K87"/>
      <c r="L87"/>
      <c r="M87"/>
    </row>
    <row r="88" spans="2:13" ht="21" customHeight="1" x14ac:dyDescent="0.25">
      <c r="B88" s="623" t="s">
        <v>133</v>
      </c>
      <c r="C88" s="624"/>
      <c r="D88" s="624"/>
      <c r="E88" s="624"/>
      <c r="F88" s="624"/>
      <c r="G88" s="624"/>
      <c r="H88" s="624"/>
      <c r="I88" s="624"/>
      <c r="J88" s="625"/>
      <c r="K88"/>
      <c r="L88"/>
      <c r="M88"/>
    </row>
    <row r="89" spans="2:13" ht="21" customHeight="1" thickBot="1" x14ac:dyDescent="0.35">
      <c r="B89" s="591" t="s">
        <v>103</v>
      </c>
      <c r="C89" s="592"/>
      <c r="D89" s="592"/>
      <c r="E89" s="592"/>
      <c r="F89" s="592"/>
      <c r="G89" s="592"/>
      <c r="H89" s="592"/>
      <c r="I89" s="593"/>
      <c r="J89" s="121">
        <f>B79*((G79-I79)/(G79-E79))</f>
        <v>200000</v>
      </c>
      <c r="K89"/>
      <c r="L89"/>
      <c r="M89"/>
    </row>
    <row r="90" spans="2:13" ht="21" customHeight="1" thickBot="1" x14ac:dyDescent="0.35">
      <c r="B90" s="144"/>
      <c r="C90" s="144"/>
      <c r="D90" s="144"/>
      <c r="E90" s="144"/>
      <c r="F90" s="144"/>
      <c r="G90" s="144"/>
      <c r="H90" s="144"/>
      <c r="I90" s="144"/>
      <c r="J90" s="145"/>
      <c r="K90"/>
      <c r="L90"/>
      <c r="M90"/>
    </row>
    <row r="91" spans="2:13" ht="21" customHeight="1" x14ac:dyDescent="0.25">
      <c r="B91" s="676" t="s">
        <v>289</v>
      </c>
      <c r="C91" s="677"/>
      <c r="D91" s="677"/>
      <c r="E91" s="677"/>
      <c r="F91" s="677"/>
      <c r="G91" s="677"/>
      <c r="H91" s="677"/>
      <c r="I91" s="677"/>
      <c r="J91" s="678"/>
      <c r="K91"/>
      <c r="L91"/>
      <c r="M91"/>
    </row>
    <row r="92" spans="2:13" ht="60.95" customHeight="1" x14ac:dyDescent="0.25">
      <c r="B92" s="626" t="s">
        <v>290</v>
      </c>
      <c r="C92" s="627"/>
      <c r="D92" s="627"/>
      <c r="E92" s="627"/>
      <c r="F92" s="627"/>
      <c r="G92" s="627"/>
      <c r="H92" s="627"/>
      <c r="I92" s="627"/>
      <c r="J92" s="628"/>
      <c r="K92"/>
      <c r="L92"/>
      <c r="M92"/>
    </row>
    <row r="93" spans="2:13" ht="21" customHeight="1" x14ac:dyDescent="0.25">
      <c r="B93" s="629" t="s">
        <v>284</v>
      </c>
      <c r="C93" s="630"/>
      <c r="D93" s="630"/>
      <c r="E93" s="630"/>
      <c r="F93" s="630"/>
      <c r="G93" s="630"/>
      <c r="H93" s="631"/>
      <c r="I93" s="803" t="str">
        <f>C39</f>
        <v>meno a priezvisko</v>
      </c>
      <c r="J93" s="804"/>
      <c r="K93"/>
      <c r="L93"/>
      <c r="M93"/>
    </row>
    <row r="94" spans="2:13" ht="21" customHeight="1" x14ac:dyDescent="0.25">
      <c r="B94" s="584" t="s">
        <v>134</v>
      </c>
      <c r="C94" s="585"/>
      <c r="D94" s="586"/>
      <c r="E94" s="788" t="s">
        <v>291</v>
      </c>
      <c r="F94" s="788"/>
      <c r="G94" s="788" t="s">
        <v>292</v>
      </c>
      <c r="H94" s="788"/>
      <c r="I94" s="679" t="s">
        <v>129</v>
      </c>
      <c r="J94" s="706"/>
      <c r="K94"/>
      <c r="L94"/>
      <c r="M94"/>
    </row>
    <row r="95" spans="2:13" ht="21" customHeight="1" x14ac:dyDescent="0.25">
      <c r="B95" s="581">
        <v>200000</v>
      </c>
      <c r="C95" s="582"/>
      <c r="D95" s="583"/>
      <c r="E95" s="788">
        <v>0</v>
      </c>
      <c r="F95" s="788"/>
      <c r="G95" s="788">
        <v>10</v>
      </c>
      <c r="H95" s="788"/>
      <c r="I95" s="789">
        <v>0</v>
      </c>
      <c r="J95" s="790"/>
      <c r="K95"/>
      <c r="L95"/>
      <c r="M95"/>
    </row>
    <row r="96" spans="2:13" ht="36" customHeight="1" x14ac:dyDescent="0.25">
      <c r="B96" s="112" t="s">
        <v>83</v>
      </c>
      <c r="C96" s="630" t="s">
        <v>159</v>
      </c>
      <c r="D96" s="630"/>
      <c r="E96" s="630"/>
      <c r="F96" s="630"/>
      <c r="G96" s="630"/>
      <c r="H96" s="113" t="s">
        <v>285</v>
      </c>
      <c r="I96" s="295" t="s">
        <v>105</v>
      </c>
      <c r="J96" s="296" t="s">
        <v>106</v>
      </c>
      <c r="K96"/>
      <c r="L96"/>
      <c r="M96"/>
    </row>
    <row r="97" spans="2:19" ht="36.950000000000003" customHeight="1" x14ac:dyDescent="0.25">
      <c r="B97" s="120">
        <v>1</v>
      </c>
      <c r="C97" s="613"/>
      <c r="D97" s="613"/>
      <c r="E97" s="613"/>
      <c r="F97" s="613"/>
      <c r="G97" s="613"/>
      <c r="H97" s="354"/>
      <c r="I97" s="355"/>
      <c r="J97" s="143"/>
      <c r="K97"/>
      <c r="L97"/>
      <c r="M97"/>
    </row>
    <row r="98" spans="2:19" ht="33.950000000000003" customHeight="1" x14ac:dyDescent="0.25">
      <c r="B98" s="120">
        <v>2</v>
      </c>
      <c r="C98" s="613"/>
      <c r="D98" s="613"/>
      <c r="E98" s="613"/>
      <c r="F98" s="613"/>
      <c r="G98" s="613"/>
      <c r="H98" s="354"/>
      <c r="I98" s="355"/>
      <c r="J98" s="143"/>
      <c r="K98"/>
      <c r="L98"/>
      <c r="M98"/>
    </row>
    <row r="99" spans="2:19" ht="39.6" customHeight="1" x14ac:dyDescent="0.25">
      <c r="B99" s="120">
        <v>3</v>
      </c>
      <c r="C99" s="613"/>
      <c r="D99" s="613"/>
      <c r="E99" s="613"/>
      <c r="F99" s="613"/>
      <c r="G99" s="613"/>
      <c r="H99" s="354"/>
      <c r="I99" s="355"/>
      <c r="J99" s="143"/>
      <c r="K99"/>
      <c r="L99"/>
      <c r="M99"/>
    </row>
    <row r="100" spans="2:19" ht="41.1" customHeight="1" x14ac:dyDescent="0.25">
      <c r="B100" s="120">
        <v>4</v>
      </c>
      <c r="C100" s="613"/>
      <c r="D100" s="613"/>
      <c r="E100" s="613"/>
      <c r="F100" s="613"/>
      <c r="G100" s="613"/>
      <c r="H100" s="354"/>
      <c r="I100" s="355"/>
      <c r="J100" s="143"/>
      <c r="K100"/>
      <c r="L100"/>
      <c r="M100"/>
    </row>
    <row r="101" spans="2:19" ht="33" customHeight="1" x14ac:dyDescent="0.25">
      <c r="B101" s="120">
        <v>5</v>
      </c>
      <c r="C101" s="613"/>
      <c r="D101" s="613"/>
      <c r="E101" s="613"/>
      <c r="F101" s="613"/>
      <c r="G101" s="613"/>
      <c r="H101" s="354"/>
      <c r="I101" s="355"/>
      <c r="J101" s="143"/>
      <c r="K101"/>
      <c r="L101"/>
      <c r="M101"/>
    </row>
    <row r="102" spans="2:19" ht="35.450000000000003" customHeight="1" x14ac:dyDescent="0.25">
      <c r="B102" s="120">
        <v>6</v>
      </c>
      <c r="C102" s="613"/>
      <c r="D102" s="613"/>
      <c r="E102" s="613"/>
      <c r="F102" s="613"/>
      <c r="G102" s="613"/>
      <c r="H102" s="354"/>
      <c r="I102" s="355"/>
      <c r="J102" s="143"/>
      <c r="K102"/>
      <c r="L102"/>
      <c r="M102"/>
    </row>
    <row r="103" spans="2:19" ht="34.5" customHeight="1" x14ac:dyDescent="0.25">
      <c r="B103" s="120">
        <v>7</v>
      </c>
      <c r="C103" s="800"/>
      <c r="D103" s="801"/>
      <c r="E103" s="801"/>
      <c r="F103" s="801"/>
      <c r="G103" s="802"/>
      <c r="H103" s="354"/>
      <c r="I103" s="355"/>
      <c r="J103" s="143"/>
      <c r="K103"/>
      <c r="L103"/>
      <c r="M103"/>
    </row>
    <row r="104" spans="2:19" ht="29.1" customHeight="1" x14ac:dyDescent="0.25">
      <c r="B104" s="120">
        <v>8</v>
      </c>
      <c r="C104" s="800"/>
      <c r="D104" s="801"/>
      <c r="E104" s="801"/>
      <c r="F104" s="801"/>
      <c r="G104" s="802"/>
      <c r="H104" s="354"/>
      <c r="I104" s="355"/>
      <c r="J104" s="143"/>
      <c r="K104"/>
      <c r="L104"/>
      <c r="M104"/>
    </row>
    <row r="105" spans="2:19" ht="32.450000000000003" customHeight="1" x14ac:dyDescent="0.25">
      <c r="B105" s="120">
        <v>9</v>
      </c>
      <c r="C105" s="800"/>
      <c r="D105" s="801"/>
      <c r="E105" s="801"/>
      <c r="F105" s="801"/>
      <c r="G105" s="802"/>
      <c r="H105" s="354"/>
      <c r="I105" s="355"/>
      <c r="J105" s="143"/>
      <c r="K105"/>
      <c r="L105"/>
      <c r="M105"/>
    </row>
    <row r="106" spans="2:19" ht="33" customHeight="1" x14ac:dyDescent="0.25">
      <c r="B106" s="120">
        <v>10</v>
      </c>
      <c r="C106" s="613"/>
      <c r="D106" s="613"/>
      <c r="E106" s="613"/>
      <c r="F106" s="613"/>
      <c r="G106" s="613"/>
      <c r="H106" s="354"/>
      <c r="I106" s="355"/>
      <c r="J106" s="143"/>
      <c r="K106"/>
      <c r="L106"/>
      <c r="M106"/>
    </row>
    <row r="107" spans="2:19" ht="21" customHeight="1" x14ac:dyDescent="0.25">
      <c r="B107" s="623" t="s">
        <v>133</v>
      </c>
      <c r="C107" s="624"/>
      <c r="D107" s="624"/>
      <c r="E107" s="624"/>
      <c r="F107" s="624"/>
      <c r="G107" s="624"/>
      <c r="H107" s="624"/>
      <c r="I107" s="624"/>
      <c r="J107" s="625"/>
      <c r="K107"/>
      <c r="L107"/>
      <c r="M107"/>
    </row>
    <row r="108" spans="2:19" ht="21" customHeight="1" thickBot="1" x14ac:dyDescent="0.35">
      <c r="B108" s="591" t="s">
        <v>103</v>
      </c>
      <c r="C108" s="592"/>
      <c r="D108" s="592"/>
      <c r="E108" s="592"/>
      <c r="F108" s="592"/>
      <c r="G108" s="592"/>
      <c r="H108" s="592"/>
      <c r="I108" s="593"/>
      <c r="J108" s="121">
        <f>B95*((G95-I95)/(G95-E95))</f>
        <v>200000</v>
      </c>
      <c r="K108"/>
      <c r="L108"/>
      <c r="M108"/>
    </row>
    <row r="109" spans="2:19" ht="19.5" customHeight="1" thickBot="1" x14ac:dyDescent="0.3">
      <c r="K109"/>
      <c r="L109"/>
      <c r="M109"/>
    </row>
    <row r="110" spans="2:19" ht="27.75" customHeight="1" x14ac:dyDescent="0.25">
      <c r="B110" s="644" t="s">
        <v>288</v>
      </c>
      <c r="C110" s="645"/>
      <c r="D110" s="645"/>
      <c r="E110" s="645"/>
      <c r="F110" s="645"/>
      <c r="G110" s="645"/>
      <c r="H110" s="645"/>
      <c r="I110" s="645"/>
      <c r="J110" s="646"/>
      <c r="K110"/>
      <c r="L110"/>
      <c r="M110"/>
      <c r="R110" s="313">
        <f>Q115+S115</f>
        <v>568.38000000000022</v>
      </c>
      <c r="S110" s="14">
        <f>R110/1.8</f>
        <v>315.76666666666677</v>
      </c>
    </row>
    <row r="111" spans="2:19" ht="21" customHeight="1" x14ac:dyDescent="0.25">
      <c r="B111" s="660" t="s">
        <v>93</v>
      </c>
      <c r="C111" s="642"/>
      <c r="D111" s="642"/>
      <c r="E111" s="642"/>
      <c r="F111" s="642"/>
      <c r="G111" s="642" t="s">
        <v>3047</v>
      </c>
      <c r="H111" s="642"/>
      <c r="I111" s="642" t="s">
        <v>3048</v>
      </c>
      <c r="J111" s="643"/>
      <c r="K111"/>
      <c r="L111"/>
      <c r="M111"/>
    </row>
    <row r="112" spans="2:19" ht="16.5" customHeight="1" x14ac:dyDescent="0.25">
      <c r="B112" s="664">
        <v>70</v>
      </c>
      <c r="C112" s="665"/>
      <c r="D112" s="665"/>
      <c r="E112" s="665"/>
      <c r="F112" s="665"/>
      <c r="G112" s="634">
        <v>0</v>
      </c>
      <c r="H112" s="634"/>
      <c r="I112" s="634">
        <v>25</v>
      </c>
      <c r="J112" s="635"/>
      <c r="K112"/>
      <c r="L112"/>
      <c r="M112"/>
      <c r="R112" s="313">
        <f>S117+Q117</f>
        <v>340.82700000000011</v>
      </c>
    </row>
    <row r="113" spans="2:19" ht="16.5" customHeight="1" x14ac:dyDescent="0.25">
      <c r="B113" s="639" t="s">
        <v>3051</v>
      </c>
      <c r="C113" s="640"/>
      <c r="D113" s="640"/>
      <c r="E113" s="640"/>
      <c r="F113" s="640"/>
      <c r="G113" s="640"/>
      <c r="H113" s="640"/>
      <c r="I113" s="640"/>
      <c r="J113" s="641"/>
      <c r="K113"/>
      <c r="L113"/>
      <c r="M113"/>
    </row>
    <row r="114" spans="2:19" ht="33" customHeight="1" x14ac:dyDescent="0.25">
      <c r="B114" s="308" t="s">
        <v>3057</v>
      </c>
      <c r="C114" s="306" t="s">
        <v>3035</v>
      </c>
      <c r="D114" s="306" t="s">
        <v>3034</v>
      </c>
      <c r="E114" s="306" t="s">
        <v>3036</v>
      </c>
      <c r="F114" s="306" t="s">
        <v>3034</v>
      </c>
      <c r="G114" s="306" t="s">
        <v>3037</v>
      </c>
      <c r="H114" s="306" t="s">
        <v>3034</v>
      </c>
      <c r="I114" s="309" t="s">
        <v>3038</v>
      </c>
      <c r="J114" s="307" t="s">
        <v>3034</v>
      </c>
      <c r="K114"/>
      <c r="L114" s="312" t="s">
        <v>3039</v>
      </c>
      <c r="M114" s="312" t="s">
        <v>3040</v>
      </c>
      <c r="N114" s="312" t="s">
        <v>3041</v>
      </c>
      <c r="O114" s="312" t="s">
        <v>3042</v>
      </c>
      <c r="P114" s="312" t="s">
        <v>3043</v>
      </c>
      <c r="Q114" s="312" t="s">
        <v>3044</v>
      </c>
      <c r="R114" s="312" t="s">
        <v>3045</v>
      </c>
      <c r="S114" s="312" t="s">
        <v>3046</v>
      </c>
    </row>
    <row r="115" spans="2:19" ht="16.5" customHeight="1" x14ac:dyDescent="0.25">
      <c r="B115" s="300" t="s">
        <v>3020</v>
      </c>
      <c r="C115" s="301">
        <v>537.86</v>
      </c>
      <c r="D115" s="302">
        <v>0</v>
      </c>
      <c r="E115" s="303">
        <v>1547.38</v>
      </c>
      <c r="F115" s="302">
        <v>0</v>
      </c>
      <c r="G115" s="301">
        <v>303.60000000000002</v>
      </c>
      <c r="H115" s="302">
        <v>0</v>
      </c>
      <c r="I115" s="303">
        <v>1591</v>
      </c>
      <c r="J115" s="304">
        <v>0</v>
      </c>
      <c r="K115"/>
      <c r="L115" s="14">
        <f>C115*((70+D115)/100)</f>
        <v>376.50200000000001</v>
      </c>
      <c r="M115">
        <f>C115-L115</f>
        <v>161.358</v>
      </c>
      <c r="N115" s="14">
        <f>E115*((70+F115)/100)</f>
        <v>1083.1659999999999</v>
      </c>
      <c r="O115" s="313">
        <f>E115-N115</f>
        <v>464.21400000000017</v>
      </c>
      <c r="P115" s="14">
        <f>G115*((70+H115)/100)</f>
        <v>212.52</v>
      </c>
      <c r="Q115" s="14">
        <f>G115-P115</f>
        <v>91.080000000000013</v>
      </c>
      <c r="R115" s="14">
        <f>I115*((70+J115)/100)</f>
        <v>1113.6999999999998</v>
      </c>
      <c r="S115" s="313">
        <f>I115-R115</f>
        <v>477.30000000000018</v>
      </c>
    </row>
    <row r="116" spans="2:19" ht="16.5" customHeight="1" x14ac:dyDescent="0.25">
      <c r="B116" s="300" t="s">
        <v>3021</v>
      </c>
      <c r="C116" s="301">
        <v>49.59</v>
      </c>
      <c r="D116" s="302">
        <v>0</v>
      </c>
      <c r="E116" s="301">
        <v>81.38</v>
      </c>
      <c r="F116" s="302">
        <v>0</v>
      </c>
      <c r="G116" s="301">
        <v>63.6</v>
      </c>
      <c r="H116" s="302">
        <v>0</v>
      </c>
      <c r="I116" s="303">
        <v>2438.3000000000002</v>
      </c>
      <c r="J116" s="304">
        <v>0</v>
      </c>
      <c r="K116"/>
      <c r="L116" s="14">
        <f t="shared" ref="L116:L135" si="0">C116*((70+D116)/100)</f>
        <v>34.713000000000001</v>
      </c>
      <c r="M116">
        <f t="shared" ref="M116:M135" si="1">C116-L116</f>
        <v>14.877000000000002</v>
      </c>
      <c r="N116" s="14">
        <f t="shared" ref="N116:N135" si="2">E116*((70+F116)/100)</f>
        <v>56.965999999999994</v>
      </c>
      <c r="O116" s="313">
        <f t="shared" ref="O116:O135" si="3">E116-N116</f>
        <v>24.414000000000001</v>
      </c>
      <c r="P116" s="14">
        <f>G116*((70+H116)/100)</f>
        <v>44.519999999999996</v>
      </c>
      <c r="Q116" s="14">
        <f t="shared" ref="Q116:Q118" si="4">G116-P116</f>
        <v>19.080000000000005</v>
      </c>
      <c r="R116" s="14">
        <f t="shared" ref="R116:R135" si="5">I116*((70+J116)/100)</f>
        <v>1706.81</v>
      </c>
      <c r="S116" s="313">
        <f t="shared" ref="S116:S135" si="6">I116-R116</f>
        <v>731.49000000000024</v>
      </c>
    </row>
    <row r="117" spans="2:19" ht="16.5" customHeight="1" x14ac:dyDescent="0.25">
      <c r="B117" s="300" t="s">
        <v>3022</v>
      </c>
      <c r="C117" s="301">
        <v>260.36</v>
      </c>
      <c r="D117" s="302">
        <v>0</v>
      </c>
      <c r="E117" s="301">
        <v>495</v>
      </c>
      <c r="F117" s="302">
        <v>0</v>
      </c>
      <c r="G117" s="301">
        <v>206.5</v>
      </c>
      <c r="H117" s="302">
        <v>0</v>
      </c>
      <c r="I117" s="301">
        <v>929.59</v>
      </c>
      <c r="J117" s="304">
        <v>0</v>
      </c>
      <c r="K117"/>
      <c r="L117" s="14">
        <f t="shared" si="0"/>
        <v>182.25200000000001</v>
      </c>
      <c r="M117">
        <f t="shared" si="1"/>
        <v>78.108000000000004</v>
      </c>
      <c r="N117" s="14">
        <f t="shared" si="2"/>
        <v>346.5</v>
      </c>
      <c r="O117" s="313">
        <f t="shared" si="3"/>
        <v>148.5</v>
      </c>
      <c r="P117" s="14">
        <f>G117*((70+H117)/100)</f>
        <v>144.54999999999998</v>
      </c>
      <c r="Q117" s="14">
        <f t="shared" si="4"/>
        <v>61.950000000000017</v>
      </c>
      <c r="R117" s="14">
        <f t="shared" si="5"/>
        <v>650.71299999999997</v>
      </c>
      <c r="S117" s="313">
        <f t="shared" si="6"/>
        <v>278.87700000000007</v>
      </c>
    </row>
    <row r="118" spans="2:19" ht="16.5" customHeight="1" x14ac:dyDescent="0.25">
      <c r="B118" s="300" t="s">
        <v>3023</v>
      </c>
      <c r="C118" s="301">
        <v>285.20999999999998</v>
      </c>
      <c r="D118" s="302">
        <v>0</v>
      </c>
      <c r="E118" s="301">
        <v>703</v>
      </c>
      <c r="F118" s="302">
        <v>0</v>
      </c>
      <c r="G118" s="301">
        <v>221.6</v>
      </c>
      <c r="H118" s="302">
        <v>0</v>
      </c>
      <c r="I118" s="301">
        <v>183.15</v>
      </c>
      <c r="J118" s="304">
        <v>0</v>
      </c>
      <c r="K118"/>
      <c r="L118" s="14">
        <f t="shared" si="0"/>
        <v>199.64699999999996</v>
      </c>
      <c r="M118">
        <f t="shared" si="1"/>
        <v>85.563000000000017</v>
      </c>
      <c r="N118" s="14">
        <f t="shared" si="2"/>
        <v>492.09999999999997</v>
      </c>
      <c r="O118" s="313">
        <f t="shared" si="3"/>
        <v>210.90000000000003</v>
      </c>
      <c r="P118" s="14">
        <f>G118*((70+H118)/100)</f>
        <v>155.11999999999998</v>
      </c>
      <c r="Q118" s="14">
        <f t="shared" si="4"/>
        <v>66.480000000000018</v>
      </c>
      <c r="R118" s="14">
        <f t="shared" si="5"/>
        <v>128.20499999999998</v>
      </c>
      <c r="S118" s="313">
        <f t="shared" si="6"/>
        <v>54.945000000000022</v>
      </c>
    </row>
    <row r="119" spans="2:19" ht="16.5" customHeight="1" x14ac:dyDescent="0.25">
      <c r="B119" s="300" t="s">
        <v>3024</v>
      </c>
      <c r="C119" s="301">
        <v>32.4</v>
      </c>
      <c r="D119" s="302">
        <v>0</v>
      </c>
      <c r="E119" s="301"/>
      <c r="F119" s="301"/>
      <c r="G119" s="301"/>
      <c r="H119" s="301"/>
      <c r="I119" s="305">
        <v>5942</v>
      </c>
      <c r="J119" s="304">
        <v>0</v>
      </c>
      <c r="K119"/>
      <c r="L119" s="14">
        <f t="shared" si="0"/>
        <v>22.679999999999996</v>
      </c>
      <c r="M119">
        <f t="shared" si="1"/>
        <v>9.7200000000000024</v>
      </c>
      <c r="O119" s="313"/>
      <c r="R119" s="14">
        <f t="shared" si="5"/>
        <v>4159.3999999999996</v>
      </c>
      <c r="S119" s="313">
        <f t="shared" si="6"/>
        <v>1782.6000000000004</v>
      </c>
    </row>
    <row r="120" spans="2:19" ht="16.5" customHeight="1" x14ac:dyDescent="0.25">
      <c r="B120" s="300" t="s">
        <v>3025</v>
      </c>
      <c r="C120" s="301">
        <v>18</v>
      </c>
      <c r="D120" s="302">
        <v>0</v>
      </c>
      <c r="E120" s="301"/>
      <c r="F120" s="301"/>
      <c r="G120" s="301"/>
      <c r="H120" s="301"/>
      <c r="I120" s="305">
        <v>2749</v>
      </c>
      <c r="J120" s="304">
        <v>0</v>
      </c>
      <c r="K120"/>
      <c r="L120" s="14">
        <f t="shared" si="0"/>
        <v>12.6</v>
      </c>
      <c r="M120">
        <f t="shared" si="1"/>
        <v>5.4</v>
      </c>
      <c r="O120" s="313"/>
      <c r="R120" s="14">
        <f t="shared" si="5"/>
        <v>1924.3</v>
      </c>
      <c r="S120" s="313">
        <f t="shared" si="6"/>
        <v>824.7</v>
      </c>
    </row>
    <row r="121" spans="2:19" ht="16.5" customHeight="1" x14ac:dyDescent="0.25">
      <c r="B121" s="300" t="s">
        <v>3026</v>
      </c>
      <c r="C121" s="301">
        <v>32.5</v>
      </c>
      <c r="D121" s="302">
        <v>0</v>
      </c>
      <c r="E121" s="301"/>
      <c r="F121" s="301"/>
      <c r="G121" s="301"/>
      <c r="H121" s="301"/>
      <c r="I121" s="301">
        <v>10.8</v>
      </c>
      <c r="J121" s="304">
        <v>0</v>
      </c>
      <c r="K121"/>
      <c r="L121" s="14">
        <f t="shared" si="0"/>
        <v>22.75</v>
      </c>
      <c r="M121">
        <f t="shared" si="1"/>
        <v>9.75</v>
      </c>
      <c r="O121" s="313"/>
      <c r="R121" s="14">
        <f t="shared" si="5"/>
        <v>7.56</v>
      </c>
      <c r="S121" s="313">
        <f t="shared" si="6"/>
        <v>3.2400000000000011</v>
      </c>
    </row>
    <row r="122" spans="2:19" ht="16.5" customHeight="1" x14ac:dyDescent="0.25">
      <c r="B122" s="300" t="s">
        <v>3027</v>
      </c>
      <c r="C122" s="301">
        <v>2.8</v>
      </c>
      <c r="D122" s="302">
        <v>0</v>
      </c>
      <c r="E122" s="301"/>
      <c r="F122" s="301"/>
      <c r="G122" s="301"/>
      <c r="H122" s="301"/>
      <c r="I122" s="301">
        <v>2.2000000000000002</v>
      </c>
      <c r="J122" s="304">
        <v>0</v>
      </c>
      <c r="K122"/>
      <c r="L122" s="14">
        <f t="shared" si="0"/>
        <v>1.9599999999999997</v>
      </c>
      <c r="M122">
        <f t="shared" si="1"/>
        <v>0.84000000000000008</v>
      </c>
      <c r="O122" s="313"/>
      <c r="R122" s="14">
        <f t="shared" si="5"/>
        <v>1.54</v>
      </c>
      <c r="S122" s="313">
        <f t="shared" si="6"/>
        <v>0.66000000000000014</v>
      </c>
    </row>
    <row r="123" spans="2:19" ht="16.5" customHeight="1" x14ac:dyDescent="0.25">
      <c r="B123" s="300" t="s">
        <v>3028</v>
      </c>
      <c r="C123" s="301">
        <v>499.8</v>
      </c>
      <c r="D123" s="302">
        <v>0</v>
      </c>
      <c r="E123" s="301"/>
      <c r="F123" s="301"/>
      <c r="G123" s="301"/>
      <c r="H123" s="301"/>
      <c r="I123" s="301">
        <v>252.18</v>
      </c>
      <c r="J123" s="304">
        <v>0</v>
      </c>
      <c r="K123"/>
      <c r="L123" s="14">
        <f t="shared" si="0"/>
        <v>349.86</v>
      </c>
      <c r="M123">
        <f t="shared" si="1"/>
        <v>149.94</v>
      </c>
      <c r="O123" s="313"/>
      <c r="R123" s="14">
        <f t="shared" si="5"/>
        <v>176.52599999999998</v>
      </c>
      <c r="S123" s="313">
        <f t="shared" si="6"/>
        <v>75.654000000000025</v>
      </c>
    </row>
    <row r="124" spans="2:19" ht="16.5" customHeight="1" x14ac:dyDescent="0.25">
      <c r="B124" s="300" t="s">
        <v>3029</v>
      </c>
      <c r="C124" s="301">
        <v>15</v>
      </c>
      <c r="D124" s="302">
        <v>0</v>
      </c>
      <c r="E124" s="301"/>
      <c r="F124" s="301"/>
      <c r="G124" s="301"/>
      <c r="H124" s="301"/>
      <c r="I124" s="301">
        <v>171</v>
      </c>
      <c r="J124" s="304">
        <v>0</v>
      </c>
      <c r="K124"/>
      <c r="L124" s="14">
        <f t="shared" si="0"/>
        <v>10.5</v>
      </c>
      <c r="M124">
        <f t="shared" si="1"/>
        <v>4.5</v>
      </c>
      <c r="O124" s="313"/>
      <c r="R124" s="14">
        <f t="shared" si="5"/>
        <v>119.69999999999999</v>
      </c>
      <c r="S124" s="313">
        <f t="shared" si="6"/>
        <v>51.300000000000011</v>
      </c>
    </row>
    <row r="125" spans="2:19" ht="16.5" customHeight="1" x14ac:dyDescent="0.25">
      <c r="B125" s="300" t="s">
        <v>3030</v>
      </c>
      <c r="C125" s="301">
        <v>15</v>
      </c>
      <c r="D125" s="302">
        <v>0</v>
      </c>
      <c r="E125" s="301"/>
      <c r="F125" s="301"/>
      <c r="G125" s="301"/>
      <c r="H125" s="301"/>
      <c r="I125" s="301">
        <v>9</v>
      </c>
      <c r="J125" s="304">
        <v>0</v>
      </c>
      <c r="K125"/>
      <c r="L125" s="14">
        <f t="shared" si="0"/>
        <v>10.5</v>
      </c>
      <c r="M125">
        <f t="shared" si="1"/>
        <v>4.5</v>
      </c>
      <c r="O125" s="313"/>
      <c r="R125" s="14">
        <f t="shared" si="5"/>
        <v>6.3</v>
      </c>
      <c r="S125" s="313">
        <f t="shared" si="6"/>
        <v>2.7</v>
      </c>
    </row>
    <row r="126" spans="2:19" ht="16.5" customHeight="1" x14ac:dyDescent="0.25">
      <c r="B126" s="300" t="s">
        <v>3031</v>
      </c>
      <c r="C126" s="301">
        <v>12.5</v>
      </c>
      <c r="D126" s="302">
        <v>0</v>
      </c>
      <c r="E126" s="301"/>
      <c r="F126" s="301"/>
      <c r="G126" s="301"/>
      <c r="H126" s="301"/>
      <c r="I126" s="301">
        <v>3.6</v>
      </c>
      <c r="J126" s="304">
        <v>0</v>
      </c>
      <c r="K126"/>
      <c r="L126" s="14">
        <f t="shared" si="0"/>
        <v>8.75</v>
      </c>
      <c r="M126">
        <f t="shared" si="1"/>
        <v>3.75</v>
      </c>
      <c r="O126" s="313"/>
      <c r="R126" s="14">
        <f t="shared" si="5"/>
        <v>2.52</v>
      </c>
      <c r="S126" s="313">
        <f t="shared" si="6"/>
        <v>1.08</v>
      </c>
    </row>
    <row r="127" spans="2:19" ht="16.5" customHeight="1" x14ac:dyDescent="0.25">
      <c r="B127" s="300" t="s">
        <v>3032</v>
      </c>
      <c r="C127" s="301"/>
      <c r="D127" s="301"/>
      <c r="E127" s="301"/>
      <c r="F127" s="301"/>
      <c r="G127" s="301"/>
      <c r="H127" s="301"/>
      <c r="I127" s="301">
        <v>60.45</v>
      </c>
      <c r="J127" s="304">
        <v>0</v>
      </c>
      <c r="K127"/>
      <c r="M127"/>
      <c r="O127" s="313"/>
      <c r="R127" s="14">
        <f t="shared" si="5"/>
        <v>42.314999999999998</v>
      </c>
      <c r="S127" s="313">
        <f t="shared" si="6"/>
        <v>18.135000000000005</v>
      </c>
    </row>
    <row r="128" spans="2:19" ht="16.5" customHeight="1" x14ac:dyDescent="0.25">
      <c r="B128" s="300" t="s">
        <v>3033</v>
      </c>
      <c r="C128" s="301"/>
      <c r="D128" s="301"/>
      <c r="E128" s="301"/>
      <c r="F128" s="301"/>
      <c r="G128" s="301"/>
      <c r="H128" s="301"/>
      <c r="I128" s="301">
        <v>123.1</v>
      </c>
      <c r="J128" s="304">
        <v>0</v>
      </c>
      <c r="K128"/>
      <c r="M128"/>
      <c r="O128" s="313"/>
      <c r="R128" s="14">
        <f t="shared" si="5"/>
        <v>86.169999999999987</v>
      </c>
      <c r="S128" s="313">
        <f t="shared" si="6"/>
        <v>36.930000000000007</v>
      </c>
    </row>
    <row r="129" spans="2:19" ht="16.5" customHeight="1" x14ac:dyDescent="0.25">
      <c r="B129" s="300" t="s">
        <v>385</v>
      </c>
      <c r="C129" s="301">
        <v>1.3</v>
      </c>
      <c r="D129" s="302">
        <v>0</v>
      </c>
      <c r="E129" s="301"/>
      <c r="F129" s="301"/>
      <c r="G129" s="301"/>
      <c r="H129" s="301"/>
      <c r="I129" s="301">
        <v>6.1</v>
      </c>
      <c r="J129" s="304">
        <v>0</v>
      </c>
      <c r="K129"/>
      <c r="L129" s="14">
        <f t="shared" si="0"/>
        <v>0.90999999999999992</v>
      </c>
      <c r="M129">
        <f t="shared" si="1"/>
        <v>0.39000000000000012</v>
      </c>
      <c r="O129" s="313"/>
      <c r="R129" s="14">
        <f t="shared" si="5"/>
        <v>4.2699999999999996</v>
      </c>
      <c r="S129" s="313">
        <f t="shared" si="6"/>
        <v>1.83</v>
      </c>
    </row>
    <row r="130" spans="2:19" ht="16.5" customHeight="1" x14ac:dyDescent="0.25">
      <c r="B130" s="300" t="s">
        <v>388</v>
      </c>
      <c r="C130" s="301"/>
      <c r="D130" s="301"/>
      <c r="E130" s="301"/>
      <c r="F130" s="301"/>
      <c r="G130" s="301"/>
      <c r="H130" s="301"/>
      <c r="I130" s="301">
        <v>12.96</v>
      </c>
      <c r="J130" s="304">
        <v>0</v>
      </c>
      <c r="K130"/>
      <c r="M130"/>
      <c r="O130" s="313"/>
      <c r="R130" s="14">
        <f t="shared" si="5"/>
        <v>9.0719999999999992</v>
      </c>
      <c r="S130" s="313">
        <f t="shared" si="6"/>
        <v>3.8880000000000017</v>
      </c>
    </row>
    <row r="131" spans="2:19" ht="16.5" customHeight="1" x14ac:dyDescent="0.25">
      <c r="B131" s="300" t="s">
        <v>391</v>
      </c>
      <c r="C131" s="301"/>
      <c r="D131" s="301"/>
      <c r="E131" s="301"/>
      <c r="F131" s="301"/>
      <c r="G131" s="301"/>
      <c r="H131" s="301"/>
      <c r="I131" s="301">
        <v>52.91</v>
      </c>
      <c r="J131" s="304">
        <v>0</v>
      </c>
      <c r="K131"/>
      <c r="M131"/>
      <c r="O131" s="313"/>
      <c r="R131" s="14">
        <f t="shared" si="5"/>
        <v>37.036999999999992</v>
      </c>
      <c r="S131" s="313">
        <f t="shared" si="6"/>
        <v>15.873000000000005</v>
      </c>
    </row>
    <row r="132" spans="2:19" ht="16.5" customHeight="1" x14ac:dyDescent="0.25">
      <c r="B132" s="300" t="s">
        <v>396</v>
      </c>
      <c r="C132" s="301">
        <v>51.97</v>
      </c>
      <c r="D132" s="302">
        <v>0</v>
      </c>
      <c r="E132" s="301">
        <v>25.5</v>
      </c>
      <c r="F132" s="302">
        <v>0</v>
      </c>
      <c r="G132" s="301"/>
      <c r="H132" s="301"/>
      <c r="I132" s="301">
        <v>112.87</v>
      </c>
      <c r="J132" s="304">
        <v>0</v>
      </c>
      <c r="K132"/>
      <c r="L132" s="14">
        <f t="shared" si="0"/>
        <v>36.378999999999998</v>
      </c>
      <c r="M132">
        <f t="shared" si="1"/>
        <v>15.591000000000001</v>
      </c>
      <c r="N132" s="14">
        <f t="shared" si="2"/>
        <v>17.849999999999998</v>
      </c>
      <c r="O132" s="313">
        <f t="shared" si="3"/>
        <v>7.6500000000000021</v>
      </c>
      <c r="R132" s="14">
        <f t="shared" si="5"/>
        <v>79.009</v>
      </c>
      <c r="S132" s="313">
        <f t="shared" si="6"/>
        <v>33.861000000000004</v>
      </c>
    </row>
    <row r="133" spans="2:19" ht="16.5" customHeight="1" x14ac:dyDescent="0.25">
      <c r="B133" s="300" t="s">
        <v>399</v>
      </c>
      <c r="C133" s="301">
        <v>23.04</v>
      </c>
      <c r="D133" s="302">
        <v>0</v>
      </c>
      <c r="E133" s="301">
        <v>18.98</v>
      </c>
      <c r="F133" s="302">
        <v>0</v>
      </c>
      <c r="G133" s="301"/>
      <c r="H133" s="301"/>
      <c r="I133" s="301">
        <v>44.28</v>
      </c>
      <c r="J133" s="304">
        <v>0</v>
      </c>
      <c r="K133"/>
      <c r="L133" s="14">
        <f t="shared" si="0"/>
        <v>16.128</v>
      </c>
      <c r="M133">
        <f t="shared" si="1"/>
        <v>6.911999999999999</v>
      </c>
      <c r="N133" s="14">
        <f t="shared" si="2"/>
        <v>13.286</v>
      </c>
      <c r="O133" s="313">
        <f t="shared" si="3"/>
        <v>5.6940000000000008</v>
      </c>
      <c r="R133" s="14">
        <f t="shared" si="5"/>
        <v>30.995999999999999</v>
      </c>
      <c r="S133" s="313">
        <f t="shared" si="6"/>
        <v>13.284000000000002</v>
      </c>
    </row>
    <row r="134" spans="2:19" ht="16.5" customHeight="1" x14ac:dyDescent="0.25">
      <c r="B134" s="300" t="s">
        <v>402</v>
      </c>
      <c r="C134" s="301">
        <v>35.630000000000003</v>
      </c>
      <c r="D134" s="302">
        <v>0</v>
      </c>
      <c r="E134" s="301">
        <v>53.44</v>
      </c>
      <c r="F134" s="302">
        <v>0</v>
      </c>
      <c r="G134" s="301"/>
      <c r="H134" s="301"/>
      <c r="I134" s="301">
        <v>80.61</v>
      </c>
      <c r="J134" s="304">
        <v>0</v>
      </c>
      <c r="K134"/>
      <c r="L134" s="14">
        <f t="shared" si="0"/>
        <v>24.940999999999999</v>
      </c>
      <c r="M134">
        <f t="shared" si="1"/>
        <v>10.689000000000004</v>
      </c>
      <c r="N134" s="14">
        <f t="shared" si="2"/>
        <v>37.407999999999994</v>
      </c>
      <c r="O134" s="313">
        <f t="shared" si="3"/>
        <v>16.032000000000004</v>
      </c>
      <c r="R134" s="14">
        <f t="shared" si="5"/>
        <v>56.426999999999992</v>
      </c>
      <c r="S134" s="313">
        <f t="shared" si="6"/>
        <v>24.183000000000007</v>
      </c>
    </row>
    <row r="135" spans="2:19" ht="16.5" customHeight="1" x14ac:dyDescent="0.25">
      <c r="B135" s="300" t="s">
        <v>405</v>
      </c>
      <c r="C135" s="301">
        <v>34.5</v>
      </c>
      <c r="D135" s="302">
        <v>0</v>
      </c>
      <c r="E135" s="301">
        <v>9.4</v>
      </c>
      <c r="F135" s="302">
        <v>0</v>
      </c>
      <c r="G135" s="301"/>
      <c r="H135" s="301"/>
      <c r="I135" s="301">
        <v>41.46</v>
      </c>
      <c r="J135" s="304">
        <v>0</v>
      </c>
      <c r="K135"/>
      <c r="L135" s="14">
        <f t="shared" si="0"/>
        <v>24.15</v>
      </c>
      <c r="M135">
        <f t="shared" si="1"/>
        <v>10.350000000000001</v>
      </c>
      <c r="N135" s="14">
        <f t="shared" si="2"/>
        <v>6.58</v>
      </c>
      <c r="O135" s="313">
        <f t="shared" si="3"/>
        <v>2.8200000000000003</v>
      </c>
      <c r="R135" s="14">
        <f t="shared" si="5"/>
        <v>29.021999999999998</v>
      </c>
      <c r="S135" s="313">
        <f t="shared" si="6"/>
        <v>12.438000000000002</v>
      </c>
    </row>
    <row r="136" spans="2:19" ht="61.5" customHeight="1" x14ac:dyDescent="0.25">
      <c r="B136" s="297" t="s">
        <v>36</v>
      </c>
      <c r="C136" s="298" t="s">
        <v>92</v>
      </c>
      <c r="D136" s="809" t="s">
        <v>93</v>
      </c>
      <c r="E136" s="810"/>
      <c r="F136" s="298" t="s">
        <v>94</v>
      </c>
      <c r="G136" s="298" t="s">
        <v>95</v>
      </c>
      <c r="H136" s="298" t="s">
        <v>96</v>
      </c>
      <c r="I136" s="298" t="s">
        <v>134</v>
      </c>
      <c r="J136" s="299" t="s">
        <v>143</v>
      </c>
      <c r="K136"/>
      <c r="L136" s="316">
        <f t="shared" ref="L136:S136" si="7">SUM(L115:L135)</f>
        <v>1335.222</v>
      </c>
      <c r="M136" s="316">
        <f t="shared" si="7"/>
        <v>572.23800000000006</v>
      </c>
      <c r="N136" s="316">
        <f t="shared" si="7"/>
        <v>2053.8559999999998</v>
      </c>
      <c r="O136" s="316">
        <f t="shared" si="7"/>
        <v>880.22400000000027</v>
      </c>
      <c r="P136" s="316">
        <f t="shared" si="7"/>
        <v>556.71</v>
      </c>
      <c r="Q136" s="316">
        <f t="shared" si="7"/>
        <v>238.59000000000006</v>
      </c>
      <c r="R136" s="316">
        <f t="shared" si="7"/>
        <v>10371.592000000001</v>
      </c>
      <c r="S136" s="316">
        <f t="shared" si="7"/>
        <v>4444.9679999999998</v>
      </c>
    </row>
    <row r="137" spans="2:19" ht="19.5" customHeight="1" x14ac:dyDescent="0.25">
      <c r="B137" s="811" t="s">
        <v>3018</v>
      </c>
      <c r="C137" s="812"/>
      <c r="D137" s="812"/>
      <c r="E137" s="812"/>
      <c r="F137" s="812"/>
      <c r="G137" s="812"/>
      <c r="H137" s="812"/>
      <c r="I137" s="812"/>
      <c r="J137" s="813"/>
      <c r="K137"/>
      <c r="L137" t="s">
        <v>3050</v>
      </c>
      <c r="M137"/>
    </row>
    <row r="138" spans="2:19" ht="23.25" customHeight="1" x14ac:dyDescent="0.25">
      <c r="B138" s="130" t="s">
        <v>294</v>
      </c>
      <c r="C138" s="310">
        <f>SUM(C115:C135)</f>
        <v>1907.46</v>
      </c>
      <c r="D138" s="805">
        <v>70</v>
      </c>
      <c r="E138" s="806"/>
      <c r="F138" s="350">
        <f>(H138-(C138-(C138*0.3)))/C138*100</f>
        <v>-1.1920232950794882E-14</v>
      </c>
      <c r="G138" s="131">
        <f>D138+F138</f>
        <v>69.999999999999986</v>
      </c>
      <c r="H138" s="140">
        <f>L136</f>
        <v>1335.222</v>
      </c>
      <c r="I138" s="315">
        <v>3000</v>
      </c>
      <c r="J138" s="132">
        <f>I138-(I138*(F138/$I$112))</f>
        <v>3000.0000000000014</v>
      </c>
      <c r="K138"/>
      <c r="L138">
        <f>C138*0.25</f>
        <v>476.86500000000001</v>
      </c>
      <c r="M138"/>
    </row>
    <row r="139" spans="2:19" ht="32.25" customHeight="1" x14ac:dyDescent="0.25">
      <c r="B139" s="130" t="s">
        <v>295</v>
      </c>
      <c r="C139" s="310">
        <f>SUM(E115:E135)</f>
        <v>2934.0800000000004</v>
      </c>
      <c r="D139" s="805">
        <v>70</v>
      </c>
      <c r="E139" s="806"/>
      <c r="F139" s="350">
        <f>(H139-(C139-(C139*0.3)))/C139*100</f>
        <v>-1.5498805447924528E-14</v>
      </c>
      <c r="G139" s="131">
        <f>D139+F139</f>
        <v>69.999999999999986</v>
      </c>
      <c r="H139" s="140">
        <f>N136</f>
        <v>2053.8559999999998</v>
      </c>
      <c r="I139" s="315">
        <v>3000</v>
      </c>
      <c r="J139" s="132">
        <f>I139-(I139*(F139/$I$112))</f>
        <v>3000.0000000000018</v>
      </c>
      <c r="K139"/>
      <c r="L139">
        <f t="shared" ref="L139:L141" si="8">C139*0.25</f>
        <v>733.5200000000001</v>
      </c>
      <c r="M139"/>
    </row>
    <row r="140" spans="2:19" ht="34.5" customHeight="1" x14ac:dyDescent="0.25">
      <c r="B140" s="138" t="s">
        <v>3017</v>
      </c>
      <c r="C140" s="310">
        <f>SUM(G115:G135)</f>
        <v>795.30000000000007</v>
      </c>
      <c r="D140" s="805">
        <v>70</v>
      </c>
      <c r="E140" s="806"/>
      <c r="F140" s="350">
        <f t="shared" ref="F140:F141" si="9">(H140-(C140-(C140*0.3)))/C140*100</f>
        <v>0</v>
      </c>
      <c r="G140" s="131">
        <f t="shared" ref="G140:G141" si="10">D140+F140</f>
        <v>70</v>
      </c>
      <c r="H140" s="140">
        <f>P136</f>
        <v>556.71</v>
      </c>
      <c r="I140" s="315">
        <v>48000</v>
      </c>
      <c r="J140" s="132">
        <f>I140-(I140*(F140/$I$112))</f>
        <v>48000</v>
      </c>
      <c r="K140"/>
      <c r="L140">
        <f t="shared" si="8"/>
        <v>198.82500000000002</v>
      </c>
      <c r="M140"/>
    </row>
    <row r="141" spans="2:19" ht="19.5" customHeight="1" x14ac:dyDescent="0.25">
      <c r="B141" s="138" t="s">
        <v>3016</v>
      </c>
      <c r="C141" s="311">
        <f xml:space="preserve"> SUM(I115:I135)</f>
        <v>14816.560000000003</v>
      </c>
      <c r="D141" s="807">
        <v>70</v>
      </c>
      <c r="E141" s="808"/>
      <c r="F141" s="350">
        <f t="shared" si="9"/>
        <v>-1.2276732274872548E-14</v>
      </c>
      <c r="G141" s="131">
        <f t="shared" si="10"/>
        <v>69.999999999999986</v>
      </c>
      <c r="H141" s="141">
        <f>R136</f>
        <v>10371.592000000001</v>
      </c>
      <c r="I141" s="315">
        <v>6000</v>
      </c>
      <c r="J141" s="139">
        <f>I141-(I141*(F141/$I$112))</f>
        <v>6000.0000000000027</v>
      </c>
      <c r="K141"/>
      <c r="L141">
        <f t="shared" si="8"/>
        <v>3704.1400000000008</v>
      </c>
      <c r="M141"/>
    </row>
    <row r="142" spans="2:19" ht="19.5" customHeight="1" x14ac:dyDescent="0.25">
      <c r="B142" s="614" t="s">
        <v>97</v>
      </c>
      <c r="C142" s="615"/>
      <c r="D142" s="615"/>
      <c r="E142" s="615"/>
      <c r="F142" s="615"/>
      <c r="G142" s="615"/>
      <c r="H142" s="615"/>
      <c r="I142" s="615"/>
      <c r="J142" s="616"/>
      <c r="K142"/>
      <c r="L142"/>
      <c r="M142"/>
    </row>
    <row r="143" spans="2:19" ht="19.5" customHeight="1" x14ac:dyDescent="0.25">
      <c r="B143" s="614" t="s">
        <v>124</v>
      </c>
      <c r="C143" s="615"/>
      <c r="D143" s="636" t="s">
        <v>128</v>
      </c>
      <c r="E143" s="637"/>
      <c r="F143" s="636" t="s">
        <v>271</v>
      </c>
      <c r="G143" s="637"/>
      <c r="H143" s="314" t="s">
        <v>3049</v>
      </c>
      <c r="I143" s="617" t="s">
        <v>161</v>
      </c>
      <c r="J143" s="618"/>
      <c r="K143"/>
      <c r="L143" s="327">
        <f>SUM(I138:I141)</f>
        <v>60000</v>
      </c>
      <c r="M143"/>
    </row>
    <row r="144" spans="2:19" ht="19.5" customHeight="1" x14ac:dyDescent="0.25">
      <c r="B144" s="619">
        <f>C138-(SUM(L115:L135))</f>
        <v>572.23800000000006</v>
      </c>
      <c r="C144" s="620"/>
      <c r="D144" s="638">
        <f>C139-H139</f>
        <v>880.22400000000061</v>
      </c>
      <c r="E144" s="638"/>
      <c r="F144" s="638">
        <f>Q136</f>
        <v>238.59000000000006</v>
      </c>
      <c r="G144" s="638"/>
      <c r="H144" s="318">
        <f>S136</f>
        <v>4444.9679999999998</v>
      </c>
      <c r="I144" s="621">
        <f>SUM(B144:H144)</f>
        <v>6136.02</v>
      </c>
      <c r="J144" s="622"/>
      <c r="K144"/>
      <c r="L144"/>
      <c r="M144"/>
    </row>
    <row r="145" spans="2:19" ht="19.5" customHeight="1" x14ac:dyDescent="0.25">
      <c r="B145" s="639" t="s">
        <v>3052</v>
      </c>
      <c r="C145" s="640"/>
      <c r="D145" s="640"/>
      <c r="E145" s="640"/>
      <c r="F145" s="640"/>
      <c r="G145" s="640"/>
      <c r="H145" s="640"/>
      <c r="I145" s="640"/>
      <c r="J145" s="641"/>
      <c r="K145"/>
      <c r="L145"/>
      <c r="M145"/>
    </row>
    <row r="146" spans="2:19" ht="45" customHeight="1" x14ac:dyDescent="0.25">
      <c r="B146" s="308" t="s">
        <v>3056</v>
      </c>
      <c r="C146" s="306" t="s">
        <v>3035</v>
      </c>
      <c r="D146" s="306" t="s">
        <v>3034</v>
      </c>
      <c r="E146" s="306" t="s">
        <v>3036</v>
      </c>
      <c r="F146" s="306" t="s">
        <v>3034</v>
      </c>
      <c r="G146" s="306" t="s">
        <v>3037</v>
      </c>
      <c r="H146" s="306" t="s">
        <v>3034</v>
      </c>
      <c r="I146" s="309" t="s">
        <v>3038</v>
      </c>
      <c r="J146" s="307" t="s">
        <v>3034</v>
      </c>
      <c r="K146"/>
      <c r="L146" s="312" t="s">
        <v>3039</v>
      </c>
      <c r="M146" s="312" t="s">
        <v>3040</v>
      </c>
      <c r="N146" s="312" t="s">
        <v>3041</v>
      </c>
      <c r="O146" s="312" t="s">
        <v>3042</v>
      </c>
      <c r="P146" s="312" t="s">
        <v>3043</v>
      </c>
      <c r="Q146" s="312" t="s">
        <v>3044</v>
      </c>
      <c r="R146" s="312" t="s">
        <v>3045</v>
      </c>
      <c r="S146" s="312" t="s">
        <v>3046</v>
      </c>
    </row>
    <row r="147" spans="2:19" ht="19.5" customHeight="1" x14ac:dyDescent="0.25">
      <c r="B147" s="300" t="s">
        <v>3053</v>
      </c>
      <c r="C147" s="301">
        <v>241.14</v>
      </c>
      <c r="D147" s="302">
        <v>0</v>
      </c>
      <c r="E147" s="303">
        <v>708.75</v>
      </c>
      <c r="F147" s="302">
        <v>0</v>
      </c>
      <c r="G147" s="303">
        <v>189.6</v>
      </c>
      <c r="H147" s="302">
        <v>0</v>
      </c>
      <c r="I147" s="303">
        <v>606.79999999999995</v>
      </c>
      <c r="J147" s="304">
        <v>0</v>
      </c>
      <c r="K147"/>
      <c r="L147" s="14">
        <f>C147*((70+D147)/100)</f>
        <v>168.79799999999997</v>
      </c>
      <c r="M147">
        <f>C147-L147</f>
        <v>72.342000000000013</v>
      </c>
      <c r="N147" s="14">
        <f>E147*((70+F147)/100)</f>
        <v>496.12499999999994</v>
      </c>
      <c r="O147" s="313">
        <f>E147-N147</f>
        <v>212.62500000000006</v>
      </c>
      <c r="P147" s="14">
        <f>G147*((70+H147)/100)</f>
        <v>132.72</v>
      </c>
      <c r="Q147" s="14">
        <f>G147-P147</f>
        <v>56.879999999999995</v>
      </c>
      <c r="R147" s="14">
        <f>I147*((70+J147)/100)</f>
        <v>424.75999999999993</v>
      </c>
      <c r="S147" s="313">
        <f>I147-R147</f>
        <v>182.04000000000002</v>
      </c>
    </row>
    <row r="148" spans="2:19" ht="19.5" customHeight="1" x14ac:dyDescent="0.25">
      <c r="B148" s="300" t="s">
        <v>3054</v>
      </c>
      <c r="C148" s="301">
        <v>36</v>
      </c>
      <c r="D148" s="302">
        <v>0</v>
      </c>
      <c r="E148" s="301"/>
      <c r="F148"/>
      <c r="G148" s="301"/>
      <c r="H148"/>
      <c r="I148" s="303">
        <v>5908</v>
      </c>
      <c r="J148" s="304">
        <v>0</v>
      </c>
      <c r="K148"/>
      <c r="L148" s="14">
        <f t="shared" ref="L148:L149" si="11">C148*((70+D148)/100)</f>
        <v>25.2</v>
      </c>
      <c r="M148">
        <f t="shared" ref="M148:M149" si="12">C148-L148</f>
        <v>10.8</v>
      </c>
      <c r="O148" s="313"/>
      <c r="R148" s="14">
        <f t="shared" ref="R148:R151" si="13">I148*((70+J148)/100)</f>
        <v>4135.5999999999995</v>
      </c>
      <c r="S148" s="313">
        <f t="shared" ref="S148:S151" si="14">I148-R148</f>
        <v>1772.4000000000005</v>
      </c>
    </row>
    <row r="149" spans="2:19" ht="19.5" customHeight="1" x14ac:dyDescent="0.25">
      <c r="B149" s="300" t="s">
        <v>3055</v>
      </c>
      <c r="C149" s="301">
        <v>39.11</v>
      </c>
      <c r="D149" s="302">
        <v>0</v>
      </c>
      <c r="E149" s="301"/>
      <c r="F149"/>
      <c r="G149" s="301"/>
      <c r="H149"/>
      <c r="I149" s="301">
        <v>52.35</v>
      </c>
      <c r="J149" s="304">
        <v>0</v>
      </c>
      <c r="K149"/>
      <c r="L149" s="14">
        <f t="shared" si="11"/>
        <v>27.376999999999999</v>
      </c>
      <c r="M149">
        <f t="shared" si="12"/>
        <v>11.733000000000001</v>
      </c>
      <c r="O149" s="313"/>
      <c r="R149" s="14">
        <f t="shared" si="13"/>
        <v>36.644999999999996</v>
      </c>
      <c r="S149" s="313">
        <f t="shared" si="14"/>
        <v>15.705000000000005</v>
      </c>
    </row>
    <row r="150" spans="2:19" ht="19.5" customHeight="1" x14ac:dyDescent="0.25">
      <c r="B150" s="300" t="s">
        <v>3032</v>
      </c>
      <c r="C150" s="301"/>
      <c r="D150"/>
      <c r="E150" s="301"/>
      <c r="F150"/>
      <c r="G150" s="301"/>
      <c r="H150"/>
      <c r="I150" s="301">
        <v>44.97</v>
      </c>
      <c r="J150" s="304">
        <v>0</v>
      </c>
      <c r="K150"/>
      <c r="M150"/>
      <c r="O150" s="313"/>
      <c r="R150" s="14">
        <f t="shared" si="13"/>
        <v>31.478999999999996</v>
      </c>
      <c r="S150" s="313">
        <f t="shared" si="14"/>
        <v>13.491000000000003</v>
      </c>
    </row>
    <row r="151" spans="2:19" ht="19.5" customHeight="1" x14ac:dyDescent="0.25">
      <c r="B151" s="300" t="s">
        <v>3033</v>
      </c>
      <c r="C151" s="301"/>
      <c r="D151"/>
      <c r="E151" s="301"/>
      <c r="F151" s="301"/>
      <c r="G151" s="301"/>
      <c r="H151"/>
      <c r="I151" s="305">
        <v>99.2</v>
      </c>
      <c r="J151" s="304">
        <v>0</v>
      </c>
      <c r="K151"/>
      <c r="M151"/>
      <c r="O151" s="313"/>
      <c r="R151" s="14">
        <f t="shared" si="13"/>
        <v>69.44</v>
      </c>
      <c r="S151" s="313">
        <f t="shared" si="14"/>
        <v>29.760000000000005</v>
      </c>
    </row>
    <row r="152" spans="2:19" ht="19.5" customHeight="1" x14ac:dyDescent="0.25">
      <c r="B152" s="811" t="s">
        <v>3019</v>
      </c>
      <c r="C152" s="812"/>
      <c r="D152" s="812"/>
      <c r="E152" s="812"/>
      <c r="F152" s="812"/>
      <c r="G152" s="812"/>
      <c r="H152" s="812"/>
      <c r="I152" s="812"/>
      <c r="J152" s="813"/>
      <c r="K152"/>
      <c r="L152" s="316">
        <f t="shared" ref="L152:S152" si="15">SUM(L147:L151)</f>
        <v>221.37499999999997</v>
      </c>
      <c r="M152" s="316">
        <f t="shared" si="15"/>
        <v>94.875000000000014</v>
      </c>
      <c r="N152" s="316">
        <f t="shared" si="15"/>
        <v>496.12499999999994</v>
      </c>
      <c r="O152" s="317">
        <f t="shared" si="15"/>
        <v>212.62500000000006</v>
      </c>
      <c r="P152" s="316">
        <f t="shared" si="15"/>
        <v>132.72</v>
      </c>
      <c r="Q152" s="316">
        <f t="shared" si="15"/>
        <v>56.879999999999995</v>
      </c>
      <c r="R152" s="316">
        <f t="shared" si="15"/>
        <v>4697.924</v>
      </c>
      <c r="S152" s="317">
        <f t="shared" si="15"/>
        <v>2013.3960000000004</v>
      </c>
    </row>
    <row r="153" spans="2:19" ht="42.75" customHeight="1" x14ac:dyDescent="0.25">
      <c r="B153" s="297" t="s">
        <v>36</v>
      </c>
      <c r="C153" s="298" t="s">
        <v>92</v>
      </c>
      <c r="D153" s="809" t="s">
        <v>93</v>
      </c>
      <c r="E153" s="810"/>
      <c r="F153" s="298" t="s">
        <v>94</v>
      </c>
      <c r="G153" s="298" t="s">
        <v>95</v>
      </c>
      <c r="H153" s="298" t="s">
        <v>96</v>
      </c>
      <c r="I153" s="298" t="s">
        <v>134</v>
      </c>
      <c r="J153" s="299" t="s">
        <v>143</v>
      </c>
      <c r="K153"/>
      <c r="L153" t="s">
        <v>3050</v>
      </c>
      <c r="M153" s="316"/>
      <c r="N153" s="316"/>
      <c r="O153" s="317"/>
      <c r="P153" s="316"/>
      <c r="Q153" s="316"/>
      <c r="R153" s="316"/>
      <c r="S153" s="317"/>
    </row>
    <row r="154" spans="2:19" ht="19.5" customHeight="1" x14ac:dyDescent="0.25">
      <c r="B154" s="130" t="s">
        <v>294</v>
      </c>
      <c r="C154" s="310">
        <f>SUM(C147:C150)</f>
        <v>316.25</v>
      </c>
      <c r="D154" s="805">
        <v>70</v>
      </c>
      <c r="E154" s="806"/>
      <c r="F154" s="350">
        <f>(H154-(C154-(C154*0.3)))/C154*100</f>
        <v>-8.9871017961751804E-15</v>
      </c>
      <c r="G154" s="131">
        <f>D154+F154</f>
        <v>69.999999999999986</v>
      </c>
      <c r="H154" s="140">
        <f>L152</f>
        <v>221.37499999999997</v>
      </c>
      <c r="I154" s="315">
        <v>500</v>
      </c>
      <c r="J154" s="132">
        <f>I154-(I154*(F154/$I$112))</f>
        <v>500.00000000000017</v>
      </c>
      <c r="K154"/>
      <c r="L154">
        <f>C154*0.25</f>
        <v>79.0625</v>
      </c>
      <c r="M154"/>
    </row>
    <row r="155" spans="2:19" ht="31.5" customHeight="1" x14ac:dyDescent="0.25">
      <c r="B155" s="130" t="s">
        <v>295</v>
      </c>
      <c r="C155" s="310">
        <f>SUM(E147:E150)</f>
        <v>708.75</v>
      </c>
      <c r="D155" s="805">
        <v>70</v>
      </c>
      <c r="E155" s="806"/>
      <c r="F155" s="350">
        <f>(H155-(C155-(C155*0.3)))/C155*100</f>
        <v>-8.0202354653697387E-15</v>
      </c>
      <c r="G155" s="131">
        <f>D155+F155</f>
        <v>69.999999999999986</v>
      </c>
      <c r="H155" s="140">
        <f>N152</f>
        <v>496.12499999999994</v>
      </c>
      <c r="I155" s="315">
        <v>1000</v>
      </c>
      <c r="J155" s="132">
        <f>I155-(I155*(F155/$I$112))</f>
        <v>1000.0000000000003</v>
      </c>
      <c r="K155"/>
      <c r="L155">
        <f t="shared" ref="L155:L157" si="16">C155*0.25</f>
        <v>177.1875</v>
      </c>
      <c r="M155"/>
    </row>
    <row r="156" spans="2:19" ht="30" customHeight="1" x14ac:dyDescent="0.25">
      <c r="B156" s="138" t="s">
        <v>3017</v>
      </c>
      <c r="C156" s="310">
        <f>SUM(G147:G150)</f>
        <v>189.6</v>
      </c>
      <c r="D156" s="805">
        <v>70</v>
      </c>
      <c r="E156" s="806"/>
      <c r="F156" s="350">
        <f t="shared" ref="F156:F157" si="17">(H156-(C156-(C156*0.3)))/C156*100</f>
        <v>0</v>
      </c>
      <c r="G156" s="131">
        <f t="shared" ref="G156:G157" si="18">D156+F156</f>
        <v>70</v>
      </c>
      <c r="H156" s="140">
        <f>P152</f>
        <v>132.72</v>
      </c>
      <c r="I156" s="315">
        <v>500</v>
      </c>
      <c r="J156" s="132">
        <f>I156-(I156*(F156/$I$112))</f>
        <v>500</v>
      </c>
      <c r="K156"/>
      <c r="L156">
        <f t="shared" si="16"/>
        <v>47.4</v>
      </c>
      <c r="M156"/>
    </row>
    <row r="157" spans="2:19" ht="19.5" customHeight="1" x14ac:dyDescent="0.25">
      <c r="B157" s="138" t="s">
        <v>3016</v>
      </c>
      <c r="C157" s="311">
        <f xml:space="preserve"> SUM(I147:I151)</f>
        <v>6711.3200000000006</v>
      </c>
      <c r="D157" s="807">
        <v>70</v>
      </c>
      <c r="E157" s="808"/>
      <c r="F157" s="350">
        <f t="shared" si="17"/>
        <v>-1.3551651564415466E-14</v>
      </c>
      <c r="G157" s="131">
        <f t="shared" si="18"/>
        <v>69.999999999999986</v>
      </c>
      <c r="H157" s="141">
        <f>R152</f>
        <v>4697.924</v>
      </c>
      <c r="I157" s="315">
        <v>18000</v>
      </c>
      <c r="J157" s="139">
        <f>I157-(I157*(F157/$I$112))</f>
        <v>18000.000000000011</v>
      </c>
      <c r="K157"/>
      <c r="L157">
        <f t="shared" si="16"/>
        <v>1677.8300000000002</v>
      </c>
      <c r="M157"/>
    </row>
    <row r="158" spans="2:19" ht="19.5" customHeight="1" x14ac:dyDescent="0.25">
      <c r="B158" s="614" t="s">
        <v>97</v>
      </c>
      <c r="C158" s="615"/>
      <c r="D158" s="615"/>
      <c r="E158" s="615"/>
      <c r="F158" s="615"/>
      <c r="G158" s="615"/>
      <c r="H158" s="615"/>
      <c r="I158" s="615"/>
      <c r="J158" s="616"/>
      <c r="K158"/>
      <c r="L158"/>
      <c r="M158"/>
    </row>
    <row r="159" spans="2:19" ht="19.5" customHeight="1" x14ac:dyDescent="0.25">
      <c r="B159" s="614" t="s">
        <v>124</v>
      </c>
      <c r="C159" s="615"/>
      <c r="D159" s="636" t="s">
        <v>128</v>
      </c>
      <c r="E159" s="637"/>
      <c r="F159" s="636" t="s">
        <v>271</v>
      </c>
      <c r="G159" s="637"/>
      <c r="H159" s="351" t="s">
        <v>3196</v>
      </c>
      <c r="I159" s="617" t="s">
        <v>161</v>
      </c>
      <c r="J159" s="618"/>
      <c r="K159"/>
      <c r="L159"/>
      <c r="M159"/>
    </row>
    <row r="160" spans="2:19" ht="19.5" customHeight="1" x14ac:dyDescent="0.25">
      <c r="B160" s="619">
        <f>C154-L152</f>
        <v>94.875000000000028</v>
      </c>
      <c r="C160" s="620"/>
      <c r="D160" s="638">
        <f>O152</f>
        <v>212.62500000000006</v>
      </c>
      <c r="E160" s="638"/>
      <c r="F160" s="638">
        <f>Q152</f>
        <v>56.879999999999995</v>
      </c>
      <c r="G160" s="638"/>
      <c r="H160" s="318">
        <f>S152</f>
        <v>2013.3960000000004</v>
      </c>
      <c r="I160" s="621">
        <f>SUM(B160:H160)</f>
        <v>2377.7760000000007</v>
      </c>
      <c r="J160" s="622"/>
      <c r="K160"/>
      <c r="L160"/>
      <c r="M160"/>
    </row>
    <row r="161" spans="2:13" ht="51.75" customHeight="1" x14ac:dyDescent="0.25">
      <c r="B161" s="651" t="s">
        <v>3194</v>
      </c>
      <c r="C161" s="652"/>
      <c r="D161" s="652"/>
      <c r="E161" s="652"/>
      <c r="F161" s="652"/>
      <c r="G161" s="652"/>
      <c r="H161" s="652"/>
      <c r="I161" s="652"/>
      <c r="J161" s="653"/>
      <c r="K161"/>
      <c r="L161"/>
      <c r="M161"/>
    </row>
    <row r="162" spans="2:13" ht="57.75" customHeight="1" x14ac:dyDescent="0.25">
      <c r="B162" s="134"/>
      <c r="C162" s="594" t="s">
        <v>98</v>
      </c>
      <c r="D162" s="595"/>
      <c r="E162" s="135" t="s">
        <v>99</v>
      </c>
      <c r="F162" s="135" t="s">
        <v>100</v>
      </c>
      <c r="G162" s="608" t="s">
        <v>3195</v>
      </c>
      <c r="H162" s="608"/>
      <c r="I162" s="608" t="s">
        <v>101</v>
      </c>
      <c r="J162" s="609"/>
      <c r="K162"/>
      <c r="L162"/>
      <c r="M162"/>
    </row>
    <row r="163" spans="2:13" ht="39" customHeight="1" x14ac:dyDescent="0.25">
      <c r="B163" s="136" t="s">
        <v>102</v>
      </c>
      <c r="C163" s="596">
        <f>SUM(C138:C141,C154:C157)</f>
        <v>28379.320000000003</v>
      </c>
      <c r="D163" s="597"/>
      <c r="E163" s="137">
        <v>0.7</v>
      </c>
      <c r="F163" s="142">
        <f>C163*0.7</f>
        <v>19865.524000000001</v>
      </c>
      <c r="G163" s="588">
        <f>(I163/C163)*100</f>
        <v>70</v>
      </c>
      <c r="H163" s="588"/>
      <c r="I163" s="589">
        <f>SUM(H138:H141,H154:H157)</f>
        <v>19865.524000000001</v>
      </c>
      <c r="J163" s="590"/>
      <c r="K163"/>
      <c r="L163"/>
      <c r="M163"/>
    </row>
    <row r="164" spans="2:13" ht="23.1" customHeight="1" thickBot="1" x14ac:dyDescent="0.35">
      <c r="B164" s="591" t="s">
        <v>103</v>
      </c>
      <c r="C164" s="592"/>
      <c r="D164" s="592"/>
      <c r="E164" s="592"/>
      <c r="F164" s="592"/>
      <c r="G164" s="592"/>
      <c r="H164" s="592"/>
      <c r="I164" s="593"/>
      <c r="J164" s="133">
        <f>SUM(J138:J141,J154:J157)</f>
        <v>80000.000000000015</v>
      </c>
      <c r="K164"/>
      <c r="L164"/>
      <c r="M164"/>
    </row>
    <row r="165" spans="2:13" ht="19.5" thickBot="1" x14ac:dyDescent="0.35">
      <c r="B165" s="610" t="s">
        <v>107</v>
      </c>
      <c r="C165" s="611"/>
      <c r="D165" s="611"/>
      <c r="E165" s="611"/>
      <c r="F165" s="611"/>
      <c r="G165" s="611"/>
      <c r="H165" s="611"/>
      <c r="I165" s="612"/>
      <c r="J165" s="122">
        <f>H50+H51+J164+J73+J57+J108+J89</f>
        <v>1530000</v>
      </c>
      <c r="K165"/>
      <c r="L165"/>
      <c r="M165"/>
    </row>
    <row r="166" spans="2:13" x14ac:dyDescent="0.25">
      <c r="B166" s="598" t="s">
        <v>37</v>
      </c>
      <c r="C166" s="600" t="s">
        <v>38</v>
      </c>
      <c r="D166" s="600"/>
      <c r="E166" s="600"/>
      <c r="F166" s="600"/>
      <c r="G166" s="602" t="s">
        <v>39</v>
      </c>
      <c r="H166" s="603"/>
      <c r="I166" s="603"/>
      <c r="J166" s="604"/>
      <c r="K166"/>
      <c r="L166"/>
      <c r="M166"/>
    </row>
    <row r="167" spans="2:13" ht="15.75" thickBot="1" x14ac:dyDescent="0.3">
      <c r="B167" s="599"/>
      <c r="C167" s="601"/>
      <c r="D167" s="601"/>
      <c r="E167" s="601"/>
      <c r="F167" s="601"/>
      <c r="G167" s="605"/>
      <c r="H167" s="606"/>
      <c r="I167" s="606"/>
      <c r="J167" s="607"/>
      <c r="K167"/>
      <c r="L167"/>
      <c r="M167"/>
    </row>
    <row r="168" spans="2:13" x14ac:dyDescent="0.25">
      <c r="B168" s="587"/>
      <c r="C168" s="587"/>
      <c r="D168" s="587"/>
      <c r="E168" s="587"/>
      <c r="F168" s="587"/>
      <c r="G168" s="587"/>
      <c r="H168" s="587"/>
      <c r="I168" s="587"/>
      <c r="J168" s="587"/>
      <c r="K168"/>
      <c r="L168"/>
      <c r="M168"/>
    </row>
    <row r="174" spans="2:13" ht="16.5" customHeight="1" x14ac:dyDescent="0.25"/>
    <row r="176" spans="2:13" ht="15.75" customHeight="1" x14ac:dyDescent="0.25"/>
    <row r="178" ht="15.75" customHeight="1" x14ac:dyDescent="0.25"/>
    <row r="179" ht="15.75" customHeight="1" x14ac:dyDescent="0.25"/>
    <row r="181" ht="21" customHeight="1" x14ac:dyDescent="0.25"/>
    <row r="182" ht="20.25" customHeight="1" x14ac:dyDescent="0.25"/>
  </sheetData>
  <sheetProtection algorithmName="SHA-512" hashValue="/zT21IqWlOyjC1LiLMqGSbcofGNAY51Ms4gI7IW7KVBuccnQdNnPsy3jY1QSnSwOi5m/2XlyrjP0rtpzGlqTdg==" saltValue="qTKZ7IlQXRwUEnQQSK1qGw==" spinCount="100000" sheet="1" objects="1" scenarios="1" selectLockedCells="1"/>
  <mergeCells count="197">
    <mergeCell ref="B145:J145"/>
    <mergeCell ref="D154:E154"/>
    <mergeCell ref="D155:E155"/>
    <mergeCell ref="D156:E156"/>
    <mergeCell ref="D157:E157"/>
    <mergeCell ref="D153:E153"/>
    <mergeCell ref="D136:E136"/>
    <mergeCell ref="D138:E138"/>
    <mergeCell ref="D139:E139"/>
    <mergeCell ref="D140:E140"/>
    <mergeCell ref="D141:E141"/>
    <mergeCell ref="D143:E143"/>
    <mergeCell ref="D144:E144"/>
    <mergeCell ref="F143:G143"/>
    <mergeCell ref="F144:G144"/>
    <mergeCell ref="B137:J137"/>
    <mergeCell ref="B152:J152"/>
    <mergeCell ref="B89:I89"/>
    <mergeCell ref="B91:J91"/>
    <mergeCell ref="B92:J92"/>
    <mergeCell ref="B93:H93"/>
    <mergeCell ref="I93:J93"/>
    <mergeCell ref="E94:F94"/>
    <mergeCell ref="G94:H94"/>
    <mergeCell ref="I94:J94"/>
    <mergeCell ref="C101:G101"/>
    <mergeCell ref="C103:G103"/>
    <mergeCell ref="C104:G104"/>
    <mergeCell ref="C105:G105"/>
    <mergeCell ref="E95:F95"/>
    <mergeCell ref="G95:H95"/>
    <mergeCell ref="I95:J95"/>
    <mergeCell ref="C96:G96"/>
    <mergeCell ref="C97:G97"/>
    <mergeCell ref="C98:G98"/>
    <mergeCell ref="C99:G99"/>
    <mergeCell ref="C100:G100"/>
    <mergeCell ref="C102:G102"/>
    <mergeCell ref="C82:G82"/>
    <mergeCell ref="C83:G83"/>
    <mergeCell ref="E51:F51"/>
    <mergeCell ref="I63:J63"/>
    <mergeCell ref="C64:G64"/>
    <mergeCell ref="E78:F78"/>
    <mergeCell ref="G78:H78"/>
    <mergeCell ref="I78:J78"/>
    <mergeCell ref="C80:G80"/>
    <mergeCell ref="C81:G81"/>
    <mergeCell ref="B75:J75"/>
    <mergeCell ref="B76:J76"/>
    <mergeCell ref="B77:H77"/>
    <mergeCell ref="I77:J77"/>
    <mergeCell ref="E79:F79"/>
    <mergeCell ref="G79:H79"/>
    <mergeCell ref="I79:J79"/>
    <mergeCell ref="B55:D55"/>
    <mergeCell ref="B62:D62"/>
    <mergeCell ref="B63:D63"/>
    <mergeCell ref="E63:F63"/>
    <mergeCell ref="G63:H63"/>
    <mergeCell ref="E54:F54"/>
    <mergeCell ref="E55:F55"/>
    <mergeCell ref="G10:J10"/>
    <mergeCell ref="B11:J11"/>
    <mergeCell ref="B12:J12"/>
    <mergeCell ref="B26:C26"/>
    <mergeCell ref="B15:I15"/>
    <mergeCell ref="B30:J30"/>
    <mergeCell ref="C31:G31"/>
    <mergeCell ref="I31:J31"/>
    <mergeCell ref="B29:J29"/>
    <mergeCell ref="B14:I14"/>
    <mergeCell ref="B22:C22"/>
    <mergeCell ref="B23:C23"/>
    <mergeCell ref="B24:C24"/>
    <mergeCell ref="B25:C25"/>
    <mergeCell ref="B28:J28"/>
    <mergeCell ref="B1:J1"/>
    <mergeCell ref="B2:J2"/>
    <mergeCell ref="B3:J3"/>
    <mergeCell ref="C4:J4"/>
    <mergeCell ref="C5:J5"/>
    <mergeCell ref="C6:J6"/>
    <mergeCell ref="C7:J7"/>
    <mergeCell ref="C8:J8"/>
    <mergeCell ref="E49:F49"/>
    <mergeCell ref="C9:J9"/>
    <mergeCell ref="C10:F10"/>
    <mergeCell ref="B35:J35"/>
    <mergeCell ref="B17:I17"/>
    <mergeCell ref="B18:J18"/>
    <mergeCell ref="B19:J19"/>
    <mergeCell ref="B20:I20"/>
    <mergeCell ref="B16:I16"/>
    <mergeCell ref="B21:J21"/>
    <mergeCell ref="I36:J36"/>
    <mergeCell ref="G39:H39"/>
    <mergeCell ref="I39:J39"/>
    <mergeCell ref="B13:I13"/>
    <mergeCell ref="C36:F36"/>
    <mergeCell ref="G36:H36"/>
    <mergeCell ref="G54:H54"/>
    <mergeCell ref="G55:H55"/>
    <mergeCell ref="E62:F62"/>
    <mergeCell ref="B57:I57"/>
    <mergeCell ref="B56:J56"/>
    <mergeCell ref="B53:J53"/>
    <mergeCell ref="H51:J51"/>
    <mergeCell ref="B37:J37"/>
    <mergeCell ref="B38:J38"/>
    <mergeCell ref="C39:F39"/>
    <mergeCell ref="B42:J42"/>
    <mergeCell ref="F43:J45"/>
    <mergeCell ref="I54:J54"/>
    <mergeCell ref="B44:D44"/>
    <mergeCell ref="B45:D45"/>
    <mergeCell ref="B50:D50"/>
    <mergeCell ref="B51:D51"/>
    <mergeCell ref="B49:D49"/>
    <mergeCell ref="B54:D54"/>
    <mergeCell ref="B40:J40"/>
    <mergeCell ref="B48:J48"/>
    <mergeCell ref="H49:J49"/>
    <mergeCell ref="E50:F50"/>
    <mergeCell ref="H50:J50"/>
    <mergeCell ref="C67:G67"/>
    <mergeCell ref="C68:G68"/>
    <mergeCell ref="I32:J32"/>
    <mergeCell ref="I62:J62"/>
    <mergeCell ref="B161:J161"/>
    <mergeCell ref="C33:G33"/>
    <mergeCell ref="I33:J33"/>
    <mergeCell ref="B34:J34"/>
    <mergeCell ref="B111:F111"/>
    <mergeCell ref="B47:J47"/>
    <mergeCell ref="C32:G32"/>
    <mergeCell ref="B158:J158"/>
    <mergeCell ref="I159:J159"/>
    <mergeCell ref="C71:G71"/>
    <mergeCell ref="B112:F112"/>
    <mergeCell ref="C41:D41"/>
    <mergeCell ref="E41:J41"/>
    <mergeCell ref="B43:D43"/>
    <mergeCell ref="I55:J55"/>
    <mergeCell ref="G111:H111"/>
    <mergeCell ref="G62:H62"/>
    <mergeCell ref="C65:G65"/>
    <mergeCell ref="C87:G87"/>
    <mergeCell ref="B59:J59"/>
    <mergeCell ref="B60:J60"/>
    <mergeCell ref="B61:H61"/>
    <mergeCell ref="I61:J61"/>
    <mergeCell ref="B72:J72"/>
    <mergeCell ref="G112:H112"/>
    <mergeCell ref="I112:J112"/>
    <mergeCell ref="B159:C159"/>
    <mergeCell ref="B160:C160"/>
    <mergeCell ref="I160:J160"/>
    <mergeCell ref="C70:G70"/>
    <mergeCell ref="B108:I108"/>
    <mergeCell ref="D159:E159"/>
    <mergeCell ref="F159:G159"/>
    <mergeCell ref="D160:E160"/>
    <mergeCell ref="F160:G160"/>
    <mergeCell ref="B113:J113"/>
    <mergeCell ref="I111:J111"/>
    <mergeCell ref="B110:J110"/>
    <mergeCell ref="B88:J88"/>
    <mergeCell ref="C69:G69"/>
    <mergeCell ref="C66:G66"/>
    <mergeCell ref="C84:G84"/>
    <mergeCell ref="C85:G85"/>
    <mergeCell ref="B78:D78"/>
    <mergeCell ref="B79:D79"/>
    <mergeCell ref="B94:D94"/>
    <mergeCell ref="B95:D95"/>
    <mergeCell ref="B168:J168"/>
    <mergeCell ref="G163:H163"/>
    <mergeCell ref="I163:J163"/>
    <mergeCell ref="B73:I73"/>
    <mergeCell ref="B164:I164"/>
    <mergeCell ref="C162:D162"/>
    <mergeCell ref="C163:D163"/>
    <mergeCell ref="B166:B167"/>
    <mergeCell ref="C166:F167"/>
    <mergeCell ref="G166:J167"/>
    <mergeCell ref="G162:H162"/>
    <mergeCell ref="I162:J162"/>
    <mergeCell ref="B165:I165"/>
    <mergeCell ref="C86:G86"/>
    <mergeCell ref="B142:J142"/>
    <mergeCell ref="B143:C143"/>
    <mergeCell ref="I143:J143"/>
    <mergeCell ref="B144:C144"/>
    <mergeCell ref="I144:J144"/>
    <mergeCell ref="C106:G106"/>
    <mergeCell ref="B107:J107"/>
  </mergeCells>
  <conditionalFormatting sqref="B22:B23 B24:D26">
    <cfRule type="expression" dxfId="19" priority="26" stopIfTrue="1">
      <formula>$J$20="áno"</formula>
    </cfRule>
  </conditionalFormatting>
  <conditionalFormatting sqref="D115:D126 D129 D132:D135 F132:F135 F138:F141 F154:F157">
    <cfRule type="expression" dxfId="18" priority="8">
      <formula>$J$20="nie"</formula>
    </cfRule>
  </conditionalFormatting>
  <conditionalFormatting sqref="D147:D149">
    <cfRule type="expression" dxfId="17" priority="4">
      <formula>$J$20="nie"</formula>
    </cfRule>
  </conditionalFormatting>
  <conditionalFormatting sqref="E22:E26">
    <cfRule type="expression" dxfId="16" priority="24">
      <formula>$J$20="nie"</formula>
    </cfRule>
  </conditionalFormatting>
  <conditionalFormatting sqref="E26">
    <cfRule type="expression" dxfId="15" priority="17">
      <formula>$J$20="nie"</formula>
    </cfRule>
  </conditionalFormatting>
  <conditionalFormatting sqref="F115:F118">
    <cfRule type="expression" dxfId="14" priority="7">
      <formula>$J$20="nie"</formula>
    </cfRule>
  </conditionalFormatting>
  <conditionalFormatting sqref="F147">
    <cfRule type="expression" dxfId="13" priority="3">
      <formula>$J$20="nie"</formula>
    </cfRule>
  </conditionalFormatting>
  <conditionalFormatting sqref="F22:J26">
    <cfRule type="expression" dxfId="12" priority="29">
      <formula>$J$20="nie"</formula>
    </cfRule>
  </conditionalFormatting>
  <conditionalFormatting sqref="F26:J26">
    <cfRule type="expression" dxfId="11" priority="27">
      <formula>$J$20="nie"</formula>
    </cfRule>
  </conditionalFormatting>
  <conditionalFormatting sqref="G163:H163">
    <cfRule type="cellIs" dxfId="10" priority="20" operator="lessThan">
      <formula>70</formula>
    </cfRule>
    <cfRule type="cellIs" dxfId="9" priority="22" operator="greaterThanOrEqual">
      <formula>70</formula>
    </cfRule>
  </conditionalFormatting>
  <conditionalFormatting sqref="H115:H118">
    <cfRule type="expression" dxfId="8" priority="6">
      <formula>$J$20="nie"</formula>
    </cfRule>
  </conditionalFormatting>
  <conditionalFormatting sqref="H147">
    <cfRule type="expression" dxfId="7" priority="2">
      <formula>$J$20="nie"</formula>
    </cfRule>
  </conditionalFormatting>
  <conditionalFormatting sqref="I63">
    <cfRule type="expression" dxfId="6" priority="18">
      <formula>$J$20="nie"</formula>
    </cfRule>
  </conditionalFormatting>
  <conditionalFormatting sqref="I79">
    <cfRule type="expression" dxfId="5" priority="10">
      <formula>$J$20="nie"</formula>
    </cfRule>
  </conditionalFormatting>
  <conditionalFormatting sqref="I95">
    <cfRule type="expression" dxfId="4" priority="9">
      <formula>$J$20="nie"</formula>
    </cfRule>
  </conditionalFormatting>
  <conditionalFormatting sqref="J22:J25">
    <cfRule type="expression" dxfId="3" priority="28">
      <formula>$J$20="nie"</formula>
    </cfRule>
  </conditionalFormatting>
  <conditionalFormatting sqref="J26">
    <cfRule type="expression" dxfId="2" priority="25">
      <formula>$J$20="nie"</formula>
    </cfRule>
  </conditionalFormatting>
  <conditionalFormatting sqref="J115:J135">
    <cfRule type="expression" dxfId="1" priority="5">
      <formula>$J$20="nie"</formula>
    </cfRule>
  </conditionalFormatting>
  <conditionalFormatting sqref="J147:J151">
    <cfRule type="expression" dxfId="0" priority="1">
      <formula>$J$20="nie"</formula>
    </cfRule>
  </conditionalFormatting>
  <dataValidations count="7">
    <dataValidation type="list" allowBlank="1" showInputMessage="1" showErrorMessage="1" sqref="J20 E43:E45" xr:uid="{42D05AC0-AB6E-4B3D-BE74-767FB949E3F5}">
      <formula1>"áno, nie"</formula1>
    </dataValidation>
    <dataValidation type="list" allowBlank="1" showInputMessage="1" showErrorMessage="1" sqref="C10:E10" xr:uid="{FA23E456-65F7-47C9-A1E5-6B14C2BB17EE}">
      <formula1>"Som platcom DPH,Nie som platcom DPH"</formula1>
    </dataValidation>
    <dataValidation type="decimal" allowBlank="1" showInputMessage="1" showErrorMessage="1" errorTitle="Prekročili ste povolený rozsah" error="Vložte mieru recyklácie nad požadovaný rozsah v rozmedzí 0-25,00." promptTitle="Rozsah recyklácie" prompt="Záujemca vloží hodnotu 0,00 až 25,00 " sqref="D132:D135 H147 H115:H118 J115:J135 F132:F135 F115:F118 D115:D126 D129 F147 J147:J151 D147:D149" xr:uid="{151AC266-F4D3-422C-8630-638A04C7FA95}">
      <formula1>0</formula1>
      <formula2>25</formula2>
    </dataValidation>
    <dataValidation type="whole" allowBlank="1" showInputMessage="1" showErrorMessage="1" sqref="I63:J63" xr:uid="{FE1E742C-0A21-49F1-B9B7-D599A8DEA212}">
      <formula1>0</formula1>
      <formula2>10000</formula2>
    </dataValidation>
    <dataValidation type="whole" showInputMessage="1" showErrorMessage="1" sqref="I55:J55" xr:uid="{C451E5C5-E117-4FFE-8EA3-D36000E05F3E}">
      <formula1>0</formula1>
      <formula2>60</formula2>
    </dataValidation>
    <dataValidation type="whole" allowBlank="1" showInputMessage="1" showErrorMessage="1" sqref="I79:J79" xr:uid="{FC7F0620-769A-421F-9D5A-2143372119D1}">
      <formula1>0</formula1>
      <formula2>2000</formula2>
    </dataValidation>
    <dataValidation type="whole" allowBlank="1" showInputMessage="1" showErrorMessage="1" sqref="I95:J95" xr:uid="{51279976-4542-4FBE-8C42-16D3712F8E98}">
      <formula1>0</formula1>
      <formula2>10</formula2>
    </dataValidation>
  </dataValidations>
  <pageMargins left="0.7" right="0.7" top="0.75" bottom="0.75" header="0.3" footer="0.3"/>
  <pageSetup paperSize="9" scale="61" orientation="landscape" r:id="rId1"/>
  <rowBreaks count="3" manualBreakCount="3">
    <brk id="27" min="1" max="8" man="1"/>
    <brk id="57" min="1" max="8" man="1"/>
    <brk id="108" min="1" max="8" man="1"/>
  </rowBreaks>
  <colBreaks count="1" manualBreakCount="1">
    <brk id="10" min="1" max="89"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9</xdr:col>
                    <xdr:colOff>0</xdr:colOff>
                    <xdr:row>13</xdr:row>
                    <xdr:rowOff>0</xdr:rowOff>
                  </from>
                  <to>
                    <xdr:col>9</xdr:col>
                    <xdr:colOff>952500</xdr:colOff>
                    <xdr:row>14</xdr:row>
                    <xdr:rowOff>38100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9</xdr:col>
                    <xdr:colOff>0</xdr:colOff>
                    <xdr:row>14</xdr:row>
                    <xdr:rowOff>0</xdr:rowOff>
                  </from>
                  <to>
                    <xdr:col>10</xdr:col>
                    <xdr:colOff>171450</xdr:colOff>
                    <xdr:row>14</xdr:row>
                    <xdr:rowOff>561975</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9</xdr:col>
                    <xdr:colOff>0</xdr:colOff>
                    <xdr:row>15</xdr:row>
                    <xdr:rowOff>0</xdr:rowOff>
                  </from>
                  <to>
                    <xdr:col>10</xdr:col>
                    <xdr:colOff>171450</xdr:colOff>
                    <xdr:row>15</xdr:row>
                    <xdr:rowOff>561975</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9</xdr:col>
                    <xdr:colOff>0</xdr:colOff>
                    <xdr:row>16</xdr:row>
                    <xdr:rowOff>0</xdr:rowOff>
                  </from>
                  <to>
                    <xdr:col>19</xdr:col>
                    <xdr:colOff>38100</xdr:colOff>
                    <xdr:row>16</xdr:row>
                    <xdr:rowOff>561975</xdr:rowOff>
                  </to>
                </anchor>
              </controlPr>
            </control>
          </mc:Choice>
        </mc:AlternateContent>
        <mc:AlternateContent xmlns:mc="http://schemas.openxmlformats.org/markup-compatibility/2006">
          <mc:Choice Requires="x14">
            <control shapeId="20486" r:id="rId8" name="Check Box 6">
              <controlPr defaultSize="0" autoFill="0" autoLine="0" autoPict="0">
                <anchor moveWithCells="1">
                  <from>
                    <xdr:col>9</xdr:col>
                    <xdr:colOff>9525</xdr:colOff>
                    <xdr:row>11</xdr:row>
                    <xdr:rowOff>266700</xdr:rowOff>
                  </from>
                  <to>
                    <xdr:col>9</xdr:col>
                    <xdr:colOff>800100</xdr:colOff>
                    <xdr:row>13</xdr:row>
                    <xdr:rowOff>104775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884C8-EC66-465E-B057-4CDC3F5BD42D}">
  <sheetPr codeName="Hárok20">
    <pageSetUpPr fitToPage="1"/>
  </sheetPr>
  <dimension ref="B2:BM166"/>
  <sheetViews>
    <sheetView topLeftCell="A146" workbookViewId="0">
      <selection activeCell="J169" sqref="J169"/>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371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1554</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SUM(BE128:BE165)),  2)</f>
        <v>0</v>
      </c>
      <c r="G35" s="380"/>
      <c r="H35" s="380"/>
      <c r="I35" s="381">
        <v>0.23</v>
      </c>
      <c r="J35" s="379">
        <f>ROUND(((SUM(BE107:BE108) + SUM(BE128:BE165))*I35),  2)</f>
        <v>0</v>
      </c>
      <c r="L35" s="364"/>
    </row>
    <row r="36" spans="2:12" s="365" customFormat="1" ht="14.45" customHeight="1" x14ac:dyDescent="0.25">
      <c r="B36" s="364"/>
      <c r="E36" s="378" t="s">
        <v>185</v>
      </c>
      <c r="F36" s="382">
        <f>ROUND((SUM(BF107:BF108) + SUM(BF128:BF165)),  2)</f>
        <v>0</v>
      </c>
      <c r="I36" s="383">
        <v>0.23</v>
      </c>
      <c r="J36" s="382">
        <f>ROUND(((SUM(BF107:BF108) + SUM(BF128:BF165))*I36),  2)</f>
        <v>0</v>
      </c>
      <c r="L36" s="364"/>
    </row>
    <row r="37" spans="2:12" s="365" customFormat="1" ht="14.45" hidden="1" customHeight="1" x14ac:dyDescent="0.25">
      <c r="B37" s="364"/>
      <c r="E37" s="363" t="s">
        <v>186</v>
      </c>
      <c r="F37" s="382">
        <f>ROUND((SUM(BG107:BG108) + SUM(BG128:BG165)),  2)</f>
        <v>0</v>
      </c>
      <c r="I37" s="383">
        <v>0.23</v>
      </c>
      <c r="J37" s="382">
        <f>0</f>
        <v>0</v>
      </c>
      <c r="L37" s="364"/>
    </row>
    <row r="38" spans="2:12" s="365" customFormat="1" ht="14.45" hidden="1" customHeight="1" x14ac:dyDescent="0.25">
      <c r="B38" s="364"/>
      <c r="E38" s="363" t="s">
        <v>187</v>
      </c>
      <c r="F38" s="382">
        <f>ROUND((SUM(BH107:BH108) + SUM(BH128:BH165)),  2)</f>
        <v>0</v>
      </c>
      <c r="I38" s="383">
        <v>0.23</v>
      </c>
      <c r="J38" s="382">
        <f>0</f>
        <v>0</v>
      </c>
      <c r="L38" s="364"/>
    </row>
    <row r="39" spans="2:12" s="365" customFormat="1" ht="14.45" hidden="1" customHeight="1" x14ac:dyDescent="0.25">
      <c r="B39" s="364"/>
      <c r="E39" s="378" t="s">
        <v>188</v>
      </c>
      <c r="F39" s="379">
        <f>ROUND((SUM(BI107:BI108) + SUM(BI128:BI165)),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105.2 - SO 105.2 Posuvna brana v km 0,300 00 - úsek B</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953</v>
      </c>
      <c r="E101" s="412"/>
      <c r="F101" s="412"/>
      <c r="G101" s="412"/>
      <c r="H101" s="412"/>
      <c r="I101" s="412"/>
      <c r="J101" s="413">
        <f>J153</f>
        <v>0</v>
      </c>
      <c r="L101" s="409"/>
    </row>
    <row r="102" spans="2:14" s="410" customFormat="1" ht="19.899999999999999" customHeight="1" x14ac:dyDescent="0.25">
      <c r="B102" s="409"/>
      <c r="D102" s="411" t="s">
        <v>414</v>
      </c>
      <c r="E102" s="412"/>
      <c r="F102" s="412"/>
      <c r="G102" s="412"/>
      <c r="H102" s="412"/>
      <c r="I102" s="412"/>
      <c r="J102" s="413">
        <f>J155</f>
        <v>0</v>
      </c>
      <c r="L102" s="409"/>
    </row>
    <row r="103" spans="2:14" s="410" customFormat="1" ht="19.899999999999999" customHeight="1" x14ac:dyDescent="0.25">
      <c r="B103" s="409"/>
      <c r="D103" s="411" t="s">
        <v>415</v>
      </c>
      <c r="E103" s="412"/>
      <c r="F103" s="412"/>
      <c r="G103" s="412"/>
      <c r="H103" s="412"/>
      <c r="I103" s="412"/>
      <c r="J103" s="413">
        <f>J160</f>
        <v>0</v>
      </c>
      <c r="L103" s="409"/>
    </row>
    <row r="104" spans="2:14" s="405" customFormat="1" ht="24.95" customHeight="1" x14ac:dyDescent="0.25">
      <c r="B104" s="404"/>
      <c r="D104" s="406" t="s">
        <v>416</v>
      </c>
      <c r="E104" s="407"/>
      <c r="F104" s="407"/>
      <c r="G104" s="407"/>
      <c r="H104" s="407"/>
      <c r="I104" s="407"/>
      <c r="J104" s="408">
        <f>J164</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30" customHeight="1" x14ac:dyDescent="0.25">
      <c r="B120" s="364"/>
      <c r="E120" s="857" t="str">
        <f>E9</f>
        <v>105.2 - SO 105.2 Posuvna brana v km 0,300 00 - úsek B</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P129+P164</f>
        <v>284.82301799999999</v>
      </c>
      <c r="Q128" s="371"/>
      <c r="R128" s="430">
        <f>R129+R164</f>
        <v>11.415090354</v>
      </c>
      <c r="S128" s="371"/>
      <c r="T128" s="431">
        <f>T129+T164</f>
        <v>14.28</v>
      </c>
      <c r="AT128" s="357" t="s">
        <v>216</v>
      </c>
      <c r="AU128" s="357" t="s">
        <v>202</v>
      </c>
      <c r="BK128" s="432">
        <f>BK129+BK164</f>
        <v>0</v>
      </c>
    </row>
    <row r="129" spans="2:65" s="434" customFormat="1" ht="25.9" customHeight="1" x14ac:dyDescent="0.2">
      <c r="B129" s="433"/>
      <c r="D129" s="435" t="s">
        <v>216</v>
      </c>
      <c r="E129" s="436" t="s">
        <v>418</v>
      </c>
      <c r="F129" s="436" t="s">
        <v>419</v>
      </c>
      <c r="J129" s="437">
        <f>BK129</f>
        <v>0</v>
      </c>
      <c r="L129" s="433"/>
      <c r="M129" s="438"/>
      <c r="P129" s="439">
        <f>P130+P141+P147+P153+P155+P160</f>
        <v>284.36641800000001</v>
      </c>
      <c r="R129" s="439">
        <f>R130+R141+R147+R153+R155+R160</f>
        <v>11.415090354</v>
      </c>
      <c r="T129" s="440">
        <f>T130+T141+T147+T153+T155+T160</f>
        <v>14.28</v>
      </c>
      <c r="AR129" s="435" t="s">
        <v>109</v>
      </c>
      <c r="AT129" s="441" t="s">
        <v>216</v>
      </c>
      <c r="AU129" s="441" t="s">
        <v>165</v>
      </c>
      <c r="AY129" s="435" t="s">
        <v>217</v>
      </c>
      <c r="BK129" s="442">
        <f>BK130+BK141+BK147+BK153+BK155+BK160</f>
        <v>0</v>
      </c>
    </row>
    <row r="130" spans="2:65" s="434" customFormat="1" ht="22.9" customHeight="1" x14ac:dyDescent="0.2">
      <c r="B130" s="433"/>
      <c r="D130" s="435" t="s">
        <v>216</v>
      </c>
      <c r="E130" s="443" t="s">
        <v>109</v>
      </c>
      <c r="F130" s="443" t="s">
        <v>220</v>
      </c>
      <c r="J130" s="444">
        <f>BK130</f>
        <v>0</v>
      </c>
      <c r="L130" s="433"/>
      <c r="M130" s="438"/>
      <c r="P130" s="439">
        <f>SUM(P131:P140)</f>
        <v>11.77815</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1388</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1391</v>
      </c>
      <c r="G132" s="448" t="s">
        <v>114</v>
      </c>
      <c r="H132" s="449">
        <v>5</v>
      </c>
      <c r="I132" s="329">
        <v>0</v>
      </c>
      <c r="J132" s="450">
        <f t="shared" si="0"/>
        <v>0</v>
      </c>
      <c r="K132" s="451"/>
      <c r="L132" s="364"/>
      <c r="M132" s="452" t="s">
        <v>171</v>
      </c>
      <c r="N132" s="415" t="s">
        <v>185</v>
      </c>
      <c r="O132" s="453">
        <v>0.15</v>
      </c>
      <c r="P132" s="453">
        <f t="shared" si="1"/>
        <v>0.75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5</v>
      </c>
      <c r="I133" s="329">
        <v>0</v>
      </c>
      <c r="J133" s="450">
        <f t="shared" si="0"/>
        <v>0</v>
      </c>
      <c r="K133" s="451"/>
      <c r="L133" s="364"/>
      <c r="M133" s="452" t="s">
        <v>171</v>
      </c>
      <c r="N133" s="415" t="s">
        <v>185</v>
      </c>
      <c r="O133" s="453">
        <v>7.6999999999999999E-2</v>
      </c>
      <c r="P133" s="453">
        <f t="shared" si="1"/>
        <v>0.38500000000000001</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1392</v>
      </c>
      <c r="G134" s="448" t="s">
        <v>114</v>
      </c>
      <c r="H134" s="449">
        <v>3</v>
      </c>
      <c r="I134" s="329">
        <v>0</v>
      </c>
      <c r="J134" s="450">
        <f t="shared" si="0"/>
        <v>0</v>
      </c>
      <c r="K134" s="451"/>
      <c r="L134" s="364"/>
      <c r="M134" s="452" t="s">
        <v>171</v>
      </c>
      <c r="N134" s="415" t="s">
        <v>185</v>
      </c>
      <c r="O134" s="453">
        <v>0.22900000000000001</v>
      </c>
      <c r="P134" s="453">
        <f t="shared" si="1"/>
        <v>0.68700000000000006</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4</v>
      </c>
      <c r="I135" s="329">
        <v>0</v>
      </c>
      <c r="J135" s="450">
        <f t="shared" si="0"/>
        <v>0</v>
      </c>
      <c r="K135" s="451"/>
      <c r="L135" s="364"/>
      <c r="M135" s="452" t="s">
        <v>171</v>
      </c>
      <c r="N135" s="415" t="s">
        <v>185</v>
      </c>
      <c r="O135" s="453">
        <v>1.7000000000000001E-2</v>
      </c>
      <c r="P135" s="453">
        <f t="shared" si="1"/>
        <v>6.8000000000000005E-2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24.2" customHeight="1" x14ac:dyDescent="0.25">
      <c r="B136" s="364"/>
      <c r="C136" s="445" t="s">
        <v>117</v>
      </c>
      <c r="D136" s="445" t="s">
        <v>218</v>
      </c>
      <c r="E136" s="446" t="s">
        <v>435</v>
      </c>
      <c r="F136" s="447" t="s">
        <v>1555</v>
      </c>
      <c r="G136" s="448" t="s">
        <v>114</v>
      </c>
      <c r="H136" s="449">
        <v>28.5</v>
      </c>
      <c r="I136" s="329">
        <v>0</v>
      </c>
      <c r="J136" s="450">
        <f t="shared" si="0"/>
        <v>0</v>
      </c>
      <c r="K136" s="451"/>
      <c r="L136" s="364"/>
      <c r="M136" s="452" t="s">
        <v>171</v>
      </c>
      <c r="N136" s="415" t="s">
        <v>185</v>
      </c>
      <c r="O136" s="453">
        <v>8.6999999999999994E-2</v>
      </c>
      <c r="P136" s="453">
        <f t="shared" si="1"/>
        <v>2.4794999999999998</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1556</v>
      </c>
      <c r="G137" s="448" t="s">
        <v>112</v>
      </c>
      <c r="H137" s="449">
        <f>Ponuka!S124</f>
        <v>51.300000000000011</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1394</v>
      </c>
    </row>
    <row r="138" spans="2:65" s="365" customFormat="1" ht="37.9" customHeight="1" x14ac:dyDescent="0.25">
      <c r="B138" s="364"/>
      <c r="C138" s="445" t="s">
        <v>115</v>
      </c>
      <c r="D138" s="445" t="s">
        <v>218</v>
      </c>
      <c r="E138" s="446" t="s">
        <v>1395</v>
      </c>
      <c r="F138" s="447" t="s">
        <v>1557</v>
      </c>
      <c r="G138" s="448" t="s">
        <v>114</v>
      </c>
      <c r="H138" s="449">
        <v>28.5</v>
      </c>
      <c r="I138" s="329">
        <v>0</v>
      </c>
      <c r="J138" s="450">
        <f t="shared" si="0"/>
        <v>0</v>
      </c>
      <c r="K138" s="451"/>
      <c r="L138" s="364"/>
      <c r="M138" s="452" t="s">
        <v>171</v>
      </c>
      <c r="N138" s="415" t="s">
        <v>185</v>
      </c>
      <c r="O138" s="453">
        <v>5.4399999999999997E-2</v>
      </c>
      <c r="P138" s="453">
        <f t="shared" si="1"/>
        <v>1.5504</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1397</v>
      </c>
    </row>
    <row r="139" spans="2:65" s="365" customFormat="1" ht="49.15" customHeight="1" x14ac:dyDescent="0.25">
      <c r="B139" s="364"/>
      <c r="C139" s="445" t="s">
        <v>162</v>
      </c>
      <c r="D139" s="445" t="s">
        <v>218</v>
      </c>
      <c r="E139" s="446" t="s">
        <v>1398</v>
      </c>
      <c r="F139" s="447" t="s">
        <v>1558</v>
      </c>
      <c r="G139" s="448" t="s">
        <v>114</v>
      </c>
      <c r="H139" s="449">
        <v>627</v>
      </c>
      <c r="I139" s="329">
        <v>0</v>
      </c>
      <c r="J139" s="450">
        <f t="shared" si="0"/>
        <v>0</v>
      </c>
      <c r="K139" s="451"/>
      <c r="L139" s="364"/>
      <c r="M139" s="452" t="s">
        <v>171</v>
      </c>
      <c r="N139" s="415" t="s">
        <v>185</v>
      </c>
      <c r="O139" s="453">
        <v>6.0000000000000001E-3</v>
      </c>
      <c r="P139" s="453">
        <f t="shared" si="1"/>
        <v>3.762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1400</v>
      </c>
    </row>
    <row r="140" spans="2:65" s="365" customFormat="1" ht="24.2" customHeight="1" x14ac:dyDescent="0.25">
      <c r="B140" s="364"/>
      <c r="C140" s="445" t="s">
        <v>221</v>
      </c>
      <c r="D140" s="445" t="s">
        <v>218</v>
      </c>
      <c r="E140" s="446" t="s">
        <v>988</v>
      </c>
      <c r="F140" s="447" t="s">
        <v>989</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1559</v>
      </c>
    </row>
    <row r="141" spans="2:65" s="434" customFormat="1" ht="22.9" customHeight="1" x14ac:dyDescent="0.2">
      <c r="B141" s="433"/>
      <c r="D141" s="435" t="s">
        <v>216</v>
      </c>
      <c r="E141" s="443" t="s">
        <v>108</v>
      </c>
      <c r="F141" s="443" t="s">
        <v>469</v>
      </c>
      <c r="I141" s="467"/>
      <c r="J141" s="444">
        <f>BK141</f>
        <v>0</v>
      </c>
      <c r="L141" s="433"/>
      <c r="M141" s="438"/>
      <c r="P141" s="439">
        <f>SUM(P142:P146)</f>
        <v>35.350427999999994</v>
      </c>
      <c r="R141" s="439">
        <f>SUM(R142:R146)</f>
        <v>9.4460972539999997</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1404</v>
      </c>
      <c r="G142" s="448" t="s">
        <v>114</v>
      </c>
      <c r="H142" s="449">
        <v>0.3</v>
      </c>
      <c r="I142" s="329">
        <v>0</v>
      </c>
      <c r="J142" s="450">
        <f>ROUND(I142*H142,2)</f>
        <v>0</v>
      </c>
      <c r="K142" s="451"/>
      <c r="L142" s="364"/>
      <c r="M142" s="452" t="s">
        <v>171</v>
      </c>
      <c r="N142" s="415" t="s">
        <v>185</v>
      </c>
      <c r="O142" s="453">
        <v>0.61770999999999998</v>
      </c>
      <c r="P142" s="453">
        <f>O142*H142</f>
        <v>0.18531299999999998</v>
      </c>
      <c r="Q142" s="453">
        <v>2.2354352</v>
      </c>
      <c r="R142" s="453">
        <f>Q142*H142</f>
        <v>0.67063055999999999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1405</v>
      </c>
    </row>
    <row r="143" spans="2:65" s="365" customFormat="1" ht="24.2" customHeight="1" x14ac:dyDescent="0.25">
      <c r="B143" s="364"/>
      <c r="C143" s="445" t="s">
        <v>223</v>
      </c>
      <c r="D143" s="445" t="s">
        <v>218</v>
      </c>
      <c r="E143" s="446" t="s">
        <v>507</v>
      </c>
      <c r="F143" s="447" t="s">
        <v>1406</v>
      </c>
      <c r="G143" s="448" t="s">
        <v>114</v>
      </c>
      <c r="H143" s="449">
        <v>3.5</v>
      </c>
      <c r="I143" s="329">
        <v>0</v>
      </c>
      <c r="J143" s="450">
        <f>ROUND(I143*H143,2)</f>
        <v>0</v>
      </c>
      <c r="K143" s="451"/>
      <c r="L143" s="364"/>
      <c r="M143" s="452" t="s">
        <v>171</v>
      </c>
      <c r="N143" s="415" t="s">
        <v>185</v>
      </c>
      <c r="O143" s="453">
        <v>0.58269000000000004</v>
      </c>
      <c r="P143" s="453">
        <f>O143*H143</f>
        <v>2.039415</v>
      </c>
      <c r="Q143" s="453">
        <v>2.3223457000000001</v>
      </c>
      <c r="R143" s="453">
        <f>Q143*H143</f>
        <v>8.1282099500000005</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1407</v>
      </c>
    </row>
    <row r="144" spans="2:65" s="365" customFormat="1" ht="16.5" customHeight="1" x14ac:dyDescent="0.25">
      <c r="B144" s="364"/>
      <c r="C144" s="445" t="s">
        <v>225</v>
      </c>
      <c r="D144" s="445" t="s">
        <v>218</v>
      </c>
      <c r="E144" s="446" t="s">
        <v>510</v>
      </c>
      <c r="F144" s="447" t="s">
        <v>1408</v>
      </c>
      <c r="G144" s="448" t="s">
        <v>111</v>
      </c>
      <c r="H144" s="449">
        <v>22.5</v>
      </c>
      <c r="I144" s="329">
        <v>0</v>
      </c>
      <c r="J144" s="450">
        <f>ROUND(I144*H144,2)</f>
        <v>0</v>
      </c>
      <c r="K144" s="451"/>
      <c r="L144" s="364"/>
      <c r="M144" s="452" t="s">
        <v>171</v>
      </c>
      <c r="N144" s="415" t="s">
        <v>185</v>
      </c>
      <c r="O144" s="453">
        <v>0.35799999999999998</v>
      </c>
      <c r="P144" s="453">
        <f>O144*H144</f>
        <v>8.0549999999999997</v>
      </c>
      <c r="Q144" s="453">
        <v>1.5947400000000001E-3</v>
      </c>
      <c r="R144" s="453">
        <f>Q144*H144</f>
        <v>3.5881650000000001E-2</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1409</v>
      </c>
    </row>
    <row r="145" spans="2:65" s="365" customFormat="1" ht="16.5" customHeight="1" x14ac:dyDescent="0.25">
      <c r="B145" s="364"/>
      <c r="C145" s="445" t="s">
        <v>226</v>
      </c>
      <c r="D145" s="445" t="s">
        <v>218</v>
      </c>
      <c r="E145" s="446" t="s">
        <v>513</v>
      </c>
      <c r="F145" s="447" t="s">
        <v>1410</v>
      </c>
      <c r="G145" s="448" t="s">
        <v>111</v>
      </c>
      <c r="H145" s="449">
        <v>22.5</v>
      </c>
      <c r="I145" s="329">
        <v>0</v>
      </c>
      <c r="J145" s="450">
        <f>ROUND(I145*H145,2)</f>
        <v>0</v>
      </c>
      <c r="K145" s="451"/>
      <c r="L145" s="364"/>
      <c r="M145" s="452" t="s">
        <v>171</v>
      </c>
      <c r="N145" s="415" t="s">
        <v>185</v>
      </c>
      <c r="O145" s="453">
        <v>0.19900000000000001</v>
      </c>
      <c r="P145" s="453">
        <f>O145*H145</f>
        <v>4.4775</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1411</v>
      </c>
    </row>
    <row r="146" spans="2:65" s="365" customFormat="1" ht="16.5" customHeight="1" x14ac:dyDescent="0.25">
      <c r="B146" s="364"/>
      <c r="C146" s="445" t="s">
        <v>227</v>
      </c>
      <c r="D146" s="445" t="s">
        <v>218</v>
      </c>
      <c r="E146" s="446" t="s">
        <v>1412</v>
      </c>
      <c r="F146" s="447" t="s">
        <v>1413</v>
      </c>
      <c r="G146" s="448" t="s">
        <v>112</v>
      </c>
      <c r="H146" s="449">
        <v>0.6</v>
      </c>
      <c r="I146" s="329">
        <v>0</v>
      </c>
      <c r="J146" s="450">
        <f>ROUND(I146*H146,2)</f>
        <v>0</v>
      </c>
      <c r="K146" s="451"/>
      <c r="L146" s="364"/>
      <c r="M146" s="452" t="s">
        <v>171</v>
      </c>
      <c r="N146" s="415" t="s">
        <v>185</v>
      </c>
      <c r="O146" s="453">
        <v>34.322000000000003</v>
      </c>
      <c r="P146" s="453">
        <f>O146*H146</f>
        <v>20.5932</v>
      </c>
      <c r="Q146" s="453">
        <v>1.0189584899999999</v>
      </c>
      <c r="R146" s="453">
        <f>Q146*H146</f>
        <v>0.6113750939999999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1414</v>
      </c>
    </row>
    <row r="147" spans="2:65" s="434" customFormat="1" ht="22.9" customHeight="1" x14ac:dyDescent="0.2">
      <c r="B147" s="433"/>
      <c r="D147" s="435" t="s">
        <v>216</v>
      </c>
      <c r="E147" s="443" t="s">
        <v>119</v>
      </c>
      <c r="F147" s="443" t="s">
        <v>541</v>
      </c>
      <c r="I147" s="467"/>
      <c r="J147" s="444">
        <f>BK147</f>
        <v>0</v>
      </c>
      <c r="L147" s="433"/>
      <c r="M147" s="438"/>
      <c r="P147" s="439">
        <f>SUM(P148:P152)</f>
        <v>199.77879999999999</v>
      </c>
      <c r="R147" s="439">
        <f>SUM(R148:R152)</f>
        <v>1.9493769999999999</v>
      </c>
      <c r="T147" s="440">
        <f>SUM(T148:T152)</f>
        <v>0</v>
      </c>
      <c r="AR147" s="435" t="s">
        <v>109</v>
      </c>
      <c r="AT147" s="441" t="s">
        <v>216</v>
      </c>
      <c r="AU147" s="441" t="s">
        <v>109</v>
      </c>
      <c r="AY147" s="435" t="s">
        <v>217</v>
      </c>
      <c r="BK147" s="442">
        <f>SUM(BK148:BK152)</f>
        <v>0</v>
      </c>
    </row>
    <row r="148" spans="2:65" s="365" customFormat="1" ht="24.2" customHeight="1" x14ac:dyDescent="0.25">
      <c r="B148" s="364"/>
      <c r="C148" s="445" t="s">
        <v>228</v>
      </c>
      <c r="D148" s="445" t="s">
        <v>218</v>
      </c>
      <c r="E148" s="446" t="s">
        <v>1560</v>
      </c>
      <c r="F148" s="447" t="s">
        <v>1561</v>
      </c>
      <c r="G148" s="448" t="s">
        <v>123</v>
      </c>
      <c r="H148" s="449">
        <v>2</v>
      </c>
      <c r="I148" s="329">
        <v>0</v>
      </c>
      <c r="J148" s="450">
        <f>ROUND(I148*H148,2)</f>
        <v>0</v>
      </c>
      <c r="K148" s="451"/>
      <c r="L148" s="364"/>
      <c r="M148" s="452" t="s">
        <v>171</v>
      </c>
      <c r="N148" s="415" t="s">
        <v>185</v>
      </c>
      <c r="O148" s="453">
        <v>5.5393999999999997</v>
      </c>
      <c r="P148" s="453">
        <f>O148*H148</f>
        <v>11.078799999999999</v>
      </c>
      <c r="Q148" s="453">
        <v>6.8849999999999998E-4</v>
      </c>
      <c r="R148" s="453">
        <f>Q148*H148</f>
        <v>1.377E-3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1562</v>
      </c>
    </row>
    <row r="149" spans="2:65" s="365" customFormat="1" ht="24.2" customHeight="1" x14ac:dyDescent="0.25">
      <c r="B149" s="364"/>
      <c r="C149" s="457" t="s">
        <v>229</v>
      </c>
      <c r="D149" s="457" t="s">
        <v>259</v>
      </c>
      <c r="E149" s="458" t="s">
        <v>1563</v>
      </c>
      <c r="F149" s="459" t="s">
        <v>1564</v>
      </c>
      <c r="G149" s="460" t="s">
        <v>1565</v>
      </c>
      <c r="H149" s="461">
        <v>2</v>
      </c>
      <c r="I149" s="330">
        <v>0</v>
      </c>
      <c r="J149" s="462">
        <f>ROUND(I149*H149,2)</f>
        <v>0</v>
      </c>
      <c r="K149" s="463"/>
      <c r="L149" s="464"/>
      <c r="M149" s="465" t="s">
        <v>171</v>
      </c>
      <c r="N149" s="466" t="s">
        <v>185</v>
      </c>
      <c r="O149" s="453">
        <v>0</v>
      </c>
      <c r="P149" s="453">
        <f>O149*H149</f>
        <v>0</v>
      </c>
      <c r="Q149" s="453">
        <v>1.6E-2</v>
      </c>
      <c r="R149" s="453">
        <f>Q149*H149</f>
        <v>3.2000000000000001E-2</v>
      </c>
      <c r="S149" s="453">
        <v>0</v>
      </c>
      <c r="T149" s="454">
        <f>S149*H149</f>
        <v>0</v>
      </c>
      <c r="AR149" s="455" t="s">
        <v>115</v>
      </c>
      <c r="AT149" s="455" t="s">
        <v>259</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1566</v>
      </c>
    </row>
    <row r="150" spans="2:65" s="365" customFormat="1" ht="37.9" customHeight="1" x14ac:dyDescent="0.25">
      <c r="B150" s="364"/>
      <c r="C150" s="445" t="s">
        <v>231</v>
      </c>
      <c r="D150" s="445" t="s">
        <v>218</v>
      </c>
      <c r="E150" s="446" t="s">
        <v>1567</v>
      </c>
      <c r="F150" s="447" t="s">
        <v>1568</v>
      </c>
      <c r="G150" s="448" t="s">
        <v>536</v>
      </c>
      <c r="H150" s="449">
        <v>1700</v>
      </c>
      <c r="I150" s="329">
        <v>0</v>
      </c>
      <c r="J150" s="450">
        <f>ROUND(I150*H150,2)</f>
        <v>0</v>
      </c>
      <c r="K150" s="451"/>
      <c r="L150" s="364"/>
      <c r="M150" s="452" t="s">
        <v>171</v>
      </c>
      <c r="N150" s="415" t="s">
        <v>185</v>
      </c>
      <c r="O150" s="453">
        <v>0.111</v>
      </c>
      <c r="P150" s="453">
        <f>O150*H150</f>
        <v>188.7</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1569</v>
      </c>
    </row>
    <row r="151" spans="2:65" s="365" customFormat="1" ht="24.2" customHeight="1" x14ac:dyDescent="0.25">
      <c r="B151" s="364"/>
      <c r="C151" s="457" t="s">
        <v>232</v>
      </c>
      <c r="D151" s="457" t="s">
        <v>259</v>
      </c>
      <c r="E151" s="458" t="s">
        <v>570</v>
      </c>
      <c r="F151" s="459" t="s">
        <v>1570</v>
      </c>
      <c r="G151" s="460" t="s">
        <v>112</v>
      </c>
      <c r="H151" s="461">
        <v>1.7</v>
      </c>
      <c r="I151" s="330">
        <v>0</v>
      </c>
      <c r="J151" s="462">
        <f>ROUND(I151*H151,2)</f>
        <v>0</v>
      </c>
      <c r="K151" s="463"/>
      <c r="L151" s="464"/>
      <c r="M151" s="465" t="s">
        <v>171</v>
      </c>
      <c r="N151" s="466" t="s">
        <v>185</v>
      </c>
      <c r="O151" s="453">
        <v>0</v>
      </c>
      <c r="P151" s="453">
        <f>O151*H151</f>
        <v>0</v>
      </c>
      <c r="Q151" s="453">
        <v>1</v>
      </c>
      <c r="R151" s="453">
        <f>Q151*H151</f>
        <v>1.7</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1571</v>
      </c>
    </row>
    <row r="152" spans="2:65" s="365" customFormat="1" ht="21.75" customHeight="1" x14ac:dyDescent="0.25">
      <c r="B152" s="364"/>
      <c r="C152" s="457" t="s">
        <v>234</v>
      </c>
      <c r="D152" s="457" t="s">
        <v>259</v>
      </c>
      <c r="E152" s="458" t="s">
        <v>1572</v>
      </c>
      <c r="F152" s="459" t="s">
        <v>1573</v>
      </c>
      <c r="G152" s="460" t="s">
        <v>123</v>
      </c>
      <c r="H152" s="461">
        <v>18</v>
      </c>
      <c r="I152" s="330">
        <v>0</v>
      </c>
      <c r="J152" s="462">
        <f>ROUND(I152*H152,2)</f>
        <v>0</v>
      </c>
      <c r="K152" s="463"/>
      <c r="L152" s="464"/>
      <c r="M152" s="465" t="s">
        <v>171</v>
      </c>
      <c r="N152" s="466" t="s">
        <v>185</v>
      </c>
      <c r="O152" s="453">
        <v>0</v>
      </c>
      <c r="P152" s="453">
        <f>O152*H152</f>
        <v>0</v>
      </c>
      <c r="Q152" s="453">
        <v>1.2E-2</v>
      </c>
      <c r="R152" s="453">
        <f>Q152*H152</f>
        <v>0.216</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1574</v>
      </c>
    </row>
    <row r="153" spans="2:65" s="434" customFormat="1" ht="22.9" customHeight="1" x14ac:dyDescent="0.2">
      <c r="B153" s="433"/>
      <c r="D153" s="435" t="s">
        <v>216</v>
      </c>
      <c r="E153" s="443" t="s">
        <v>115</v>
      </c>
      <c r="F153" s="443" t="s">
        <v>1023</v>
      </c>
      <c r="I153" s="467"/>
      <c r="J153" s="444">
        <f>BK153</f>
        <v>0</v>
      </c>
      <c r="L153" s="433"/>
      <c r="M153" s="438"/>
      <c r="P153" s="439">
        <f>P154</f>
        <v>1.76</v>
      </c>
      <c r="R153" s="439">
        <f>R154</f>
        <v>0</v>
      </c>
      <c r="T153" s="440">
        <f>T154</f>
        <v>0</v>
      </c>
      <c r="AR153" s="435" t="s">
        <v>109</v>
      </c>
      <c r="AT153" s="441" t="s">
        <v>216</v>
      </c>
      <c r="AU153" s="441" t="s">
        <v>109</v>
      </c>
      <c r="AY153" s="435" t="s">
        <v>217</v>
      </c>
      <c r="BK153" s="442">
        <f>BK154</f>
        <v>0</v>
      </c>
    </row>
    <row r="154" spans="2:65" s="365" customFormat="1" ht="16.5" customHeight="1" x14ac:dyDescent="0.25">
      <c r="B154" s="364"/>
      <c r="C154" s="445" t="s">
        <v>235</v>
      </c>
      <c r="D154" s="445" t="s">
        <v>218</v>
      </c>
      <c r="E154" s="446" t="s">
        <v>1575</v>
      </c>
      <c r="F154" s="447" t="s">
        <v>1576</v>
      </c>
      <c r="G154" s="448" t="s">
        <v>113</v>
      </c>
      <c r="H154" s="449">
        <v>8</v>
      </c>
      <c r="I154" s="329">
        <v>0</v>
      </c>
      <c r="J154" s="450">
        <f>ROUND(I154*H154,2)</f>
        <v>0</v>
      </c>
      <c r="K154" s="451"/>
      <c r="L154" s="364"/>
      <c r="M154" s="452" t="s">
        <v>171</v>
      </c>
      <c r="N154" s="415" t="s">
        <v>185</v>
      </c>
      <c r="O154" s="453">
        <v>0.22</v>
      </c>
      <c r="P154" s="453">
        <f>O154*H154</f>
        <v>1.76</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1577</v>
      </c>
    </row>
    <row r="155" spans="2:65" s="434" customFormat="1" ht="22.9" customHeight="1" x14ac:dyDescent="0.2">
      <c r="B155" s="433"/>
      <c r="D155" s="435" t="s">
        <v>216</v>
      </c>
      <c r="E155" s="443" t="s">
        <v>162</v>
      </c>
      <c r="F155" s="443" t="s">
        <v>633</v>
      </c>
      <c r="I155" s="467"/>
      <c r="J155" s="444">
        <f>BK155</f>
        <v>0</v>
      </c>
      <c r="L155" s="433"/>
      <c r="M155" s="438"/>
      <c r="P155" s="439">
        <f>SUM(P156:P159)</f>
        <v>32.315039999999996</v>
      </c>
      <c r="R155" s="439">
        <f>SUM(R156:R159)</f>
        <v>1.9616099999999997E-2</v>
      </c>
      <c r="T155" s="440">
        <f>SUM(T156:T159)</f>
        <v>14.28</v>
      </c>
      <c r="AR155" s="435" t="s">
        <v>109</v>
      </c>
      <c r="AT155" s="441" t="s">
        <v>216</v>
      </c>
      <c r="AU155" s="441" t="s">
        <v>109</v>
      </c>
      <c r="AY155" s="435" t="s">
        <v>217</v>
      </c>
      <c r="BK155" s="442">
        <f>SUM(BK156:BK159)</f>
        <v>0</v>
      </c>
    </row>
    <row r="156" spans="2:65" s="365" customFormat="1" ht="62.65" customHeight="1" x14ac:dyDescent="0.25">
      <c r="B156" s="364"/>
      <c r="C156" s="445" t="s">
        <v>236</v>
      </c>
      <c r="D156" s="445" t="s">
        <v>218</v>
      </c>
      <c r="E156" s="446" t="s">
        <v>635</v>
      </c>
      <c r="F156" s="447" t="s">
        <v>3116</v>
      </c>
      <c r="G156" s="448" t="s">
        <v>112</v>
      </c>
      <c r="H156" s="449">
        <f>Ponuka!L124</f>
        <v>10.5</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1578</v>
      </c>
    </row>
    <row r="157" spans="2:65" s="365" customFormat="1" ht="62.65" customHeight="1" x14ac:dyDescent="0.25">
      <c r="B157" s="364"/>
      <c r="C157" s="445" t="s">
        <v>237</v>
      </c>
      <c r="D157" s="445" t="s">
        <v>218</v>
      </c>
      <c r="E157" s="446" t="s">
        <v>638</v>
      </c>
      <c r="F157" s="447" t="s">
        <v>3117</v>
      </c>
      <c r="G157" s="448" t="s">
        <v>112</v>
      </c>
      <c r="H157" s="449">
        <f>Ponuka!R124</f>
        <v>119.69999999999999</v>
      </c>
      <c r="I157" s="329">
        <v>0</v>
      </c>
      <c r="J157" s="450">
        <f>ROUND(I157*H157,2)</f>
        <v>0</v>
      </c>
      <c r="K157" s="451"/>
      <c r="L157" s="364"/>
      <c r="M157" s="452" t="s">
        <v>171</v>
      </c>
      <c r="N157" s="415" t="s">
        <v>185</v>
      </c>
      <c r="O157" s="453">
        <v>0</v>
      </c>
      <c r="P157" s="453">
        <f>O157*H157</f>
        <v>0</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1579</v>
      </c>
    </row>
    <row r="158" spans="2:65" s="365" customFormat="1" ht="24.2" customHeight="1" x14ac:dyDescent="0.25">
      <c r="B158" s="364"/>
      <c r="C158" s="445" t="s">
        <v>238</v>
      </c>
      <c r="D158" s="445" t="s">
        <v>218</v>
      </c>
      <c r="E158" s="446" t="s">
        <v>641</v>
      </c>
      <c r="F158" s="447" t="s">
        <v>642</v>
      </c>
      <c r="G158" s="448" t="s">
        <v>112</v>
      </c>
      <c r="H158" s="449">
        <f>H161</f>
        <v>4.5</v>
      </c>
      <c r="I158" s="329">
        <v>0</v>
      </c>
      <c r="J158" s="450">
        <f>ROUND(I158*H158,2)</f>
        <v>0</v>
      </c>
      <c r="K158" s="451"/>
      <c r="L158" s="364"/>
      <c r="M158" s="452" t="s">
        <v>171</v>
      </c>
      <c r="N158" s="415" t="s">
        <v>185</v>
      </c>
      <c r="O158" s="453">
        <v>6.0000000000000001E-3</v>
      </c>
      <c r="P158" s="453">
        <f>O158*H158</f>
        <v>2.7E-2</v>
      </c>
      <c r="Q158" s="453">
        <v>0</v>
      </c>
      <c r="R158" s="453">
        <f>Q158*H158</f>
        <v>0</v>
      </c>
      <c r="S158" s="453">
        <v>0</v>
      </c>
      <c r="T158" s="454">
        <f>S158*H158</f>
        <v>0</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1580</v>
      </c>
    </row>
    <row r="159" spans="2:65" s="365" customFormat="1" ht="24.2" customHeight="1" x14ac:dyDescent="0.25">
      <c r="B159" s="364"/>
      <c r="C159" s="445" t="s">
        <v>240</v>
      </c>
      <c r="D159" s="445" t="s">
        <v>218</v>
      </c>
      <c r="E159" s="446" t="s">
        <v>1442</v>
      </c>
      <c r="F159" s="447" t="s">
        <v>1443</v>
      </c>
      <c r="G159" s="448" t="s">
        <v>114</v>
      </c>
      <c r="H159" s="449">
        <v>6</v>
      </c>
      <c r="I159" s="329">
        <v>0</v>
      </c>
      <c r="J159" s="450">
        <f>ROUND(I159*H159,2)</f>
        <v>0</v>
      </c>
      <c r="K159" s="451"/>
      <c r="L159" s="364"/>
      <c r="M159" s="452" t="s">
        <v>171</v>
      </c>
      <c r="N159" s="415" t="s">
        <v>185</v>
      </c>
      <c r="O159" s="453">
        <v>5.3813399999999998</v>
      </c>
      <c r="P159" s="453">
        <f>O159*H159</f>
        <v>32.288039999999995</v>
      </c>
      <c r="Q159" s="453">
        <v>3.2693499999999999E-3</v>
      </c>
      <c r="R159" s="453">
        <f>Q159*H159</f>
        <v>1.9616099999999997E-2</v>
      </c>
      <c r="S159" s="453">
        <v>2.38</v>
      </c>
      <c r="T159" s="454">
        <f>S159*H159</f>
        <v>14.28</v>
      </c>
      <c r="AR159" s="455" t="s">
        <v>110</v>
      </c>
      <c r="AT159" s="455" t="s">
        <v>218</v>
      </c>
      <c r="AU159" s="455" t="s">
        <v>108</v>
      </c>
      <c r="AY159" s="357" t="s">
        <v>217</v>
      </c>
      <c r="BE159" s="456">
        <f>IF(N159="základná",J159,0)</f>
        <v>0</v>
      </c>
      <c r="BF159" s="456">
        <f>IF(N159="znížená",J159,0)</f>
        <v>0</v>
      </c>
      <c r="BG159" s="456">
        <f>IF(N159="zákl. prenesená",J159,0)</f>
        <v>0</v>
      </c>
      <c r="BH159" s="456">
        <f>IF(N159="zníž. prenesená",J159,0)</f>
        <v>0</v>
      </c>
      <c r="BI159" s="456">
        <f>IF(N159="nulová",J159,0)</f>
        <v>0</v>
      </c>
      <c r="BJ159" s="357" t="s">
        <v>108</v>
      </c>
      <c r="BK159" s="456">
        <f>ROUND(I159*H159,2)</f>
        <v>0</v>
      </c>
      <c r="BL159" s="357" t="s">
        <v>110</v>
      </c>
      <c r="BM159" s="455" t="s">
        <v>1444</v>
      </c>
    </row>
    <row r="160" spans="2:65" s="434" customFormat="1" ht="22.9" customHeight="1" x14ac:dyDescent="0.2">
      <c r="B160" s="433"/>
      <c r="D160" s="435" t="s">
        <v>216</v>
      </c>
      <c r="E160" s="443" t="s">
        <v>649</v>
      </c>
      <c r="F160" s="443" t="s">
        <v>650</v>
      </c>
      <c r="I160" s="467"/>
      <c r="J160" s="444">
        <f>BK160</f>
        <v>0</v>
      </c>
      <c r="L160" s="433"/>
      <c r="M160" s="438"/>
      <c r="P160" s="439">
        <f>SUM(P161:P163)</f>
        <v>3.3839999999999999</v>
      </c>
      <c r="R160" s="439">
        <f>SUM(R161:R163)</f>
        <v>0</v>
      </c>
      <c r="T160" s="440">
        <f>SUM(T161:T163)</f>
        <v>0</v>
      </c>
      <c r="AR160" s="435" t="s">
        <v>109</v>
      </c>
      <c r="AT160" s="441" t="s">
        <v>216</v>
      </c>
      <c r="AU160" s="441" t="s">
        <v>109</v>
      </c>
      <c r="AY160" s="435" t="s">
        <v>217</v>
      </c>
      <c r="BK160" s="442">
        <f>SUM(BK161:BK163)</f>
        <v>0</v>
      </c>
    </row>
    <row r="161" spans="2:65" s="365" customFormat="1" ht="24.2" customHeight="1" x14ac:dyDescent="0.25">
      <c r="B161" s="364"/>
      <c r="C161" s="445" t="s">
        <v>241</v>
      </c>
      <c r="D161" s="445" t="s">
        <v>218</v>
      </c>
      <c r="E161" s="446" t="s">
        <v>652</v>
      </c>
      <c r="F161" s="447" t="s">
        <v>1581</v>
      </c>
      <c r="G161" s="448" t="s">
        <v>112</v>
      </c>
      <c r="H161" s="449">
        <f>H163</f>
        <v>4.5</v>
      </c>
      <c r="I161" s="329">
        <v>0</v>
      </c>
      <c r="J161" s="450">
        <f>ROUND(I161*H161,2)</f>
        <v>0</v>
      </c>
      <c r="K161" s="451"/>
      <c r="L161" s="364"/>
      <c r="M161" s="452" t="s">
        <v>171</v>
      </c>
      <c r="N161" s="415" t="s">
        <v>185</v>
      </c>
      <c r="O161" s="453">
        <v>0.59799999999999998</v>
      </c>
      <c r="P161" s="453">
        <f>O161*H161</f>
        <v>2.6909999999999998</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1582</v>
      </c>
    </row>
    <row r="162" spans="2:65" s="365" customFormat="1" ht="24.2" customHeight="1" x14ac:dyDescent="0.25">
      <c r="B162" s="364"/>
      <c r="C162" s="445" t="s">
        <v>242</v>
      </c>
      <c r="D162" s="445" t="s">
        <v>218</v>
      </c>
      <c r="E162" s="446" t="s">
        <v>1583</v>
      </c>
      <c r="F162" s="447" t="s">
        <v>1584</v>
      </c>
      <c r="G162" s="448" t="s">
        <v>112</v>
      </c>
      <c r="H162" s="449">
        <f>H161*22</f>
        <v>99</v>
      </c>
      <c r="I162" s="329">
        <v>0</v>
      </c>
      <c r="J162" s="450">
        <f>ROUND(I162*H162,2)</f>
        <v>0</v>
      </c>
      <c r="K162" s="451"/>
      <c r="L162" s="364"/>
      <c r="M162" s="452" t="s">
        <v>171</v>
      </c>
      <c r="N162" s="415" t="s">
        <v>185</v>
      </c>
      <c r="O162" s="453">
        <v>7.0000000000000001E-3</v>
      </c>
      <c r="P162" s="453">
        <f>O162*H162</f>
        <v>0.69300000000000006</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1585</v>
      </c>
    </row>
    <row r="163" spans="2:65" s="365" customFormat="1" ht="16.5" customHeight="1" x14ac:dyDescent="0.25">
      <c r="B163" s="364"/>
      <c r="C163" s="445" t="s">
        <v>243</v>
      </c>
      <c r="D163" s="445" t="s">
        <v>218</v>
      </c>
      <c r="E163" s="446" t="s">
        <v>1586</v>
      </c>
      <c r="F163" s="447" t="s">
        <v>3118</v>
      </c>
      <c r="G163" s="448" t="s">
        <v>112</v>
      </c>
      <c r="H163" s="449">
        <f>Ponuka!M124</f>
        <v>4.5</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1588</v>
      </c>
    </row>
    <row r="164" spans="2:65" s="434" customFormat="1" ht="25.9" customHeight="1" x14ac:dyDescent="0.2">
      <c r="B164" s="433"/>
      <c r="D164" s="435" t="s">
        <v>216</v>
      </c>
      <c r="E164" s="436" t="s">
        <v>662</v>
      </c>
      <c r="F164" s="436" t="s">
        <v>663</v>
      </c>
      <c r="I164" s="467"/>
      <c r="J164" s="437">
        <f>BK164</f>
        <v>0</v>
      </c>
      <c r="L164" s="433"/>
      <c r="M164" s="438"/>
      <c r="P164" s="439">
        <f>P165</f>
        <v>0.45659999999999995</v>
      </c>
      <c r="R164" s="439">
        <f>R165</f>
        <v>0</v>
      </c>
      <c r="T164" s="440">
        <f>T165</f>
        <v>0</v>
      </c>
      <c r="AR164" s="435" t="s">
        <v>108</v>
      </c>
      <c r="AT164" s="441" t="s">
        <v>216</v>
      </c>
      <c r="AU164" s="441" t="s">
        <v>165</v>
      </c>
      <c r="AY164" s="435" t="s">
        <v>217</v>
      </c>
      <c r="BK164" s="442">
        <f>BK165</f>
        <v>0</v>
      </c>
    </row>
    <row r="165" spans="2:65" s="365" customFormat="1" ht="24.2" customHeight="1" x14ac:dyDescent="0.25">
      <c r="B165" s="364"/>
      <c r="C165" s="445" t="s">
        <v>244</v>
      </c>
      <c r="D165" s="445" t="s">
        <v>218</v>
      </c>
      <c r="E165" s="446" t="s">
        <v>665</v>
      </c>
      <c r="F165" s="447" t="s">
        <v>936</v>
      </c>
      <c r="G165" s="448" t="s">
        <v>112</v>
      </c>
      <c r="H165" s="449">
        <v>11.414999999999999</v>
      </c>
      <c r="I165" s="329">
        <v>0</v>
      </c>
      <c r="J165" s="450">
        <f>ROUND(I165*H165,2)</f>
        <v>0</v>
      </c>
      <c r="K165" s="451"/>
      <c r="L165" s="364"/>
      <c r="M165" s="468" t="s">
        <v>171</v>
      </c>
      <c r="N165" s="469" t="s">
        <v>185</v>
      </c>
      <c r="O165" s="470">
        <v>0.04</v>
      </c>
      <c r="P165" s="470">
        <f>O165*H165</f>
        <v>0.45659999999999995</v>
      </c>
      <c r="Q165" s="470">
        <v>0</v>
      </c>
      <c r="R165" s="470">
        <f>Q165*H165</f>
        <v>0</v>
      </c>
      <c r="S165" s="470">
        <v>0</v>
      </c>
      <c r="T165" s="471">
        <f>S165*H165</f>
        <v>0</v>
      </c>
      <c r="AR165" s="455" t="s">
        <v>228</v>
      </c>
      <c r="AT165" s="455" t="s">
        <v>218</v>
      </c>
      <c r="AU165" s="455" t="s">
        <v>109</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228</v>
      </c>
      <c r="BM165" s="455" t="s">
        <v>667</v>
      </c>
    </row>
    <row r="166" spans="2:65" s="365" customFormat="1" ht="6.95" customHeight="1" x14ac:dyDescent="0.25">
      <c r="B166" s="397"/>
      <c r="C166" s="398"/>
      <c r="D166" s="398"/>
      <c r="E166" s="398"/>
      <c r="F166" s="398"/>
      <c r="G166" s="398"/>
      <c r="H166" s="398"/>
      <c r="I166" s="398"/>
      <c r="J166" s="398"/>
      <c r="K166" s="398"/>
      <c r="L166" s="364"/>
    </row>
  </sheetData>
  <sheetProtection algorithmName="SHA-512" hashValue="xo+xmlUSLsY6hNaU2sJ6VgFC5cUovMguKDL0E228LspIJ2U1yQ7LOaONee6QVCuTj+S5S05swjUscbBWY9xpFQ==" saltValue="L4qhIOHe3tZKCVUBqTN7Sg==" spinCount="100000" sheet="1" objects="1" scenarios="1"/>
  <autoFilter ref="C127:K165" xr:uid="{00000000-0009-0000-0000-00000D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6899A-60AD-433D-AA9C-18B3D3B674C0}">
  <sheetPr codeName="Hárok21">
    <pageSetUpPr fitToPage="1"/>
  </sheetPr>
  <dimension ref="B2:BM166"/>
  <sheetViews>
    <sheetView topLeftCell="A152" workbookViewId="0">
      <selection activeCell="N178" sqref="N178"/>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374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1589</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SUM(BE128:BE165)),  2)</f>
        <v>0</v>
      </c>
      <c r="G35" s="380"/>
      <c r="H35" s="380"/>
      <c r="I35" s="381">
        <v>0.23</v>
      </c>
      <c r="J35" s="379">
        <f>ROUND(((SUM(BE107:BE108) + SUM(BE128:BE165))*I35),  2)</f>
        <v>0</v>
      </c>
      <c r="L35" s="364"/>
    </row>
    <row r="36" spans="2:12" s="365" customFormat="1" ht="14.45" customHeight="1" x14ac:dyDescent="0.25">
      <c r="B36" s="364"/>
      <c r="E36" s="378" t="s">
        <v>185</v>
      </c>
      <c r="F36" s="382">
        <f>ROUND((SUM(BF107:BF108) + SUM(BF128:BF165)),  2)</f>
        <v>0</v>
      </c>
      <c r="I36" s="383">
        <v>0.23</v>
      </c>
      <c r="J36" s="382">
        <f>ROUND(((SUM(BF107:BF108) + SUM(BF128:BF165))*I36),  2)</f>
        <v>0</v>
      </c>
      <c r="L36" s="364"/>
    </row>
    <row r="37" spans="2:12" s="365" customFormat="1" ht="14.45" hidden="1" customHeight="1" x14ac:dyDescent="0.25">
      <c r="B37" s="364"/>
      <c r="E37" s="363" t="s">
        <v>186</v>
      </c>
      <c r="F37" s="382">
        <f>ROUND((SUM(BG107:BG108) + SUM(BG128:BG165)),  2)</f>
        <v>0</v>
      </c>
      <c r="I37" s="383">
        <v>0.23</v>
      </c>
      <c r="J37" s="382">
        <f>0</f>
        <v>0</v>
      </c>
      <c r="L37" s="364"/>
    </row>
    <row r="38" spans="2:12" s="365" customFormat="1" ht="14.45" hidden="1" customHeight="1" x14ac:dyDescent="0.25">
      <c r="B38" s="364"/>
      <c r="E38" s="363" t="s">
        <v>187</v>
      </c>
      <c r="F38" s="382">
        <f>ROUND((SUM(BH107:BH108) + SUM(BH128:BH165)),  2)</f>
        <v>0</v>
      </c>
      <c r="I38" s="383">
        <v>0.23</v>
      </c>
      <c r="J38" s="382">
        <f>0</f>
        <v>0</v>
      </c>
      <c r="L38" s="364"/>
    </row>
    <row r="39" spans="2:12" s="365" customFormat="1" ht="14.45" hidden="1" customHeight="1" x14ac:dyDescent="0.25">
      <c r="B39" s="364"/>
      <c r="E39" s="378" t="s">
        <v>188</v>
      </c>
      <c r="F39" s="379">
        <f>ROUND((SUM(BI107:BI108) + SUM(BI128:BI165)),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105.3 - SO 105.3 Posuvna brana v km 0,006 00 - úsek C</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953</v>
      </c>
      <c r="E101" s="412"/>
      <c r="F101" s="412"/>
      <c r="G101" s="412"/>
      <c r="H101" s="412"/>
      <c r="I101" s="412"/>
      <c r="J101" s="413">
        <f>J153</f>
        <v>0</v>
      </c>
      <c r="L101" s="409"/>
    </row>
    <row r="102" spans="2:14" s="410" customFormat="1" ht="19.899999999999999" customHeight="1" x14ac:dyDescent="0.25">
      <c r="B102" s="409"/>
      <c r="D102" s="411" t="s">
        <v>414</v>
      </c>
      <c r="E102" s="412"/>
      <c r="F102" s="412"/>
      <c r="G102" s="412"/>
      <c r="H102" s="412"/>
      <c r="I102" s="412"/>
      <c r="J102" s="413">
        <f>J155</f>
        <v>0</v>
      </c>
      <c r="L102" s="409"/>
    </row>
    <row r="103" spans="2:14" s="410" customFormat="1" ht="19.899999999999999" customHeight="1" x14ac:dyDescent="0.25">
      <c r="B103" s="409"/>
      <c r="D103" s="411" t="s">
        <v>415</v>
      </c>
      <c r="E103" s="412"/>
      <c r="F103" s="412"/>
      <c r="G103" s="412"/>
      <c r="H103" s="412"/>
      <c r="I103" s="412"/>
      <c r="J103" s="413">
        <f>J160</f>
        <v>0</v>
      </c>
      <c r="L103" s="409"/>
    </row>
    <row r="104" spans="2:14" s="405" customFormat="1" ht="24.95" customHeight="1" x14ac:dyDescent="0.25">
      <c r="B104" s="404"/>
      <c r="D104" s="406" t="s">
        <v>416</v>
      </c>
      <c r="E104" s="407"/>
      <c r="F104" s="407"/>
      <c r="G104" s="407"/>
      <c r="H104" s="407"/>
      <c r="I104" s="407"/>
      <c r="J104" s="408">
        <f>J164</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30" customHeight="1" x14ac:dyDescent="0.25">
      <c r="B120" s="364"/>
      <c r="E120" s="857" t="str">
        <f>E9</f>
        <v>105.3 - SO 105.3 Posuvna brana v km 0,006 00 - úsek C</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P129+P164</f>
        <v>277.67971799999998</v>
      </c>
      <c r="Q128" s="371"/>
      <c r="R128" s="430">
        <f>R129+R164</f>
        <v>11.415090354</v>
      </c>
      <c r="S128" s="371"/>
      <c r="T128" s="431">
        <f>T129+T164</f>
        <v>14.28</v>
      </c>
      <c r="AT128" s="357" t="s">
        <v>216</v>
      </c>
      <c r="AU128" s="357" t="s">
        <v>202</v>
      </c>
      <c r="BK128" s="432">
        <f>BK129+BK164</f>
        <v>0</v>
      </c>
    </row>
    <row r="129" spans="2:65" s="434" customFormat="1" ht="25.9" customHeight="1" x14ac:dyDescent="0.2">
      <c r="B129" s="433"/>
      <c r="D129" s="435" t="s">
        <v>216</v>
      </c>
      <c r="E129" s="436" t="s">
        <v>418</v>
      </c>
      <c r="F129" s="436" t="s">
        <v>419</v>
      </c>
      <c r="J129" s="437">
        <f>BK129</f>
        <v>0</v>
      </c>
      <c r="L129" s="433"/>
      <c r="M129" s="438"/>
      <c r="P129" s="439">
        <f>P130+P141+P147+P153+P155+P160</f>
        <v>277.223118</v>
      </c>
      <c r="R129" s="439">
        <f>R130+R141+R147+R153+R155+R160</f>
        <v>11.415090354</v>
      </c>
      <c r="T129" s="440">
        <f>T130+T141+T147+T153+T155+T160</f>
        <v>14.28</v>
      </c>
      <c r="AR129" s="435" t="s">
        <v>109</v>
      </c>
      <c r="AT129" s="441" t="s">
        <v>216</v>
      </c>
      <c r="AU129" s="441" t="s">
        <v>165</v>
      </c>
      <c r="AY129" s="435" t="s">
        <v>217</v>
      </c>
      <c r="BK129" s="442">
        <f>BK130+BK141+BK147+BK153+BK155+BK160</f>
        <v>0</v>
      </c>
    </row>
    <row r="130" spans="2:65" s="434" customFormat="1" ht="22.9" customHeight="1" x14ac:dyDescent="0.2">
      <c r="B130" s="433"/>
      <c r="D130" s="435" t="s">
        <v>216</v>
      </c>
      <c r="E130" s="443" t="s">
        <v>109</v>
      </c>
      <c r="F130" s="443" t="s">
        <v>220</v>
      </c>
      <c r="J130" s="444">
        <f>BK130</f>
        <v>0</v>
      </c>
      <c r="L130" s="433"/>
      <c r="M130" s="438"/>
      <c r="P130" s="439">
        <f>SUM(P131:P140)</f>
        <v>4.6348500000000001</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1388</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1391</v>
      </c>
      <c r="G132" s="448" t="s">
        <v>114</v>
      </c>
      <c r="H132" s="449">
        <v>5</v>
      </c>
      <c r="I132" s="329">
        <v>0</v>
      </c>
      <c r="J132" s="450">
        <f t="shared" si="0"/>
        <v>0</v>
      </c>
      <c r="K132" s="451"/>
      <c r="L132" s="364"/>
      <c r="M132" s="452" t="s">
        <v>171</v>
      </c>
      <c r="N132" s="415" t="s">
        <v>185</v>
      </c>
      <c r="O132" s="453">
        <v>0.15</v>
      </c>
      <c r="P132" s="453">
        <f t="shared" si="1"/>
        <v>0.75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5</v>
      </c>
      <c r="I133" s="329">
        <v>0</v>
      </c>
      <c r="J133" s="450">
        <f t="shared" si="0"/>
        <v>0</v>
      </c>
      <c r="K133" s="451"/>
      <c r="L133" s="364"/>
      <c r="M133" s="452" t="s">
        <v>171</v>
      </c>
      <c r="N133" s="415" t="s">
        <v>185</v>
      </c>
      <c r="O133" s="453">
        <v>7.6999999999999999E-2</v>
      </c>
      <c r="P133" s="453">
        <f t="shared" si="1"/>
        <v>0.38500000000000001</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1392</v>
      </c>
      <c r="G134" s="448" t="s">
        <v>114</v>
      </c>
      <c r="H134" s="449">
        <v>3</v>
      </c>
      <c r="I134" s="329">
        <v>0</v>
      </c>
      <c r="J134" s="450">
        <f t="shared" si="0"/>
        <v>0</v>
      </c>
      <c r="K134" s="451"/>
      <c r="L134" s="364"/>
      <c r="M134" s="452" t="s">
        <v>171</v>
      </c>
      <c r="N134" s="415" t="s">
        <v>185</v>
      </c>
      <c r="O134" s="453">
        <v>0.22900000000000001</v>
      </c>
      <c r="P134" s="453">
        <f t="shared" si="1"/>
        <v>0.68700000000000006</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4</v>
      </c>
      <c r="I135" s="329">
        <v>0</v>
      </c>
      <c r="J135" s="450">
        <f t="shared" si="0"/>
        <v>0</v>
      </c>
      <c r="K135" s="451"/>
      <c r="L135" s="364"/>
      <c r="M135" s="452" t="s">
        <v>171</v>
      </c>
      <c r="N135" s="415" t="s">
        <v>185</v>
      </c>
      <c r="O135" s="453">
        <v>1.7000000000000001E-2</v>
      </c>
      <c r="P135" s="453">
        <f t="shared" si="1"/>
        <v>6.8000000000000005E-2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16.5" customHeight="1" x14ac:dyDescent="0.25">
      <c r="B136" s="364"/>
      <c r="C136" s="445" t="s">
        <v>117</v>
      </c>
      <c r="D136" s="445" t="s">
        <v>218</v>
      </c>
      <c r="E136" s="446" t="s">
        <v>435</v>
      </c>
      <c r="F136" s="447" t="s">
        <v>1393</v>
      </c>
      <c r="G136" s="448" t="s">
        <v>114</v>
      </c>
      <c r="H136" s="449">
        <v>5</v>
      </c>
      <c r="I136" s="329">
        <v>0</v>
      </c>
      <c r="J136" s="450">
        <f t="shared" si="0"/>
        <v>0</v>
      </c>
      <c r="K136" s="451"/>
      <c r="L136" s="364"/>
      <c r="M136" s="452" t="s">
        <v>171</v>
      </c>
      <c r="N136" s="415" t="s">
        <v>185</v>
      </c>
      <c r="O136" s="453">
        <v>8.6999999999999994E-2</v>
      </c>
      <c r="P136" s="453">
        <f t="shared" si="1"/>
        <v>0.43499999999999994</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3119</v>
      </c>
      <c r="G137" s="448" t="s">
        <v>112</v>
      </c>
      <c r="H137" s="449">
        <f>Ponuka!S125</f>
        <v>2.7</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1394</v>
      </c>
    </row>
    <row r="138" spans="2:65" s="365" customFormat="1" ht="37.9" customHeight="1" x14ac:dyDescent="0.25">
      <c r="B138" s="364"/>
      <c r="C138" s="445" t="s">
        <v>115</v>
      </c>
      <c r="D138" s="445" t="s">
        <v>218</v>
      </c>
      <c r="E138" s="446" t="s">
        <v>1395</v>
      </c>
      <c r="F138" s="447" t="s">
        <v>1590</v>
      </c>
      <c r="G138" s="448" t="s">
        <v>114</v>
      </c>
      <c r="H138" s="449">
        <v>1.5</v>
      </c>
      <c r="I138" s="329">
        <v>0</v>
      </c>
      <c r="J138" s="450">
        <f t="shared" si="0"/>
        <v>0</v>
      </c>
      <c r="K138" s="451"/>
      <c r="L138" s="364"/>
      <c r="M138" s="452" t="s">
        <v>171</v>
      </c>
      <c r="N138" s="415" t="s">
        <v>185</v>
      </c>
      <c r="O138" s="453">
        <v>5.4399999999999997E-2</v>
      </c>
      <c r="P138" s="453">
        <f t="shared" si="1"/>
        <v>8.1599999999999992E-2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1397</v>
      </c>
    </row>
    <row r="139" spans="2:65" s="365" customFormat="1" ht="49.15" customHeight="1" x14ac:dyDescent="0.25">
      <c r="B139" s="364"/>
      <c r="C139" s="445" t="s">
        <v>162</v>
      </c>
      <c r="D139" s="445" t="s">
        <v>218</v>
      </c>
      <c r="E139" s="446" t="s">
        <v>1398</v>
      </c>
      <c r="F139" s="447" t="s">
        <v>1591</v>
      </c>
      <c r="G139" s="448" t="s">
        <v>114</v>
      </c>
      <c r="H139" s="449">
        <v>22</v>
      </c>
      <c r="I139" s="329">
        <v>0</v>
      </c>
      <c r="J139" s="450">
        <f t="shared" si="0"/>
        <v>0</v>
      </c>
      <c r="K139" s="451"/>
      <c r="L139" s="364"/>
      <c r="M139" s="452" t="s">
        <v>171</v>
      </c>
      <c r="N139" s="415" t="s">
        <v>185</v>
      </c>
      <c r="O139" s="453">
        <v>6.0000000000000001E-3</v>
      </c>
      <c r="P139" s="453">
        <f t="shared" si="1"/>
        <v>0.13200000000000001</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1400</v>
      </c>
    </row>
    <row r="140" spans="2:65" s="365" customFormat="1" ht="24.2" customHeight="1" x14ac:dyDescent="0.25">
      <c r="B140" s="364"/>
      <c r="C140" s="445" t="s">
        <v>221</v>
      </c>
      <c r="D140" s="445" t="s">
        <v>218</v>
      </c>
      <c r="E140" s="446" t="s">
        <v>988</v>
      </c>
      <c r="F140" s="447" t="s">
        <v>989</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1559</v>
      </c>
    </row>
    <row r="141" spans="2:65" s="434" customFormat="1" ht="22.9" customHeight="1" x14ac:dyDescent="0.2">
      <c r="B141" s="433"/>
      <c r="D141" s="435" t="s">
        <v>216</v>
      </c>
      <c r="E141" s="443" t="s">
        <v>108</v>
      </c>
      <c r="F141" s="443" t="s">
        <v>469</v>
      </c>
      <c r="I141" s="467"/>
      <c r="J141" s="444">
        <f>BK141</f>
        <v>0</v>
      </c>
      <c r="L141" s="433"/>
      <c r="M141" s="438"/>
      <c r="P141" s="439">
        <f>SUM(P142:P146)</f>
        <v>35.350427999999994</v>
      </c>
      <c r="R141" s="439">
        <f>SUM(R142:R146)</f>
        <v>9.4460972539999997</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1404</v>
      </c>
      <c r="G142" s="448" t="s">
        <v>114</v>
      </c>
      <c r="H142" s="449">
        <v>0.3</v>
      </c>
      <c r="I142" s="329">
        <v>0</v>
      </c>
      <c r="J142" s="450">
        <f>ROUND(I142*H142,2)</f>
        <v>0</v>
      </c>
      <c r="K142" s="451"/>
      <c r="L142" s="364"/>
      <c r="M142" s="452" t="s">
        <v>171</v>
      </c>
      <c r="N142" s="415" t="s">
        <v>185</v>
      </c>
      <c r="O142" s="453">
        <v>0.61770999999999998</v>
      </c>
      <c r="P142" s="453">
        <f>O142*H142</f>
        <v>0.18531299999999998</v>
      </c>
      <c r="Q142" s="453">
        <v>2.2354352</v>
      </c>
      <c r="R142" s="453">
        <f>Q142*H142</f>
        <v>0.67063055999999999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1405</v>
      </c>
    </row>
    <row r="143" spans="2:65" s="365" customFormat="1" ht="24.2" customHeight="1" x14ac:dyDescent="0.25">
      <c r="B143" s="364"/>
      <c r="C143" s="445" t="s">
        <v>223</v>
      </c>
      <c r="D143" s="445" t="s">
        <v>218</v>
      </c>
      <c r="E143" s="446" t="s">
        <v>507</v>
      </c>
      <c r="F143" s="447" t="s">
        <v>1406</v>
      </c>
      <c r="G143" s="448" t="s">
        <v>114</v>
      </c>
      <c r="H143" s="449">
        <v>3.5</v>
      </c>
      <c r="I143" s="329">
        <v>0</v>
      </c>
      <c r="J143" s="450">
        <f>ROUND(I143*H143,2)</f>
        <v>0</v>
      </c>
      <c r="K143" s="451"/>
      <c r="L143" s="364"/>
      <c r="M143" s="452" t="s">
        <v>171</v>
      </c>
      <c r="N143" s="415" t="s">
        <v>185</v>
      </c>
      <c r="O143" s="453">
        <v>0.58269000000000004</v>
      </c>
      <c r="P143" s="453">
        <f>O143*H143</f>
        <v>2.039415</v>
      </c>
      <c r="Q143" s="453">
        <v>2.3223457000000001</v>
      </c>
      <c r="R143" s="453">
        <f>Q143*H143</f>
        <v>8.1282099500000005</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1407</v>
      </c>
    </row>
    <row r="144" spans="2:65" s="365" customFormat="1" ht="16.5" customHeight="1" x14ac:dyDescent="0.25">
      <c r="B144" s="364"/>
      <c r="C144" s="445" t="s">
        <v>225</v>
      </c>
      <c r="D144" s="445" t="s">
        <v>218</v>
      </c>
      <c r="E144" s="446" t="s">
        <v>510</v>
      </c>
      <c r="F144" s="447" t="s">
        <v>1408</v>
      </c>
      <c r="G144" s="448" t="s">
        <v>111</v>
      </c>
      <c r="H144" s="449">
        <v>22.5</v>
      </c>
      <c r="I144" s="329">
        <v>0</v>
      </c>
      <c r="J144" s="450">
        <f>ROUND(I144*H144,2)</f>
        <v>0</v>
      </c>
      <c r="K144" s="451"/>
      <c r="L144" s="364"/>
      <c r="M144" s="452" t="s">
        <v>171</v>
      </c>
      <c r="N144" s="415" t="s">
        <v>185</v>
      </c>
      <c r="O144" s="453">
        <v>0.35799999999999998</v>
      </c>
      <c r="P144" s="453">
        <f>O144*H144</f>
        <v>8.0549999999999997</v>
      </c>
      <c r="Q144" s="453">
        <v>1.5947400000000001E-3</v>
      </c>
      <c r="R144" s="453">
        <f>Q144*H144</f>
        <v>3.5881650000000001E-2</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1409</v>
      </c>
    </row>
    <row r="145" spans="2:65" s="365" customFormat="1" ht="16.5" customHeight="1" x14ac:dyDescent="0.25">
      <c r="B145" s="364"/>
      <c r="C145" s="445" t="s">
        <v>226</v>
      </c>
      <c r="D145" s="445" t="s">
        <v>218</v>
      </c>
      <c r="E145" s="446" t="s">
        <v>513</v>
      </c>
      <c r="F145" s="447" t="s">
        <v>1410</v>
      </c>
      <c r="G145" s="448" t="s">
        <v>111</v>
      </c>
      <c r="H145" s="449">
        <v>22.5</v>
      </c>
      <c r="I145" s="329">
        <v>0</v>
      </c>
      <c r="J145" s="450">
        <f>ROUND(I145*H145,2)</f>
        <v>0</v>
      </c>
      <c r="K145" s="451"/>
      <c r="L145" s="364"/>
      <c r="M145" s="452" t="s">
        <v>171</v>
      </c>
      <c r="N145" s="415" t="s">
        <v>185</v>
      </c>
      <c r="O145" s="453">
        <v>0.19900000000000001</v>
      </c>
      <c r="P145" s="453">
        <f>O145*H145</f>
        <v>4.4775</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1411</v>
      </c>
    </row>
    <row r="146" spans="2:65" s="365" customFormat="1" ht="16.5" customHeight="1" x14ac:dyDescent="0.25">
      <c r="B146" s="364"/>
      <c r="C146" s="445" t="s">
        <v>227</v>
      </c>
      <c r="D146" s="445" t="s">
        <v>218</v>
      </c>
      <c r="E146" s="446" t="s">
        <v>1412</v>
      </c>
      <c r="F146" s="447" t="s">
        <v>1413</v>
      </c>
      <c r="G146" s="448" t="s">
        <v>112</v>
      </c>
      <c r="H146" s="449">
        <v>0.6</v>
      </c>
      <c r="I146" s="329">
        <v>0</v>
      </c>
      <c r="J146" s="450">
        <f>ROUND(I146*H146,2)</f>
        <v>0</v>
      </c>
      <c r="K146" s="451"/>
      <c r="L146" s="364"/>
      <c r="M146" s="452" t="s">
        <v>171</v>
      </c>
      <c r="N146" s="415" t="s">
        <v>185</v>
      </c>
      <c r="O146" s="453">
        <v>34.322000000000003</v>
      </c>
      <c r="P146" s="453">
        <f>O146*H146</f>
        <v>20.5932</v>
      </c>
      <c r="Q146" s="453">
        <v>1.0189584899999999</v>
      </c>
      <c r="R146" s="453">
        <f>Q146*H146</f>
        <v>0.6113750939999999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1414</v>
      </c>
    </row>
    <row r="147" spans="2:65" s="434" customFormat="1" ht="22.9" customHeight="1" x14ac:dyDescent="0.2">
      <c r="B147" s="433"/>
      <c r="D147" s="435" t="s">
        <v>216</v>
      </c>
      <c r="E147" s="443" t="s">
        <v>119</v>
      </c>
      <c r="F147" s="443" t="s">
        <v>541</v>
      </c>
      <c r="I147" s="467"/>
      <c r="J147" s="444">
        <f>BK147</f>
        <v>0</v>
      </c>
      <c r="L147" s="433"/>
      <c r="M147" s="438"/>
      <c r="P147" s="439">
        <f>SUM(P148:P152)</f>
        <v>199.77879999999999</v>
      </c>
      <c r="R147" s="439">
        <f>SUM(R148:R152)</f>
        <v>1.9493769999999999</v>
      </c>
      <c r="T147" s="440">
        <f>SUM(T148:T152)</f>
        <v>0</v>
      </c>
      <c r="AR147" s="435" t="s">
        <v>109</v>
      </c>
      <c r="AT147" s="441" t="s">
        <v>216</v>
      </c>
      <c r="AU147" s="441" t="s">
        <v>109</v>
      </c>
      <c r="AY147" s="435" t="s">
        <v>217</v>
      </c>
      <c r="BK147" s="442">
        <f>SUM(BK148:BK152)</f>
        <v>0</v>
      </c>
    </row>
    <row r="148" spans="2:65" s="365" customFormat="1" ht="24.2" customHeight="1" x14ac:dyDescent="0.25">
      <c r="B148" s="364"/>
      <c r="C148" s="445" t="s">
        <v>228</v>
      </c>
      <c r="D148" s="445" t="s">
        <v>218</v>
      </c>
      <c r="E148" s="446" t="s">
        <v>1560</v>
      </c>
      <c r="F148" s="447" t="s">
        <v>1561</v>
      </c>
      <c r="G148" s="448" t="s">
        <v>123</v>
      </c>
      <c r="H148" s="449">
        <v>2</v>
      </c>
      <c r="I148" s="329">
        <v>0</v>
      </c>
      <c r="J148" s="450">
        <f>ROUND(I148*H148,2)</f>
        <v>0</v>
      </c>
      <c r="K148" s="451"/>
      <c r="L148" s="364"/>
      <c r="M148" s="452" t="s">
        <v>171</v>
      </c>
      <c r="N148" s="415" t="s">
        <v>185</v>
      </c>
      <c r="O148" s="453">
        <v>5.5393999999999997</v>
      </c>
      <c r="P148" s="453">
        <f>O148*H148</f>
        <v>11.078799999999999</v>
      </c>
      <c r="Q148" s="453">
        <v>6.8849999999999998E-4</v>
      </c>
      <c r="R148" s="453">
        <f>Q148*H148</f>
        <v>1.377E-3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1562</v>
      </c>
    </row>
    <row r="149" spans="2:65" s="365" customFormat="1" ht="24.2" customHeight="1" x14ac:dyDescent="0.25">
      <c r="B149" s="364"/>
      <c r="C149" s="457" t="s">
        <v>229</v>
      </c>
      <c r="D149" s="457" t="s">
        <v>259</v>
      </c>
      <c r="E149" s="458" t="s">
        <v>1563</v>
      </c>
      <c r="F149" s="459" t="s">
        <v>1564</v>
      </c>
      <c r="G149" s="460" t="s">
        <v>1565</v>
      </c>
      <c r="H149" s="461">
        <v>2</v>
      </c>
      <c r="I149" s="330">
        <v>0</v>
      </c>
      <c r="J149" s="462">
        <f>ROUND(I149*H149,2)</f>
        <v>0</v>
      </c>
      <c r="K149" s="463"/>
      <c r="L149" s="464"/>
      <c r="M149" s="465" t="s">
        <v>171</v>
      </c>
      <c r="N149" s="466" t="s">
        <v>185</v>
      </c>
      <c r="O149" s="453">
        <v>0</v>
      </c>
      <c r="P149" s="453">
        <f>O149*H149</f>
        <v>0</v>
      </c>
      <c r="Q149" s="453">
        <v>1.6E-2</v>
      </c>
      <c r="R149" s="453">
        <f>Q149*H149</f>
        <v>3.2000000000000001E-2</v>
      </c>
      <c r="S149" s="453">
        <v>0</v>
      </c>
      <c r="T149" s="454">
        <f>S149*H149</f>
        <v>0</v>
      </c>
      <c r="AR149" s="455" t="s">
        <v>115</v>
      </c>
      <c r="AT149" s="455" t="s">
        <v>259</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1566</v>
      </c>
    </row>
    <row r="150" spans="2:65" s="365" customFormat="1" ht="37.9" customHeight="1" x14ac:dyDescent="0.25">
      <c r="B150" s="364"/>
      <c r="C150" s="445" t="s">
        <v>231</v>
      </c>
      <c r="D150" s="445" t="s">
        <v>218</v>
      </c>
      <c r="E150" s="446" t="s">
        <v>1567</v>
      </c>
      <c r="F150" s="447" t="s">
        <v>1568</v>
      </c>
      <c r="G150" s="448" t="s">
        <v>536</v>
      </c>
      <c r="H150" s="449">
        <v>1700</v>
      </c>
      <c r="I150" s="329">
        <v>0</v>
      </c>
      <c r="J150" s="450">
        <f>ROUND(I150*H150,2)</f>
        <v>0</v>
      </c>
      <c r="K150" s="451"/>
      <c r="L150" s="364"/>
      <c r="M150" s="452" t="s">
        <v>171</v>
      </c>
      <c r="N150" s="415" t="s">
        <v>185</v>
      </c>
      <c r="O150" s="453">
        <v>0.111</v>
      </c>
      <c r="P150" s="453">
        <f>O150*H150</f>
        <v>188.7</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1569</v>
      </c>
    </row>
    <row r="151" spans="2:65" s="365" customFormat="1" ht="24.2" customHeight="1" x14ac:dyDescent="0.25">
      <c r="B151" s="364"/>
      <c r="C151" s="457" t="s">
        <v>232</v>
      </c>
      <c r="D151" s="457" t="s">
        <v>259</v>
      </c>
      <c r="E151" s="458" t="s">
        <v>570</v>
      </c>
      <c r="F151" s="459" t="s">
        <v>1570</v>
      </c>
      <c r="G151" s="460" t="s">
        <v>112</v>
      </c>
      <c r="H151" s="461">
        <v>1.7</v>
      </c>
      <c r="I151" s="330">
        <v>0</v>
      </c>
      <c r="J151" s="462">
        <f>ROUND(I151*H151,2)</f>
        <v>0</v>
      </c>
      <c r="K151" s="463"/>
      <c r="L151" s="464"/>
      <c r="M151" s="465" t="s">
        <v>171</v>
      </c>
      <c r="N151" s="466" t="s">
        <v>185</v>
      </c>
      <c r="O151" s="453">
        <v>0</v>
      </c>
      <c r="P151" s="453">
        <f>O151*H151</f>
        <v>0</v>
      </c>
      <c r="Q151" s="453">
        <v>1</v>
      </c>
      <c r="R151" s="453">
        <f>Q151*H151</f>
        <v>1.7</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1571</v>
      </c>
    </row>
    <row r="152" spans="2:65" s="365" customFormat="1" ht="21.75" customHeight="1" x14ac:dyDescent="0.25">
      <c r="B152" s="364"/>
      <c r="C152" s="457" t="s">
        <v>234</v>
      </c>
      <c r="D152" s="457" t="s">
        <v>259</v>
      </c>
      <c r="E152" s="458" t="s">
        <v>1572</v>
      </c>
      <c r="F152" s="459" t="s">
        <v>1573</v>
      </c>
      <c r="G152" s="460" t="s">
        <v>123</v>
      </c>
      <c r="H152" s="461">
        <v>18</v>
      </c>
      <c r="I152" s="330">
        <v>0</v>
      </c>
      <c r="J152" s="462">
        <f>ROUND(I152*H152,2)</f>
        <v>0</v>
      </c>
      <c r="K152" s="463"/>
      <c r="L152" s="464"/>
      <c r="M152" s="465" t="s">
        <v>171</v>
      </c>
      <c r="N152" s="466" t="s">
        <v>185</v>
      </c>
      <c r="O152" s="453">
        <v>0</v>
      </c>
      <c r="P152" s="453">
        <f>O152*H152</f>
        <v>0</v>
      </c>
      <c r="Q152" s="453">
        <v>1.2E-2</v>
      </c>
      <c r="R152" s="453">
        <f>Q152*H152</f>
        <v>0.216</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1574</v>
      </c>
    </row>
    <row r="153" spans="2:65" s="434" customFormat="1" ht="22.9" customHeight="1" x14ac:dyDescent="0.2">
      <c r="B153" s="433"/>
      <c r="D153" s="435" t="s">
        <v>216</v>
      </c>
      <c r="E153" s="443" t="s">
        <v>115</v>
      </c>
      <c r="F153" s="443" t="s">
        <v>1023</v>
      </c>
      <c r="I153" s="467"/>
      <c r="J153" s="444">
        <f>BK153</f>
        <v>0</v>
      </c>
      <c r="L153" s="433"/>
      <c r="M153" s="438"/>
      <c r="P153" s="439">
        <f>P154</f>
        <v>1.76</v>
      </c>
      <c r="R153" s="439">
        <f>R154</f>
        <v>0</v>
      </c>
      <c r="T153" s="440">
        <f>T154</f>
        <v>0</v>
      </c>
      <c r="AR153" s="435" t="s">
        <v>109</v>
      </c>
      <c r="AT153" s="441" t="s">
        <v>216</v>
      </c>
      <c r="AU153" s="441" t="s">
        <v>109</v>
      </c>
      <c r="AY153" s="435" t="s">
        <v>217</v>
      </c>
      <c r="BK153" s="442">
        <f>BK154</f>
        <v>0</v>
      </c>
    </row>
    <row r="154" spans="2:65" s="365" customFormat="1" ht="16.5" customHeight="1" x14ac:dyDescent="0.25">
      <c r="B154" s="364"/>
      <c r="C154" s="445" t="s">
        <v>235</v>
      </c>
      <c r="D154" s="445" t="s">
        <v>218</v>
      </c>
      <c r="E154" s="446" t="s">
        <v>1575</v>
      </c>
      <c r="F154" s="447" t="s">
        <v>1576</v>
      </c>
      <c r="G154" s="448" t="s">
        <v>113</v>
      </c>
      <c r="H154" s="449">
        <v>8</v>
      </c>
      <c r="I154" s="329">
        <v>0</v>
      </c>
      <c r="J154" s="450">
        <f>ROUND(I154*H154,2)</f>
        <v>0</v>
      </c>
      <c r="K154" s="451"/>
      <c r="L154" s="364"/>
      <c r="M154" s="452" t="s">
        <v>171</v>
      </c>
      <c r="N154" s="415" t="s">
        <v>185</v>
      </c>
      <c r="O154" s="453">
        <v>0.22</v>
      </c>
      <c r="P154" s="453">
        <f>O154*H154</f>
        <v>1.76</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1577</v>
      </c>
    </row>
    <row r="155" spans="2:65" s="434" customFormat="1" ht="22.9" customHeight="1" x14ac:dyDescent="0.2">
      <c r="B155" s="433"/>
      <c r="D155" s="435" t="s">
        <v>216</v>
      </c>
      <c r="E155" s="443" t="s">
        <v>162</v>
      </c>
      <c r="F155" s="443" t="s">
        <v>633</v>
      </c>
      <c r="I155" s="467"/>
      <c r="J155" s="444">
        <f>BK155</f>
        <v>0</v>
      </c>
      <c r="L155" s="433"/>
      <c r="M155" s="438"/>
      <c r="P155" s="439">
        <f>SUM(P156:P159)</f>
        <v>32.315039999999996</v>
      </c>
      <c r="R155" s="439">
        <f>SUM(R156:R159)</f>
        <v>1.9616099999999997E-2</v>
      </c>
      <c r="T155" s="440">
        <f>SUM(T156:T159)</f>
        <v>14.28</v>
      </c>
      <c r="AR155" s="435" t="s">
        <v>109</v>
      </c>
      <c r="AT155" s="441" t="s">
        <v>216</v>
      </c>
      <c r="AU155" s="441" t="s">
        <v>109</v>
      </c>
      <c r="AY155" s="435" t="s">
        <v>217</v>
      </c>
      <c r="BK155" s="442">
        <f>SUM(BK156:BK159)</f>
        <v>0</v>
      </c>
    </row>
    <row r="156" spans="2:65" s="365" customFormat="1" ht="62.65" customHeight="1" x14ac:dyDescent="0.25">
      <c r="B156" s="364"/>
      <c r="C156" s="445" t="s">
        <v>244</v>
      </c>
      <c r="D156" s="445" t="s">
        <v>218</v>
      </c>
      <c r="E156" s="446" t="s">
        <v>635</v>
      </c>
      <c r="F156" s="447" t="s">
        <v>3120</v>
      </c>
      <c r="G156" s="448" t="s">
        <v>112</v>
      </c>
      <c r="H156" s="449">
        <f>Ponuka!L125</f>
        <v>10.5</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3121</v>
      </c>
    </row>
    <row r="157" spans="2:65" s="365" customFormat="1" ht="62.65" customHeight="1" x14ac:dyDescent="0.25">
      <c r="B157" s="364"/>
      <c r="C157" s="445" t="s">
        <v>237</v>
      </c>
      <c r="D157" s="445" t="s">
        <v>218</v>
      </c>
      <c r="E157" s="446" t="s">
        <v>638</v>
      </c>
      <c r="F157" s="447" t="s">
        <v>3122</v>
      </c>
      <c r="G157" s="448" t="s">
        <v>112</v>
      </c>
      <c r="H157" s="449">
        <f>Ponuka!R125</f>
        <v>6.3</v>
      </c>
      <c r="I157" s="329">
        <v>0</v>
      </c>
      <c r="J157" s="450">
        <f>ROUND(I157*H157,2)</f>
        <v>0</v>
      </c>
      <c r="K157" s="451"/>
      <c r="L157" s="364"/>
      <c r="M157" s="452" t="s">
        <v>171</v>
      </c>
      <c r="N157" s="415" t="s">
        <v>185</v>
      </c>
      <c r="O157" s="453">
        <v>0</v>
      </c>
      <c r="P157" s="453">
        <f>O157*H157</f>
        <v>0</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1592</v>
      </c>
    </row>
    <row r="158" spans="2:65" s="365" customFormat="1" ht="24.2" customHeight="1" x14ac:dyDescent="0.25">
      <c r="B158" s="364"/>
      <c r="C158" s="445" t="s">
        <v>238</v>
      </c>
      <c r="D158" s="445" t="s">
        <v>218</v>
      </c>
      <c r="E158" s="446" t="s">
        <v>641</v>
      </c>
      <c r="F158" s="447" t="s">
        <v>642</v>
      </c>
      <c r="G158" s="448" t="s">
        <v>112</v>
      </c>
      <c r="H158" s="449">
        <f>H163</f>
        <v>4.5</v>
      </c>
      <c r="I158" s="329">
        <v>0</v>
      </c>
      <c r="J158" s="450">
        <f>ROUND(I158*H158,2)</f>
        <v>0</v>
      </c>
      <c r="K158" s="451"/>
      <c r="L158" s="364"/>
      <c r="M158" s="452" t="s">
        <v>171</v>
      </c>
      <c r="N158" s="415" t="s">
        <v>185</v>
      </c>
      <c r="O158" s="453">
        <v>6.0000000000000001E-3</v>
      </c>
      <c r="P158" s="453">
        <f>O158*H158</f>
        <v>2.7E-2</v>
      </c>
      <c r="Q158" s="453">
        <v>0</v>
      </c>
      <c r="R158" s="453">
        <f>Q158*H158</f>
        <v>0</v>
      </c>
      <c r="S158" s="453">
        <v>0</v>
      </c>
      <c r="T158" s="454">
        <f>S158*H158</f>
        <v>0</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1593</v>
      </c>
    </row>
    <row r="159" spans="2:65" s="365" customFormat="1" ht="24.2" customHeight="1" x14ac:dyDescent="0.25">
      <c r="B159" s="364"/>
      <c r="C159" s="445" t="s">
        <v>239</v>
      </c>
      <c r="D159" s="445" t="s">
        <v>218</v>
      </c>
      <c r="E159" s="446" t="s">
        <v>1442</v>
      </c>
      <c r="F159" s="447" t="s">
        <v>1443</v>
      </c>
      <c r="G159" s="448" t="s">
        <v>114</v>
      </c>
      <c r="H159" s="449">
        <v>6</v>
      </c>
      <c r="I159" s="329">
        <v>0</v>
      </c>
      <c r="J159" s="450">
        <f>ROUND(I159*H159,2)</f>
        <v>0</v>
      </c>
      <c r="K159" s="451"/>
      <c r="L159" s="364"/>
      <c r="M159" s="452" t="s">
        <v>171</v>
      </c>
      <c r="N159" s="415" t="s">
        <v>185</v>
      </c>
      <c r="O159" s="453">
        <v>5.3813399999999998</v>
      </c>
      <c r="P159" s="453">
        <f>O159*H159</f>
        <v>32.288039999999995</v>
      </c>
      <c r="Q159" s="453">
        <v>3.2693499999999999E-3</v>
      </c>
      <c r="R159" s="453">
        <f>Q159*H159</f>
        <v>1.9616099999999997E-2</v>
      </c>
      <c r="S159" s="453">
        <v>2.38</v>
      </c>
      <c r="T159" s="454">
        <f>S159*H159</f>
        <v>14.28</v>
      </c>
      <c r="AR159" s="455" t="s">
        <v>110</v>
      </c>
      <c r="AT159" s="455" t="s">
        <v>218</v>
      </c>
      <c r="AU159" s="455" t="s">
        <v>108</v>
      </c>
      <c r="AY159" s="357" t="s">
        <v>217</v>
      </c>
      <c r="BE159" s="456">
        <f>IF(N159="základná",J159,0)</f>
        <v>0</v>
      </c>
      <c r="BF159" s="456">
        <f>IF(N159="znížená",J159,0)</f>
        <v>0</v>
      </c>
      <c r="BG159" s="456">
        <f>IF(N159="zákl. prenesená",J159,0)</f>
        <v>0</v>
      </c>
      <c r="BH159" s="456">
        <f>IF(N159="zníž. prenesená",J159,0)</f>
        <v>0</v>
      </c>
      <c r="BI159" s="456">
        <f>IF(N159="nulová",J159,0)</f>
        <v>0</v>
      </c>
      <c r="BJ159" s="357" t="s">
        <v>108</v>
      </c>
      <c r="BK159" s="456">
        <f>ROUND(I159*H159,2)</f>
        <v>0</v>
      </c>
      <c r="BL159" s="357" t="s">
        <v>110</v>
      </c>
      <c r="BM159" s="455" t="s">
        <v>1444</v>
      </c>
    </row>
    <row r="160" spans="2:65" s="434" customFormat="1" ht="22.9" customHeight="1" x14ac:dyDescent="0.2">
      <c r="B160" s="433"/>
      <c r="D160" s="435" t="s">
        <v>216</v>
      </c>
      <c r="E160" s="443" t="s">
        <v>649</v>
      </c>
      <c r="F160" s="443" t="s">
        <v>650</v>
      </c>
      <c r="I160" s="467"/>
      <c r="J160" s="444">
        <f>BK160</f>
        <v>0</v>
      </c>
      <c r="L160" s="433"/>
      <c r="M160" s="438"/>
      <c r="P160" s="439">
        <f>SUM(P161:P163)</f>
        <v>3.3839999999999999</v>
      </c>
      <c r="R160" s="439">
        <f>SUM(R161:R163)</f>
        <v>0</v>
      </c>
      <c r="T160" s="440">
        <f>SUM(T161:T163)</f>
        <v>0</v>
      </c>
      <c r="AR160" s="435" t="s">
        <v>109</v>
      </c>
      <c r="AT160" s="441" t="s">
        <v>216</v>
      </c>
      <c r="AU160" s="441" t="s">
        <v>109</v>
      </c>
      <c r="AY160" s="435" t="s">
        <v>217</v>
      </c>
      <c r="BK160" s="442">
        <f>SUM(BK161:BK163)</f>
        <v>0</v>
      </c>
    </row>
    <row r="161" spans="2:65" s="365" customFormat="1" ht="24.2" customHeight="1" x14ac:dyDescent="0.25">
      <c r="B161" s="364"/>
      <c r="C161" s="445" t="s">
        <v>240</v>
      </c>
      <c r="D161" s="445" t="s">
        <v>218</v>
      </c>
      <c r="E161" s="446" t="s">
        <v>652</v>
      </c>
      <c r="F161" s="447" t="s">
        <v>1581</v>
      </c>
      <c r="G161" s="448" t="s">
        <v>112</v>
      </c>
      <c r="H161" s="449">
        <f>H163</f>
        <v>4.5</v>
      </c>
      <c r="I161" s="329">
        <v>0</v>
      </c>
      <c r="J161" s="450">
        <f>ROUND(I161*H161,2)</f>
        <v>0</v>
      </c>
      <c r="K161" s="451"/>
      <c r="L161" s="364"/>
      <c r="M161" s="452" t="s">
        <v>171</v>
      </c>
      <c r="N161" s="415" t="s">
        <v>185</v>
      </c>
      <c r="O161" s="453">
        <v>0.59799999999999998</v>
      </c>
      <c r="P161" s="453">
        <f>O161*H161</f>
        <v>2.6909999999999998</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1594</v>
      </c>
    </row>
    <row r="162" spans="2:65" s="365" customFormat="1" ht="24.2" customHeight="1" x14ac:dyDescent="0.25">
      <c r="B162" s="364"/>
      <c r="C162" s="445" t="s">
        <v>241</v>
      </c>
      <c r="D162" s="445" t="s">
        <v>218</v>
      </c>
      <c r="E162" s="446" t="s">
        <v>1583</v>
      </c>
      <c r="F162" s="447" t="s">
        <v>1584</v>
      </c>
      <c r="G162" s="448" t="s">
        <v>112</v>
      </c>
      <c r="H162" s="449">
        <f>H161*22</f>
        <v>99</v>
      </c>
      <c r="I162" s="329">
        <v>0</v>
      </c>
      <c r="J162" s="450">
        <f>ROUND(I162*H162,2)</f>
        <v>0</v>
      </c>
      <c r="K162" s="451"/>
      <c r="L162" s="364"/>
      <c r="M162" s="452" t="s">
        <v>171</v>
      </c>
      <c r="N162" s="415" t="s">
        <v>185</v>
      </c>
      <c r="O162" s="453">
        <v>7.0000000000000001E-3</v>
      </c>
      <c r="P162" s="453">
        <f>O162*H162</f>
        <v>0.69300000000000006</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1595</v>
      </c>
    </row>
    <row r="163" spans="2:65" s="365" customFormat="1" ht="24.2" customHeight="1" x14ac:dyDescent="0.25">
      <c r="B163" s="364"/>
      <c r="C163" s="445" t="s">
        <v>242</v>
      </c>
      <c r="D163" s="445" t="s">
        <v>218</v>
      </c>
      <c r="E163" s="446" t="s">
        <v>1586</v>
      </c>
      <c r="F163" s="447" t="s">
        <v>1587</v>
      </c>
      <c r="G163" s="448" t="s">
        <v>112</v>
      </c>
      <c r="H163" s="449">
        <f>Ponuka!M125</f>
        <v>4.5</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1596</v>
      </c>
    </row>
    <row r="164" spans="2:65" s="434" customFormat="1" ht="25.9" customHeight="1" x14ac:dyDescent="0.2">
      <c r="B164" s="433"/>
      <c r="D164" s="435" t="s">
        <v>216</v>
      </c>
      <c r="E164" s="436" t="s">
        <v>662</v>
      </c>
      <c r="F164" s="436" t="s">
        <v>663</v>
      </c>
      <c r="I164" s="467"/>
      <c r="J164" s="437">
        <f>BK164</f>
        <v>0</v>
      </c>
      <c r="L164" s="433"/>
      <c r="M164" s="438"/>
      <c r="P164" s="439">
        <f>P165</f>
        <v>0.45659999999999995</v>
      </c>
      <c r="R164" s="439">
        <f>R165</f>
        <v>0</v>
      </c>
      <c r="T164" s="440">
        <f>T165</f>
        <v>0</v>
      </c>
      <c r="AR164" s="435" t="s">
        <v>108</v>
      </c>
      <c r="AT164" s="441" t="s">
        <v>216</v>
      </c>
      <c r="AU164" s="441" t="s">
        <v>165</v>
      </c>
      <c r="AY164" s="435" t="s">
        <v>217</v>
      </c>
      <c r="BK164" s="442">
        <f>BK165</f>
        <v>0</v>
      </c>
    </row>
    <row r="165" spans="2:65" s="365" customFormat="1" ht="24.2" customHeight="1" x14ac:dyDescent="0.25">
      <c r="B165" s="364"/>
      <c r="C165" s="445" t="s">
        <v>243</v>
      </c>
      <c r="D165" s="445" t="s">
        <v>218</v>
      </c>
      <c r="E165" s="446" t="s">
        <v>665</v>
      </c>
      <c r="F165" s="447" t="s">
        <v>936</v>
      </c>
      <c r="G165" s="448" t="s">
        <v>112</v>
      </c>
      <c r="H165" s="449">
        <v>11.414999999999999</v>
      </c>
      <c r="I165" s="329">
        <v>0</v>
      </c>
      <c r="J165" s="450">
        <f>ROUND(I165*H165,2)</f>
        <v>0</v>
      </c>
      <c r="K165" s="451"/>
      <c r="L165" s="364"/>
      <c r="M165" s="468" t="s">
        <v>171</v>
      </c>
      <c r="N165" s="469" t="s">
        <v>185</v>
      </c>
      <c r="O165" s="470">
        <v>0.04</v>
      </c>
      <c r="P165" s="470">
        <f>O165*H165</f>
        <v>0.45659999999999995</v>
      </c>
      <c r="Q165" s="470">
        <v>0</v>
      </c>
      <c r="R165" s="470">
        <f>Q165*H165</f>
        <v>0</v>
      </c>
      <c r="S165" s="470">
        <v>0</v>
      </c>
      <c r="T165" s="471">
        <f>S165*H165</f>
        <v>0</v>
      </c>
      <c r="AR165" s="455" t="s">
        <v>228</v>
      </c>
      <c r="AT165" s="455" t="s">
        <v>218</v>
      </c>
      <c r="AU165" s="455" t="s">
        <v>109</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228</v>
      </c>
      <c r="BM165" s="455" t="s">
        <v>667</v>
      </c>
    </row>
    <row r="166" spans="2:65" s="365" customFormat="1" ht="6.95" customHeight="1" x14ac:dyDescent="0.25">
      <c r="B166" s="397"/>
      <c r="C166" s="398"/>
      <c r="D166" s="398"/>
      <c r="E166" s="398"/>
      <c r="F166" s="398"/>
      <c r="G166" s="398"/>
      <c r="H166" s="398"/>
      <c r="I166" s="398"/>
      <c r="J166" s="398"/>
      <c r="K166" s="398"/>
      <c r="L166" s="364"/>
    </row>
  </sheetData>
  <sheetProtection algorithmName="SHA-512" hashValue="/iYafKgno0vEXkkf7ORgHeKVrmw/3zlqBjWuoK+opT5MtmeO7rZdbKyg6yq7kA+f6dLRvX5tndcApXKK7JFFNg==" saltValue="QmJmtyC9t8nMl9BqmU+kKw==" spinCount="100000" sheet="1" objects="1" scenarios="1"/>
  <autoFilter ref="C127:K165" xr:uid="{00000000-0009-0000-0000-00000E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5FEA1-D65A-401C-B0D8-23450CBDA09C}">
  <sheetPr codeName="Hárok22">
    <pageSetUpPr fitToPage="1"/>
  </sheetPr>
  <dimension ref="B2:BM165"/>
  <sheetViews>
    <sheetView topLeftCell="A156" workbookViewId="0">
      <selection activeCell="V160" sqref="V160"/>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377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1597</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SUM(BE128:BE164)),  2)</f>
        <v>0</v>
      </c>
      <c r="G35" s="380"/>
      <c r="H35" s="380"/>
      <c r="I35" s="381">
        <v>0.23</v>
      </c>
      <c r="J35" s="379">
        <f>ROUND(((SUM(BE107:BE108) + SUM(BE128:BE164))*I35),  2)</f>
        <v>0</v>
      </c>
      <c r="L35" s="364"/>
    </row>
    <row r="36" spans="2:12" s="365" customFormat="1" ht="14.45" customHeight="1" x14ac:dyDescent="0.25">
      <c r="B36" s="364"/>
      <c r="E36" s="378" t="s">
        <v>185</v>
      </c>
      <c r="F36" s="382">
        <f>ROUND((SUM(BF107:BF108) + SUM(BF128:BF164)),  2)</f>
        <v>0</v>
      </c>
      <c r="I36" s="383">
        <v>0.23</v>
      </c>
      <c r="J36" s="382">
        <f>ROUND(((SUM(BF107:BF108) + SUM(BF128:BF164))*I36),  2)</f>
        <v>0</v>
      </c>
      <c r="L36" s="364"/>
    </row>
    <row r="37" spans="2:12" s="365" customFormat="1" ht="14.45" hidden="1" customHeight="1" x14ac:dyDescent="0.25">
      <c r="B37" s="364"/>
      <c r="E37" s="363" t="s">
        <v>186</v>
      </c>
      <c r="F37" s="382">
        <f>ROUND((SUM(BG107:BG108) + SUM(BG128:BG164)),  2)</f>
        <v>0</v>
      </c>
      <c r="I37" s="383">
        <v>0.23</v>
      </c>
      <c r="J37" s="382">
        <f>0</f>
        <v>0</v>
      </c>
      <c r="L37" s="364"/>
    </row>
    <row r="38" spans="2:12" s="365" customFormat="1" ht="14.45" hidden="1" customHeight="1" x14ac:dyDescent="0.25">
      <c r="B38" s="364"/>
      <c r="E38" s="363" t="s">
        <v>187</v>
      </c>
      <c r="F38" s="382">
        <f>ROUND((SUM(BH107:BH108) + SUM(BH128:BH164)),  2)</f>
        <v>0</v>
      </c>
      <c r="I38" s="383">
        <v>0.23</v>
      </c>
      <c r="J38" s="382">
        <f>0</f>
        <v>0</v>
      </c>
      <c r="L38" s="364"/>
    </row>
    <row r="39" spans="2:12" s="365" customFormat="1" ht="14.45" hidden="1" customHeight="1" x14ac:dyDescent="0.25">
      <c r="B39" s="364"/>
      <c r="E39" s="378" t="s">
        <v>188</v>
      </c>
      <c r="F39" s="379">
        <f>ROUND((SUM(BI107:BI108) + SUM(BI128:BI164)),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106.2 - SO 106.2 Vjazdova brana v km 0,512 53 - úsek B</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953</v>
      </c>
      <c r="E101" s="412"/>
      <c r="F101" s="412"/>
      <c r="G101" s="412"/>
      <c r="H101" s="412"/>
      <c r="I101" s="412"/>
      <c r="J101" s="413">
        <f>J152</f>
        <v>0</v>
      </c>
      <c r="L101" s="409"/>
    </row>
    <row r="102" spans="2:14" s="410" customFormat="1" ht="19.899999999999999" customHeight="1" x14ac:dyDescent="0.25">
      <c r="B102" s="409"/>
      <c r="D102" s="411" t="s">
        <v>414</v>
      </c>
      <c r="E102" s="412"/>
      <c r="F102" s="412"/>
      <c r="G102" s="412"/>
      <c r="H102" s="412"/>
      <c r="I102" s="412"/>
      <c r="J102" s="413">
        <f>J154</f>
        <v>0</v>
      </c>
      <c r="L102" s="409"/>
    </row>
    <row r="103" spans="2:14" s="410" customFormat="1" ht="19.899999999999999" customHeight="1" x14ac:dyDescent="0.25">
      <c r="B103" s="409"/>
      <c r="D103" s="411" t="s">
        <v>415</v>
      </c>
      <c r="E103" s="412"/>
      <c r="F103" s="412"/>
      <c r="G103" s="412"/>
      <c r="H103" s="412"/>
      <c r="I103" s="412"/>
      <c r="J103" s="413">
        <f>J159</f>
        <v>0</v>
      </c>
      <c r="L103" s="409"/>
    </row>
    <row r="104" spans="2:14" s="405" customFormat="1" ht="24.95" customHeight="1" x14ac:dyDescent="0.25">
      <c r="B104" s="404"/>
      <c r="D104" s="406" t="s">
        <v>416</v>
      </c>
      <c r="E104" s="407"/>
      <c r="F104" s="407"/>
      <c r="G104" s="407"/>
      <c r="H104" s="407"/>
      <c r="I104" s="407"/>
      <c r="J104" s="408">
        <f>J163</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30" customHeight="1" x14ac:dyDescent="0.25">
      <c r="B120" s="364"/>
      <c r="E120" s="857" t="str">
        <f>E9</f>
        <v>106.2 - SO 106.2 Vjazdova brana v km 0,512 53 - úsek B</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P129+P163</f>
        <v>204.38164749999999</v>
      </c>
      <c r="Q128" s="371"/>
      <c r="R128" s="430">
        <f>R129+R163</f>
        <v>4.553294438</v>
      </c>
      <c r="S128" s="371"/>
      <c r="T128" s="431">
        <f>T129+T163</f>
        <v>9.52</v>
      </c>
      <c r="AT128" s="357" t="s">
        <v>216</v>
      </c>
      <c r="AU128" s="357" t="s">
        <v>202</v>
      </c>
      <c r="BK128" s="432">
        <f>BK129+BK163</f>
        <v>0</v>
      </c>
    </row>
    <row r="129" spans="2:65" s="434" customFormat="1" ht="25.9" customHeight="1" x14ac:dyDescent="0.2">
      <c r="B129" s="433"/>
      <c r="D129" s="435" t="s">
        <v>216</v>
      </c>
      <c r="E129" s="436" t="s">
        <v>418</v>
      </c>
      <c r="F129" s="436" t="s">
        <v>419</v>
      </c>
      <c r="J129" s="437">
        <f>BK129</f>
        <v>0</v>
      </c>
      <c r="L129" s="433"/>
      <c r="M129" s="438"/>
      <c r="P129" s="439">
        <f>P130+P141+P147+P152+P154+P159</f>
        <v>204.19952749999999</v>
      </c>
      <c r="R129" s="439">
        <f>R130+R141+R147+R152+R154+R159</f>
        <v>4.553294438</v>
      </c>
      <c r="T129" s="440">
        <f>T130+T141+T147+T152+T154+T159</f>
        <v>9.52</v>
      </c>
      <c r="AR129" s="435" t="s">
        <v>109</v>
      </c>
      <c r="AT129" s="441" t="s">
        <v>216</v>
      </c>
      <c r="AU129" s="441" t="s">
        <v>165</v>
      </c>
      <c r="AY129" s="435" t="s">
        <v>217</v>
      </c>
      <c r="BK129" s="442">
        <f>BK130+BK141+BK147+BK152+BK154+BK159</f>
        <v>0</v>
      </c>
    </row>
    <row r="130" spans="2:65" s="434" customFormat="1" ht="22.9" customHeight="1" x14ac:dyDescent="0.2">
      <c r="B130" s="433"/>
      <c r="D130" s="435" t="s">
        <v>216</v>
      </c>
      <c r="E130" s="443" t="s">
        <v>109</v>
      </c>
      <c r="F130" s="443" t="s">
        <v>220</v>
      </c>
      <c r="J130" s="444">
        <f>BK130</f>
        <v>0</v>
      </c>
      <c r="L130" s="433"/>
      <c r="M130" s="438"/>
      <c r="P130" s="439">
        <f>SUM(P131:P140)</f>
        <v>2.97729</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1388</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1391</v>
      </c>
      <c r="G132" s="448" t="s">
        <v>114</v>
      </c>
      <c r="H132" s="449">
        <v>2</v>
      </c>
      <c r="I132" s="329">
        <v>0</v>
      </c>
      <c r="J132" s="450">
        <f t="shared" si="0"/>
        <v>0</v>
      </c>
      <c r="K132" s="451"/>
      <c r="L132" s="364"/>
      <c r="M132" s="452" t="s">
        <v>171</v>
      </c>
      <c r="N132" s="415" t="s">
        <v>185</v>
      </c>
      <c r="O132" s="453">
        <v>0.15</v>
      </c>
      <c r="P132" s="453">
        <f t="shared" si="1"/>
        <v>0.3</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2</v>
      </c>
      <c r="I133" s="329">
        <v>0</v>
      </c>
      <c r="J133" s="450">
        <f t="shared" si="0"/>
        <v>0</v>
      </c>
      <c r="K133" s="451"/>
      <c r="L133" s="364"/>
      <c r="M133" s="452" t="s">
        <v>171</v>
      </c>
      <c r="N133" s="415" t="s">
        <v>185</v>
      </c>
      <c r="O133" s="453">
        <v>7.6999999999999999E-2</v>
      </c>
      <c r="P133" s="453">
        <f t="shared" si="1"/>
        <v>0.154</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1392</v>
      </c>
      <c r="G134" s="448" t="s">
        <v>114</v>
      </c>
      <c r="H134" s="449">
        <v>1</v>
      </c>
      <c r="I134" s="329">
        <v>0</v>
      </c>
      <c r="J134" s="450">
        <f t="shared" si="0"/>
        <v>0</v>
      </c>
      <c r="K134" s="451"/>
      <c r="L134" s="364"/>
      <c r="M134" s="452" t="s">
        <v>171</v>
      </c>
      <c r="N134" s="415" t="s">
        <v>185</v>
      </c>
      <c r="O134" s="453">
        <v>0.22900000000000001</v>
      </c>
      <c r="P134" s="453">
        <f t="shared" si="1"/>
        <v>0.22900000000000001</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2</v>
      </c>
      <c r="I135" s="329">
        <v>0</v>
      </c>
      <c r="J135" s="450">
        <f t="shared" si="0"/>
        <v>0</v>
      </c>
      <c r="K135" s="451"/>
      <c r="L135" s="364"/>
      <c r="M135" s="452" t="s">
        <v>171</v>
      </c>
      <c r="N135" s="415" t="s">
        <v>185</v>
      </c>
      <c r="O135" s="453">
        <v>1.7000000000000001E-2</v>
      </c>
      <c r="P135" s="453">
        <f t="shared" si="1"/>
        <v>3.4000000000000002E-2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21.75" customHeight="1" x14ac:dyDescent="0.25">
      <c r="B136" s="364"/>
      <c r="C136" s="445" t="s">
        <v>117</v>
      </c>
      <c r="D136" s="445" t="s">
        <v>218</v>
      </c>
      <c r="E136" s="446" t="s">
        <v>435</v>
      </c>
      <c r="F136" s="447" t="s">
        <v>1598</v>
      </c>
      <c r="G136" s="448" t="s">
        <v>114</v>
      </c>
      <c r="H136" s="449">
        <v>0.6</v>
      </c>
      <c r="I136" s="329">
        <v>0</v>
      </c>
      <c r="J136" s="450">
        <f t="shared" si="0"/>
        <v>0</v>
      </c>
      <c r="K136" s="451"/>
      <c r="L136" s="364"/>
      <c r="M136" s="452" t="s">
        <v>171</v>
      </c>
      <c r="N136" s="415" t="s">
        <v>185</v>
      </c>
      <c r="O136" s="453">
        <v>8.6999999999999994E-2</v>
      </c>
      <c r="P136" s="453">
        <f t="shared" si="1"/>
        <v>5.2199999999999996E-2</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1599</v>
      </c>
      <c r="G137" s="448" t="s">
        <v>112</v>
      </c>
      <c r="H137" s="449">
        <f>Ponuka!S126</f>
        <v>1.08</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1394</v>
      </c>
    </row>
    <row r="138" spans="2:65" s="365" customFormat="1" ht="37.9" customHeight="1" x14ac:dyDescent="0.25">
      <c r="B138" s="364"/>
      <c r="C138" s="445" t="s">
        <v>115</v>
      </c>
      <c r="D138" s="445" t="s">
        <v>218</v>
      </c>
      <c r="E138" s="446" t="s">
        <v>1395</v>
      </c>
      <c r="F138" s="447" t="s">
        <v>1600</v>
      </c>
      <c r="G138" s="448" t="s">
        <v>114</v>
      </c>
      <c r="H138" s="449">
        <v>0.6</v>
      </c>
      <c r="I138" s="329">
        <v>0</v>
      </c>
      <c r="J138" s="450">
        <f t="shared" si="0"/>
        <v>0</v>
      </c>
      <c r="K138" s="451"/>
      <c r="L138" s="364"/>
      <c r="M138" s="452" t="s">
        <v>171</v>
      </c>
      <c r="N138" s="415" t="s">
        <v>185</v>
      </c>
      <c r="O138" s="453">
        <v>5.4399999999999997E-2</v>
      </c>
      <c r="P138" s="453">
        <f t="shared" si="1"/>
        <v>3.2639999999999995E-2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1397</v>
      </c>
    </row>
    <row r="139" spans="2:65" s="365" customFormat="1" ht="49.15" customHeight="1" x14ac:dyDescent="0.25">
      <c r="B139" s="364"/>
      <c r="C139" s="445" t="s">
        <v>162</v>
      </c>
      <c r="D139" s="445" t="s">
        <v>218</v>
      </c>
      <c r="E139" s="446" t="s">
        <v>1398</v>
      </c>
      <c r="F139" s="447" t="s">
        <v>1601</v>
      </c>
      <c r="G139" s="448" t="s">
        <v>114</v>
      </c>
      <c r="H139" s="449">
        <v>13.2</v>
      </c>
      <c r="I139" s="329">
        <v>0</v>
      </c>
      <c r="J139" s="450">
        <f t="shared" si="0"/>
        <v>0</v>
      </c>
      <c r="K139" s="451"/>
      <c r="L139" s="364"/>
      <c r="M139" s="452" t="s">
        <v>171</v>
      </c>
      <c r="N139" s="415" t="s">
        <v>185</v>
      </c>
      <c r="O139" s="453">
        <v>6.0000000000000001E-3</v>
      </c>
      <c r="P139" s="453">
        <f t="shared" si="1"/>
        <v>7.9199999999999993E-2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1400</v>
      </c>
    </row>
    <row r="140" spans="2:65" s="365" customFormat="1" ht="24.2" customHeight="1" x14ac:dyDescent="0.25">
      <c r="B140" s="364"/>
      <c r="C140" s="445" t="s">
        <v>221</v>
      </c>
      <c r="D140" s="445" t="s">
        <v>218</v>
      </c>
      <c r="E140" s="446" t="s">
        <v>988</v>
      </c>
      <c r="F140" s="447" t="s">
        <v>989</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1559</v>
      </c>
    </row>
    <row r="141" spans="2:65" s="434" customFormat="1" ht="22.9" customHeight="1" x14ac:dyDescent="0.2">
      <c r="B141" s="433"/>
      <c r="D141" s="435" t="s">
        <v>216</v>
      </c>
      <c r="E141" s="443" t="s">
        <v>108</v>
      </c>
      <c r="F141" s="443" t="s">
        <v>469</v>
      </c>
      <c r="I141" s="467"/>
      <c r="J141" s="444">
        <f>BK141</f>
        <v>0</v>
      </c>
      <c r="L141" s="433"/>
      <c r="M141" s="438"/>
      <c r="P141" s="439">
        <f>SUM(P142:P146)</f>
        <v>10.9435175</v>
      </c>
      <c r="R141" s="439">
        <f>SUM(R142:R146)</f>
        <v>3.0945646379999996</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1404</v>
      </c>
      <c r="G142" s="448" t="s">
        <v>114</v>
      </c>
      <c r="H142" s="449">
        <v>0.25</v>
      </c>
      <c r="I142" s="329">
        <v>0</v>
      </c>
      <c r="J142" s="450">
        <f>ROUND(I142*H142,2)</f>
        <v>0</v>
      </c>
      <c r="K142" s="451"/>
      <c r="L142" s="364"/>
      <c r="M142" s="452" t="s">
        <v>171</v>
      </c>
      <c r="N142" s="415" t="s">
        <v>185</v>
      </c>
      <c r="O142" s="453">
        <v>0.61770999999999998</v>
      </c>
      <c r="P142" s="453">
        <f>O142*H142</f>
        <v>0.1544275</v>
      </c>
      <c r="Q142" s="453">
        <v>2.2354352</v>
      </c>
      <c r="R142" s="453">
        <f>Q142*H142</f>
        <v>0.55885879999999999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1405</v>
      </c>
    </row>
    <row r="143" spans="2:65" s="365" customFormat="1" ht="24.2" customHeight="1" x14ac:dyDescent="0.25">
      <c r="B143" s="364"/>
      <c r="C143" s="445" t="s">
        <v>223</v>
      </c>
      <c r="D143" s="445" t="s">
        <v>218</v>
      </c>
      <c r="E143" s="446" t="s">
        <v>507</v>
      </c>
      <c r="F143" s="447" t="s">
        <v>1406</v>
      </c>
      <c r="G143" s="448" t="s">
        <v>114</v>
      </c>
      <c r="H143" s="449">
        <v>1</v>
      </c>
      <c r="I143" s="329">
        <v>0</v>
      </c>
      <c r="J143" s="450">
        <f>ROUND(I143*H143,2)</f>
        <v>0</v>
      </c>
      <c r="K143" s="451"/>
      <c r="L143" s="364"/>
      <c r="M143" s="452" t="s">
        <v>171</v>
      </c>
      <c r="N143" s="415" t="s">
        <v>185</v>
      </c>
      <c r="O143" s="453">
        <v>0.58269000000000004</v>
      </c>
      <c r="P143" s="453">
        <f>O143*H143</f>
        <v>0.58269000000000004</v>
      </c>
      <c r="Q143" s="453">
        <v>2.3223457000000001</v>
      </c>
      <c r="R143" s="453">
        <f>Q143*H143</f>
        <v>2.3223457000000001</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1407</v>
      </c>
    </row>
    <row r="144" spans="2:65" s="365" customFormat="1" ht="16.5" customHeight="1" x14ac:dyDescent="0.25">
      <c r="B144" s="364"/>
      <c r="C144" s="445" t="s">
        <v>225</v>
      </c>
      <c r="D144" s="445" t="s">
        <v>218</v>
      </c>
      <c r="E144" s="446" t="s">
        <v>510</v>
      </c>
      <c r="F144" s="447" t="s">
        <v>1408</v>
      </c>
      <c r="G144" s="448" t="s">
        <v>111</v>
      </c>
      <c r="H144" s="449">
        <v>6</v>
      </c>
      <c r="I144" s="329">
        <v>0</v>
      </c>
      <c r="J144" s="450">
        <f>ROUND(I144*H144,2)</f>
        <v>0</v>
      </c>
      <c r="K144" s="451"/>
      <c r="L144" s="364"/>
      <c r="M144" s="452" t="s">
        <v>171</v>
      </c>
      <c r="N144" s="415" t="s">
        <v>185</v>
      </c>
      <c r="O144" s="453">
        <v>0.35799999999999998</v>
      </c>
      <c r="P144" s="453">
        <f>O144*H144</f>
        <v>2.1479999999999997</v>
      </c>
      <c r="Q144" s="453">
        <v>1.5947400000000001E-3</v>
      </c>
      <c r="R144" s="453">
        <f>Q144*H144</f>
        <v>9.568440000000001E-3</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1409</v>
      </c>
    </row>
    <row r="145" spans="2:65" s="365" customFormat="1" ht="16.5" customHeight="1" x14ac:dyDescent="0.25">
      <c r="B145" s="364"/>
      <c r="C145" s="445" t="s">
        <v>226</v>
      </c>
      <c r="D145" s="445" t="s">
        <v>218</v>
      </c>
      <c r="E145" s="446" t="s">
        <v>513</v>
      </c>
      <c r="F145" s="447" t="s">
        <v>1410</v>
      </c>
      <c r="G145" s="448" t="s">
        <v>111</v>
      </c>
      <c r="H145" s="449">
        <v>6</v>
      </c>
      <c r="I145" s="329">
        <v>0</v>
      </c>
      <c r="J145" s="450">
        <f>ROUND(I145*H145,2)</f>
        <v>0</v>
      </c>
      <c r="K145" s="451"/>
      <c r="L145" s="364"/>
      <c r="M145" s="452" t="s">
        <v>171</v>
      </c>
      <c r="N145" s="415" t="s">
        <v>185</v>
      </c>
      <c r="O145" s="453">
        <v>0.19900000000000001</v>
      </c>
      <c r="P145" s="453">
        <f>O145*H145</f>
        <v>1.194</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1411</v>
      </c>
    </row>
    <row r="146" spans="2:65" s="365" customFormat="1" ht="16.5" customHeight="1" x14ac:dyDescent="0.25">
      <c r="B146" s="364"/>
      <c r="C146" s="445" t="s">
        <v>227</v>
      </c>
      <c r="D146" s="445" t="s">
        <v>218</v>
      </c>
      <c r="E146" s="446" t="s">
        <v>1412</v>
      </c>
      <c r="F146" s="447" t="s">
        <v>1413</v>
      </c>
      <c r="G146" s="448" t="s">
        <v>112</v>
      </c>
      <c r="H146" s="449">
        <v>0.2</v>
      </c>
      <c r="I146" s="329">
        <v>0</v>
      </c>
      <c r="J146" s="450">
        <f>ROUND(I146*H146,2)</f>
        <v>0</v>
      </c>
      <c r="K146" s="451"/>
      <c r="L146" s="364"/>
      <c r="M146" s="452" t="s">
        <v>171</v>
      </c>
      <c r="N146" s="415" t="s">
        <v>185</v>
      </c>
      <c r="O146" s="453">
        <v>34.322000000000003</v>
      </c>
      <c r="P146" s="453">
        <f>O146*H146</f>
        <v>6.8644000000000007</v>
      </c>
      <c r="Q146" s="453">
        <v>1.0189584899999999</v>
      </c>
      <c r="R146" s="453">
        <f>Q146*H146</f>
        <v>0.20379169799999999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1414</v>
      </c>
    </row>
    <row r="147" spans="2:65" s="434" customFormat="1" ht="22.9" customHeight="1" x14ac:dyDescent="0.2">
      <c r="B147" s="433"/>
      <c r="D147" s="435" t="s">
        <v>216</v>
      </c>
      <c r="E147" s="443" t="s">
        <v>119</v>
      </c>
      <c r="F147" s="443" t="s">
        <v>541</v>
      </c>
      <c r="I147" s="467"/>
      <c r="J147" s="444">
        <f>BK147</f>
        <v>0</v>
      </c>
      <c r="L147" s="433"/>
      <c r="M147" s="438"/>
      <c r="P147" s="439">
        <f>SUM(P148:P151)</f>
        <v>165.03086000000002</v>
      </c>
      <c r="R147" s="439">
        <f>SUM(R148:R151)</f>
        <v>1.4456524000000002</v>
      </c>
      <c r="T147" s="440">
        <f>SUM(T148:T151)</f>
        <v>0</v>
      </c>
      <c r="AR147" s="435" t="s">
        <v>109</v>
      </c>
      <c r="AT147" s="441" t="s">
        <v>216</v>
      </c>
      <c r="AU147" s="441" t="s">
        <v>109</v>
      </c>
      <c r="AY147" s="435" t="s">
        <v>217</v>
      </c>
      <c r="BK147" s="442">
        <f>SUM(BK148:BK151)</f>
        <v>0</v>
      </c>
    </row>
    <row r="148" spans="2:65" s="365" customFormat="1" ht="24.2" customHeight="1" x14ac:dyDescent="0.25">
      <c r="B148" s="364"/>
      <c r="C148" s="445" t="s">
        <v>228</v>
      </c>
      <c r="D148" s="445" t="s">
        <v>218</v>
      </c>
      <c r="E148" s="446" t="s">
        <v>1602</v>
      </c>
      <c r="F148" s="447" t="s">
        <v>1603</v>
      </c>
      <c r="G148" s="448" t="s">
        <v>123</v>
      </c>
      <c r="H148" s="449">
        <v>2</v>
      </c>
      <c r="I148" s="329">
        <v>0</v>
      </c>
      <c r="J148" s="450">
        <f>ROUND(I148*H148,2)</f>
        <v>0</v>
      </c>
      <c r="K148" s="451"/>
      <c r="L148" s="364"/>
      <c r="M148" s="452" t="s">
        <v>171</v>
      </c>
      <c r="N148" s="415" t="s">
        <v>185</v>
      </c>
      <c r="O148" s="453">
        <v>10.36543</v>
      </c>
      <c r="P148" s="453">
        <f>O148*H148</f>
        <v>20.73086</v>
      </c>
      <c r="Q148" s="453">
        <v>8.2620000000000002E-4</v>
      </c>
      <c r="R148" s="453">
        <f>Q148*H148</f>
        <v>1.6524E-3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1604</v>
      </c>
    </row>
    <row r="149" spans="2:65" s="365" customFormat="1" ht="37.9" customHeight="1" x14ac:dyDescent="0.25">
      <c r="B149" s="364"/>
      <c r="C149" s="445" t="s">
        <v>229</v>
      </c>
      <c r="D149" s="445" t="s">
        <v>218</v>
      </c>
      <c r="E149" s="446" t="s">
        <v>1567</v>
      </c>
      <c r="F149" s="447" t="s">
        <v>1605</v>
      </c>
      <c r="G149" s="448" t="s">
        <v>536</v>
      </c>
      <c r="H149" s="449">
        <v>1300</v>
      </c>
      <c r="I149" s="329">
        <v>0</v>
      </c>
      <c r="J149" s="450">
        <f>ROUND(I149*H149,2)</f>
        <v>0</v>
      </c>
      <c r="K149" s="451"/>
      <c r="L149" s="364"/>
      <c r="M149" s="452" t="s">
        <v>171</v>
      </c>
      <c r="N149" s="415" t="s">
        <v>185</v>
      </c>
      <c r="O149" s="453">
        <v>0.111</v>
      </c>
      <c r="P149" s="453">
        <f>O149*H149</f>
        <v>144.30000000000001</v>
      </c>
      <c r="Q149" s="453">
        <v>0</v>
      </c>
      <c r="R149" s="453">
        <f>Q149*H149</f>
        <v>0</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1569</v>
      </c>
    </row>
    <row r="150" spans="2:65" s="365" customFormat="1" ht="24.2" customHeight="1" x14ac:dyDescent="0.25">
      <c r="B150" s="364"/>
      <c r="C150" s="457" t="s">
        <v>231</v>
      </c>
      <c r="D150" s="457" t="s">
        <v>259</v>
      </c>
      <c r="E150" s="458" t="s">
        <v>570</v>
      </c>
      <c r="F150" s="459" t="s">
        <v>1570</v>
      </c>
      <c r="G150" s="460" t="s">
        <v>112</v>
      </c>
      <c r="H150" s="461">
        <v>1.3</v>
      </c>
      <c r="I150" s="330">
        <v>0</v>
      </c>
      <c r="J150" s="462">
        <f>ROUND(I150*H150,2)</f>
        <v>0</v>
      </c>
      <c r="K150" s="463"/>
      <c r="L150" s="464"/>
      <c r="M150" s="465" t="s">
        <v>171</v>
      </c>
      <c r="N150" s="466" t="s">
        <v>185</v>
      </c>
      <c r="O150" s="453">
        <v>0</v>
      </c>
      <c r="P150" s="453">
        <f>O150*H150</f>
        <v>0</v>
      </c>
      <c r="Q150" s="453">
        <v>1</v>
      </c>
      <c r="R150" s="453">
        <f>Q150*H150</f>
        <v>1.3</v>
      </c>
      <c r="S150" s="453">
        <v>0</v>
      </c>
      <c r="T150" s="454">
        <f>S150*H150</f>
        <v>0</v>
      </c>
      <c r="AR150" s="455" t="s">
        <v>115</v>
      </c>
      <c r="AT150" s="455" t="s">
        <v>259</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1571</v>
      </c>
    </row>
    <row r="151" spans="2:65" s="365" customFormat="1" ht="16.5" customHeight="1" x14ac:dyDescent="0.25">
      <c r="B151" s="364"/>
      <c r="C151" s="457" t="s">
        <v>232</v>
      </c>
      <c r="D151" s="457" t="s">
        <v>259</v>
      </c>
      <c r="E151" s="458" t="s">
        <v>1572</v>
      </c>
      <c r="F151" s="459" t="s">
        <v>1606</v>
      </c>
      <c r="G151" s="460" t="s">
        <v>123</v>
      </c>
      <c r="H151" s="461">
        <v>12</v>
      </c>
      <c r="I151" s="330">
        <v>0</v>
      </c>
      <c r="J151" s="462">
        <f>ROUND(I151*H151,2)</f>
        <v>0</v>
      </c>
      <c r="K151" s="463"/>
      <c r="L151" s="464"/>
      <c r="M151" s="465" t="s">
        <v>171</v>
      </c>
      <c r="N151" s="466" t="s">
        <v>185</v>
      </c>
      <c r="O151" s="453">
        <v>0</v>
      </c>
      <c r="P151" s="453">
        <f>O151*H151</f>
        <v>0</v>
      </c>
      <c r="Q151" s="453">
        <v>1.2E-2</v>
      </c>
      <c r="R151" s="453">
        <f>Q151*H151</f>
        <v>0.14400000000000002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1574</v>
      </c>
    </row>
    <row r="152" spans="2:65" s="434" customFormat="1" ht="22.9" customHeight="1" x14ac:dyDescent="0.2">
      <c r="B152" s="433"/>
      <c r="D152" s="435" t="s">
        <v>216</v>
      </c>
      <c r="E152" s="443" t="s">
        <v>115</v>
      </c>
      <c r="F152" s="443" t="s">
        <v>1023</v>
      </c>
      <c r="I152" s="467"/>
      <c r="J152" s="444">
        <f>BK152</f>
        <v>0</v>
      </c>
      <c r="L152" s="433"/>
      <c r="M152" s="438"/>
      <c r="P152" s="439">
        <f>P153</f>
        <v>0.88</v>
      </c>
      <c r="R152" s="439">
        <f>R153</f>
        <v>0</v>
      </c>
      <c r="T152" s="440">
        <f>T153</f>
        <v>0</v>
      </c>
      <c r="AR152" s="435" t="s">
        <v>109</v>
      </c>
      <c r="AT152" s="441" t="s">
        <v>216</v>
      </c>
      <c r="AU152" s="441" t="s">
        <v>109</v>
      </c>
      <c r="AY152" s="435" t="s">
        <v>217</v>
      </c>
      <c r="BK152" s="442">
        <f>BK153</f>
        <v>0</v>
      </c>
    </row>
    <row r="153" spans="2:65" s="365" customFormat="1" ht="16.5" customHeight="1" x14ac:dyDescent="0.25">
      <c r="B153" s="364"/>
      <c r="C153" s="445" t="s">
        <v>234</v>
      </c>
      <c r="D153" s="445" t="s">
        <v>218</v>
      </c>
      <c r="E153" s="446" t="s">
        <v>1575</v>
      </c>
      <c r="F153" s="447" t="s">
        <v>1576</v>
      </c>
      <c r="G153" s="448" t="s">
        <v>113</v>
      </c>
      <c r="H153" s="449">
        <v>4</v>
      </c>
      <c r="I153" s="329">
        <v>0</v>
      </c>
      <c r="J153" s="450">
        <f>ROUND(I153*H153,2)</f>
        <v>0</v>
      </c>
      <c r="K153" s="451"/>
      <c r="L153" s="364"/>
      <c r="M153" s="452" t="s">
        <v>171</v>
      </c>
      <c r="N153" s="415" t="s">
        <v>185</v>
      </c>
      <c r="O153" s="453">
        <v>0.22</v>
      </c>
      <c r="P153" s="453">
        <f>O153*H153</f>
        <v>0.88</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1577</v>
      </c>
    </row>
    <row r="154" spans="2:65" s="434" customFormat="1" ht="22.9" customHeight="1" x14ac:dyDescent="0.2">
      <c r="B154" s="433"/>
      <c r="D154" s="435" t="s">
        <v>216</v>
      </c>
      <c r="E154" s="443" t="s">
        <v>162</v>
      </c>
      <c r="F154" s="443" t="s">
        <v>633</v>
      </c>
      <c r="I154" s="467"/>
      <c r="J154" s="444">
        <f>BK154</f>
        <v>0</v>
      </c>
      <c r="L154" s="433"/>
      <c r="M154" s="438"/>
      <c r="P154" s="439">
        <f>SUM(P155:P158)</f>
        <v>21.54786</v>
      </c>
      <c r="R154" s="439">
        <f>SUM(R155:R158)</f>
        <v>1.3077399999999999E-2</v>
      </c>
      <c r="T154" s="440">
        <f>SUM(T155:T158)</f>
        <v>9.52</v>
      </c>
      <c r="AR154" s="435" t="s">
        <v>109</v>
      </c>
      <c r="AT154" s="441" t="s">
        <v>216</v>
      </c>
      <c r="AU154" s="441" t="s">
        <v>109</v>
      </c>
      <c r="AY154" s="435" t="s">
        <v>217</v>
      </c>
      <c r="BK154" s="442">
        <f>SUM(BK155:BK158)</f>
        <v>0</v>
      </c>
    </row>
    <row r="155" spans="2:65" s="365" customFormat="1" ht="62.65" customHeight="1" x14ac:dyDescent="0.25">
      <c r="B155" s="364"/>
      <c r="C155" s="481" t="s">
        <v>235</v>
      </c>
      <c r="D155" s="481" t="s">
        <v>218</v>
      </c>
      <c r="E155" s="479" t="s">
        <v>635</v>
      </c>
      <c r="F155" s="472" t="s">
        <v>3123</v>
      </c>
      <c r="G155" s="473" t="s">
        <v>112</v>
      </c>
      <c r="H155" s="474">
        <f>Ponuka!L126</f>
        <v>8.75</v>
      </c>
      <c r="I155" s="329">
        <v>0</v>
      </c>
      <c r="J155" s="450">
        <f>ROUND(I155*H155,2)</f>
        <v>0</v>
      </c>
      <c r="K155" s="451"/>
      <c r="L155" s="364"/>
      <c r="M155" s="452" t="s">
        <v>171</v>
      </c>
      <c r="N155" s="415" t="s">
        <v>185</v>
      </c>
      <c r="O155" s="453">
        <v>0</v>
      </c>
      <c r="P155" s="453">
        <f>O155*H155</f>
        <v>0</v>
      </c>
      <c r="Q155" s="453">
        <v>0</v>
      </c>
      <c r="R155" s="453">
        <f>Q155*H155</f>
        <v>0</v>
      </c>
      <c r="S155" s="453">
        <v>0</v>
      </c>
      <c r="T155" s="454">
        <f>S155*H155</f>
        <v>0</v>
      </c>
      <c r="AR155" s="455" t="s">
        <v>110</v>
      </c>
      <c r="AT155" s="455" t="s">
        <v>218</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1607</v>
      </c>
    </row>
    <row r="156" spans="2:65" s="365" customFormat="1" ht="66.75" customHeight="1" x14ac:dyDescent="0.25">
      <c r="B156" s="364"/>
      <c r="C156" s="445" t="s">
        <v>236</v>
      </c>
      <c r="D156" s="445" t="s">
        <v>218</v>
      </c>
      <c r="E156" s="446" t="s">
        <v>234</v>
      </c>
      <c r="F156" s="447" t="s">
        <v>3124</v>
      </c>
      <c r="G156" s="448" t="s">
        <v>112</v>
      </c>
      <c r="H156" s="449">
        <f>Ponuka!R126</f>
        <v>2.52</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1608</v>
      </c>
    </row>
    <row r="157" spans="2:65" s="365" customFormat="1" ht="24.2" customHeight="1" x14ac:dyDescent="0.25">
      <c r="B157" s="364"/>
      <c r="C157" s="445" t="s">
        <v>237</v>
      </c>
      <c r="D157" s="445" t="s">
        <v>218</v>
      </c>
      <c r="E157" s="446" t="s">
        <v>641</v>
      </c>
      <c r="F157" s="447" t="s">
        <v>642</v>
      </c>
      <c r="G157" s="448" t="s">
        <v>112</v>
      </c>
      <c r="H157" s="449">
        <f>H162</f>
        <v>3.75</v>
      </c>
      <c r="I157" s="329">
        <v>0</v>
      </c>
      <c r="J157" s="450">
        <f>ROUND(I157*H157,2)</f>
        <v>0</v>
      </c>
      <c r="K157" s="451"/>
      <c r="L157" s="364"/>
      <c r="M157" s="452" t="s">
        <v>171</v>
      </c>
      <c r="N157" s="415" t="s">
        <v>185</v>
      </c>
      <c r="O157" s="453">
        <v>6.0000000000000001E-3</v>
      </c>
      <c r="P157" s="453">
        <f>O157*H157</f>
        <v>2.2499999999999999E-2</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1609</v>
      </c>
    </row>
    <row r="158" spans="2:65" s="365" customFormat="1" ht="24.2" customHeight="1" x14ac:dyDescent="0.25">
      <c r="B158" s="364"/>
      <c r="C158" s="445" t="s">
        <v>238</v>
      </c>
      <c r="D158" s="445" t="s">
        <v>218</v>
      </c>
      <c r="E158" s="446" t="s">
        <v>1442</v>
      </c>
      <c r="F158" s="447" t="s">
        <v>1443</v>
      </c>
      <c r="G158" s="448" t="s">
        <v>114</v>
      </c>
      <c r="H158" s="449">
        <v>4</v>
      </c>
      <c r="I158" s="329">
        <v>0</v>
      </c>
      <c r="J158" s="450">
        <f>ROUND(I158*H158,2)</f>
        <v>0</v>
      </c>
      <c r="K158" s="451"/>
      <c r="L158" s="364"/>
      <c r="M158" s="452" t="s">
        <v>171</v>
      </c>
      <c r="N158" s="415" t="s">
        <v>185</v>
      </c>
      <c r="O158" s="453">
        <v>5.3813399999999998</v>
      </c>
      <c r="P158" s="453">
        <f>O158*H158</f>
        <v>21.525359999999999</v>
      </c>
      <c r="Q158" s="453">
        <v>3.2693499999999999E-3</v>
      </c>
      <c r="R158" s="453">
        <f>Q158*H158</f>
        <v>1.3077399999999999E-2</v>
      </c>
      <c r="S158" s="453">
        <v>2.38</v>
      </c>
      <c r="T158" s="454">
        <f>S158*H158</f>
        <v>9.52</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1444</v>
      </c>
    </row>
    <row r="159" spans="2:65" s="434" customFormat="1" ht="22.9" customHeight="1" x14ac:dyDescent="0.2">
      <c r="B159" s="433"/>
      <c r="D159" s="435" t="s">
        <v>216</v>
      </c>
      <c r="E159" s="443" t="s">
        <v>649</v>
      </c>
      <c r="F159" s="443" t="s">
        <v>650</v>
      </c>
      <c r="I159" s="467"/>
      <c r="J159" s="444">
        <f>BK159</f>
        <v>0</v>
      </c>
      <c r="L159" s="433"/>
      <c r="M159" s="438"/>
      <c r="P159" s="439">
        <f>SUM(P160:P162)</f>
        <v>2.82</v>
      </c>
      <c r="R159" s="439">
        <f>SUM(R160:R162)</f>
        <v>0</v>
      </c>
      <c r="T159" s="440">
        <f>SUM(T160:T162)</f>
        <v>0</v>
      </c>
      <c r="AR159" s="435" t="s">
        <v>109</v>
      </c>
      <c r="AT159" s="441" t="s">
        <v>216</v>
      </c>
      <c r="AU159" s="441" t="s">
        <v>109</v>
      </c>
      <c r="AY159" s="435" t="s">
        <v>217</v>
      </c>
      <c r="BK159" s="442">
        <f>SUM(BK160:BK162)</f>
        <v>0</v>
      </c>
    </row>
    <row r="160" spans="2:65" s="365" customFormat="1" ht="24.2" customHeight="1" x14ac:dyDescent="0.25">
      <c r="B160" s="364"/>
      <c r="C160" s="445" t="s">
        <v>239</v>
      </c>
      <c r="D160" s="445" t="s">
        <v>218</v>
      </c>
      <c r="E160" s="446" t="s">
        <v>652</v>
      </c>
      <c r="F160" s="447" t="s">
        <v>1610</v>
      </c>
      <c r="G160" s="448" t="s">
        <v>112</v>
      </c>
      <c r="H160" s="449">
        <f>H162</f>
        <v>3.75</v>
      </c>
      <c r="I160" s="329">
        <v>0</v>
      </c>
      <c r="J160" s="450">
        <f>ROUND(I160*H160,2)</f>
        <v>0</v>
      </c>
      <c r="K160" s="451"/>
      <c r="L160" s="364"/>
      <c r="M160" s="452" t="s">
        <v>171</v>
      </c>
      <c r="N160" s="415" t="s">
        <v>185</v>
      </c>
      <c r="O160" s="453">
        <v>0.59799999999999998</v>
      </c>
      <c r="P160" s="453">
        <f>O160*H160</f>
        <v>2.2424999999999997</v>
      </c>
      <c r="Q160" s="453">
        <v>0</v>
      </c>
      <c r="R160" s="453">
        <f>Q160*H160</f>
        <v>0</v>
      </c>
      <c r="S160" s="453">
        <v>0</v>
      </c>
      <c r="T160" s="454">
        <f>S160*H160</f>
        <v>0</v>
      </c>
      <c r="AR160" s="455" t="s">
        <v>110</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110</v>
      </c>
      <c r="BM160" s="455" t="s">
        <v>1611</v>
      </c>
    </row>
    <row r="161" spans="2:65" s="365" customFormat="1" ht="24.2" customHeight="1" x14ac:dyDescent="0.25">
      <c r="B161" s="364"/>
      <c r="C161" s="445" t="s">
        <v>240</v>
      </c>
      <c r="D161" s="445" t="s">
        <v>218</v>
      </c>
      <c r="E161" s="446" t="s">
        <v>656</v>
      </c>
      <c r="F161" s="447" t="s">
        <v>1612</v>
      </c>
      <c r="G161" s="448" t="s">
        <v>112</v>
      </c>
      <c r="H161" s="449">
        <f>H160*22</f>
        <v>82.5</v>
      </c>
      <c r="I161" s="329">
        <v>0</v>
      </c>
      <c r="J161" s="450">
        <f>ROUND(I161*H161,2)</f>
        <v>0</v>
      </c>
      <c r="K161" s="451"/>
      <c r="L161" s="364"/>
      <c r="M161" s="452" t="s">
        <v>171</v>
      </c>
      <c r="N161" s="415" t="s">
        <v>185</v>
      </c>
      <c r="O161" s="453">
        <v>7.0000000000000001E-3</v>
      </c>
      <c r="P161" s="453">
        <f>O161*H161</f>
        <v>0.57750000000000001</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1613</v>
      </c>
    </row>
    <row r="162" spans="2:65" s="365" customFormat="1" ht="24.2" customHeight="1" x14ac:dyDescent="0.25">
      <c r="B162" s="364"/>
      <c r="C162" s="481" t="s">
        <v>241</v>
      </c>
      <c r="D162" s="481" t="s">
        <v>218</v>
      </c>
      <c r="E162" s="479" t="s">
        <v>660</v>
      </c>
      <c r="F162" s="472" t="s">
        <v>3125</v>
      </c>
      <c r="G162" s="473" t="s">
        <v>112</v>
      </c>
      <c r="H162" s="474">
        <f>Ponuka!M126</f>
        <v>3.75</v>
      </c>
      <c r="I162" s="329">
        <v>0</v>
      </c>
      <c r="J162" s="450">
        <f>ROUND(I162*H162,2)</f>
        <v>0</v>
      </c>
      <c r="K162" s="451"/>
      <c r="L162" s="364"/>
      <c r="M162" s="452" t="s">
        <v>171</v>
      </c>
      <c r="N162" s="415" t="s">
        <v>185</v>
      </c>
      <c r="O162" s="453">
        <v>0</v>
      </c>
      <c r="P162" s="453">
        <f>O162*H162</f>
        <v>0</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1614</v>
      </c>
    </row>
    <row r="163" spans="2:65" s="434" customFormat="1" ht="25.9" customHeight="1" x14ac:dyDescent="0.2">
      <c r="B163" s="433"/>
      <c r="D163" s="435" t="s">
        <v>216</v>
      </c>
      <c r="E163" s="436" t="s">
        <v>662</v>
      </c>
      <c r="F163" s="436" t="s">
        <v>663</v>
      </c>
      <c r="I163" s="467"/>
      <c r="J163" s="437">
        <f>BK163</f>
        <v>0</v>
      </c>
      <c r="L163" s="433"/>
      <c r="M163" s="438"/>
      <c r="P163" s="439">
        <f>P164</f>
        <v>0.18212</v>
      </c>
      <c r="R163" s="439">
        <f>R164</f>
        <v>0</v>
      </c>
      <c r="T163" s="440">
        <f>T164</f>
        <v>0</v>
      </c>
      <c r="AR163" s="435" t="s">
        <v>108</v>
      </c>
      <c r="AT163" s="441" t="s">
        <v>216</v>
      </c>
      <c r="AU163" s="441" t="s">
        <v>165</v>
      </c>
      <c r="AY163" s="435" t="s">
        <v>217</v>
      </c>
      <c r="BK163" s="442">
        <f>BK164</f>
        <v>0</v>
      </c>
    </row>
    <row r="164" spans="2:65" s="365" customFormat="1" ht="24.2" customHeight="1" x14ac:dyDescent="0.25">
      <c r="B164" s="364"/>
      <c r="C164" s="445" t="s">
        <v>242</v>
      </c>
      <c r="D164" s="445" t="s">
        <v>218</v>
      </c>
      <c r="E164" s="446" t="s">
        <v>665</v>
      </c>
      <c r="F164" s="447" t="s">
        <v>936</v>
      </c>
      <c r="G164" s="448" t="s">
        <v>112</v>
      </c>
      <c r="H164" s="449">
        <v>4.5529999999999999</v>
      </c>
      <c r="I164" s="329">
        <v>0</v>
      </c>
      <c r="J164" s="450">
        <f>ROUND(I164*H164,2)</f>
        <v>0</v>
      </c>
      <c r="K164" s="451"/>
      <c r="L164" s="364"/>
      <c r="M164" s="468" t="s">
        <v>171</v>
      </c>
      <c r="N164" s="469" t="s">
        <v>185</v>
      </c>
      <c r="O164" s="470">
        <v>0.04</v>
      </c>
      <c r="P164" s="470">
        <f>O164*H164</f>
        <v>0.18212</v>
      </c>
      <c r="Q164" s="470">
        <v>0</v>
      </c>
      <c r="R164" s="470">
        <f>Q164*H164</f>
        <v>0</v>
      </c>
      <c r="S164" s="470">
        <v>0</v>
      </c>
      <c r="T164" s="471">
        <f>S164*H164</f>
        <v>0</v>
      </c>
      <c r="AR164" s="455" t="s">
        <v>228</v>
      </c>
      <c r="AT164" s="455" t="s">
        <v>218</v>
      </c>
      <c r="AU164" s="455" t="s">
        <v>109</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228</v>
      </c>
      <c r="BM164" s="455" t="s">
        <v>667</v>
      </c>
    </row>
    <row r="165" spans="2:65" s="365" customFormat="1" ht="6.95" customHeight="1" x14ac:dyDescent="0.25">
      <c r="B165" s="397"/>
      <c r="C165" s="398"/>
      <c r="D165" s="398"/>
      <c r="E165" s="398"/>
      <c r="F165" s="398"/>
      <c r="G165" s="398"/>
      <c r="H165" s="398"/>
      <c r="I165" s="398"/>
      <c r="J165" s="398"/>
      <c r="K165" s="398"/>
      <c r="L165" s="364"/>
    </row>
  </sheetData>
  <sheetProtection algorithmName="SHA-512" hashValue="rnFVK0Iesy9rW73qzJkGKsPweQqv3VMoawIfzJQwjGBGEFCTL4n90U+Au6cISHTczrSuKwrh88j4qJbRE6u9tA==" saltValue="PLgP3mNyytW39oTW58nryg==" spinCount="100000" sheet="1" objects="1" scenarios="1"/>
  <autoFilter ref="C127:K164" xr:uid="{00000000-0009-0000-0000-00000F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7FADD-E845-4112-B22D-EFD8572561A1}">
  <sheetPr codeName="Hárok23">
    <pageSetUpPr fitToPage="1"/>
  </sheetPr>
  <dimension ref="B2:BM216"/>
  <sheetViews>
    <sheetView topLeftCell="A212" workbookViewId="0">
      <selection activeCell="I215" sqref="I215"/>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380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1615</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SUM(BE130:BE215)),  2)</f>
        <v>0</v>
      </c>
      <c r="G35" s="380"/>
      <c r="H35" s="380"/>
      <c r="I35" s="381">
        <v>0.23</v>
      </c>
      <c r="J35" s="379">
        <f>ROUND(((SUM(BE108:BE110) + SUM(BE130:BE215))*I35),  2)</f>
        <v>0</v>
      </c>
      <c r="L35" s="364"/>
    </row>
    <row r="36" spans="2:12" s="365" customFormat="1" ht="14.45" customHeight="1" x14ac:dyDescent="0.25">
      <c r="B36" s="364"/>
      <c r="E36" s="378" t="s">
        <v>185</v>
      </c>
      <c r="F36" s="382">
        <f>ROUND((SUM(BF108:BF110) + SUM(BF130:BF215)),  2)</f>
        <v>0</v>
      </c>
      <c r="I36" s="383">
        <v>0.23</v>
      </c>
      <c r="J36" s="382">
        <f>ROUND(((SUM(BF108:BF110) + SUM(BF130:BF215))*I36),  2)</f>
        <v>0</v>
      </c>
      <c r="L36" s="364"/>
    </row>
    <row r="37" spans="2:12" s="365" customFormat="1" ht="14.45" hidden="1" customHeight="1" x14ac:dyDescent="0.25">
      <c r="B37" s="364"/>
      <c r="E37" s="363" t="s">
        <v>186</v>
      </c>
      <c r="F37" s="382">
        <f>ROUND((SUM(BG108:BG110) + SUM(BG130:BG215)),  2)</f>
        <v>0</v>
      </c>
      <c r="I37" s="383">
        <v>0.23</v>
      </c>
      <c r="J37" s="382">
        <f>0</f>
        <v>0</v>
      </c>
      <c r="L37" s="364"/>
    </row>
    <row r="38" spans="2:12" s="365" customFormat="1" ht="14.45" hidden="1" customHeight="1" x14ac:dyDescent="0.25">
      <c r="B38" s="364"/>
      <c r="E38" s="363" t="s">
        <v>187</v>
      </c>
      <c r="F38" s="382">
        <f>ROUND((SUM(BH108:BH110) + SUM(BH130:BH215)),  2)</f>
        <v>0</v>
      </c>
      <c r="I38" s="383">
        <v>0.23</v>
      </c>
      <c r="J38" s="382">
        <f>0</f>
        <v>0</v>
      </c>
      <c r="L38" s="364"/>
    </row>
    <row r="39" spans="2:12" s="365" customFormat="1" ht="14.45" hidden="1" customHeight="1" x14ac:dyDescent="0.25">
      <c r="B39" s="364"/>
      <c r="E39" s="378" t="s">
        <v>188</v>
      </c>
      <c r="F39" s="379">
        <f>ROUND((SUM(BI108:BI110) + SUM(BI130:BI215)),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2505 - SO 401  Preložka telekomunikačných vedení Slovak Telekom a.s., úsek A-D</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953</v>
      </c>
      <c r="E100" s="412"/>
      <c r="F100" s="412"/>
      <c r="G100" s="412"/>
      <c r="H100" s="412"/>
      <c r="I100" s="412"/>
      <c r="J100" s="413">
        <f>J149</f>
        <v>0</v>
      </c>
      <c r="L100" s="409"/>
    </row>
    <row r="101" spans="2:62" s="410" customFormat="1" ht="19.899999999999999" customHeight="1" x14ac:dyDescent="0.25">
      <c r="B101" s="409"/>
      <c r="D101" s="411" t="s">
        <v>414</v>
      </c>
      <c r="E101" s="412"/>
      <c r="F101" s="412"/>
      <c r="G101" s="412"/>
      <c r="H101" s="412"/>
      <c r="I101" s="412"/>
      <c r="J101" s="413">
        <f>J152</f>
        <v>0</v>
      </c>
      <c r="L101" s="409"/>
    </row>
    <row r="102" spans="2:62" s="405" customFormat="1" ht="24.95" customHeight="1" x14ac:dyDescent="0.25">
      <c r="B102" s="404"/>
      <c r="D102" s="406" t="s">
        <v>1616</v>
      </c>
      <c r="E102" s="407"/>
      <c r="F102" s="407"/>
      <c r="G102" s="407"/>
      <c r="H102" s="407"/>
      <c r="I102" s="407"/>
      <c r="J102" s="408">
        <f>J154</f>
        <v>0</v>
      </c>
      <c r="L102" s="404"/>
    </row>
    <row r="103" spans="2:62" s="410" customFormat="1" ht="19.899999999999999" customHeight="1" x14ac:dyDescent="0.25">
      <c r="B103" s="409"/>
      <c r="D103" s="411" t="s">
        <v>1617</v>
      </c>
      <c r="E103" s="412"/>
      <c r="F103" s="412"/>
      <c r="G103" s="412"/>
      <c r="H103" s="412"/>
      <c r="I103" s="412"/>
      <c r="J103" s="413">
        <f>J155</f>
        <v>0</v>
      </c>
      <c r="L103" s="409"/>
    </row>
    <row r="104" spans="2:62" s="410" customFormat="1" ht="19.899999999999999" customHeight="1" x14ac:dyDescent="0.25">
      <c r="B104" s="409"/>
      <c r="D104" s="411" t="s">
        <v>1618</v>
      </c>
      <c r="E104" s="412"/>
      <c r="F104" s="412"/>
      <c r="G104" s="412"/>
      <c r="H104" s="412"/>
      <c r="I104" s="412"/>
      <c r="J104" s="413">
        <f>J189</f>
        <v>0</v>
      </c>
      <c r="L104" s="409"/>
    </row>
    <row r="105" spans="2:62" s="410" customFormat="1" ht="19.899999999999999" customHeight="1" x14ac:dyDescent="0.25">
      <c r="B105" s="409"/>
      <c r="D105" s="411" t="s">
        <v>1619</v>
      </c>
      <c r="E105" s="412"/>
      <c r="F105" s="412"/>
      <c r="G105" s="412"/>
      <c r="H105" s="412"/>
      <c r="I105" s="412"/>
      <c r="J105" s="413">
        <f>J213</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3066</v>
      </c>
      <c r="J108" s="414">
        <f>ROUND(J109,2)</f>
        <v>0</v>
      </c>
      <c r="L108" s="364"/>
      <c r="N108" s="415" t="s">
        <v>183</v>
      </c>
    </row>
    <row r="109" spans="2:62" s="365" customFormat="1" ht="18" customHeight="1" x14ac:dyDescent="0.25">
      <c r="B109" s="364"/>
      <c r="D109" s="865" t="s">
        <v>3126</v>
      </c>
      <c r="E109" s="865"/>
      <c r="F109" s="865"/>
      <c r="J109" s="482">
        <f>J96*0.032</f>
        <v>0</v>
      </c>
      <c r="L109" s="364"/>
      <c r="N109" s="483" t="s">
        <v>185</v>
      </c>
      <c r="AY109" s="357" t="s">
        <v>1333</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3063</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59" t="str">
        <f>E7</f>
        <v>Cyklotrasa - Devín_RP1</v>
      </c>
      <c r="F120" s="860"/>
      <c r="G120" s="860"/>
      <c r="H120" s="860"/>
      <c r="L120" s="364"/>
    </row>
    <row r="121" spans="2:12" s="365" customFormat="1" ht="12" customHeight="1" x14ac:dyDescent="0.25">
      <c r="B121" s="364"/>
      <c r="C121" s="363" t="s">
        <v>408</v>
      </c>
      <c r="L121" s="364"/>
    </row>
    <row r="122" spans="2:12" s="365" customFormat="1" ht="30" customHeight="1" x14ac:dyDescent="0.25">
      <c r="B122" s="364"/>
      <c r="E122" s="857" t="str">
        <f>E9</f>
        <v>2505 - SO 401  Preložka telekomunikačných vedení Slovak Telekom a.s., úsek A-D</v>
      </c>
      <c r="F122" s="858"/>
      <c r="G122" s="858"/>
      <c r="H122" s="858"/>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P131+P154</f>
        <v>40241.068898800004</v>
      </c>
      <c r="Q130" s="371"/>
      <c r="R130" s="430">
        <f>R131+R154</f>
        <v>11.275230000000001</v>
      </c>
      <c r="S130" s="371"/>
      <c r="T130" s="431">
        <f>T131+T154</f>
        <v>0</v>
      </c>
      <c r="AT130" s="357" t="s">
        <v>216</v>
      </c>
      <c r="AU130" s="357" t="s">
        <v>202</v>
      </c>
      <c r="BK130" s="432">
        <f>BK131+BK154</f>
        <v>0</v>
      </c>
    </row>
    <row r="131" spans="2:65" s="434" customFormat="1" ht="25.9" customHeight="1" x14ac:dyDescent="0.2">
      <c r="B131" s="433"/>
      <c r="D131" s="435" t="s">
        <v>216</v>
      </c>
      <c r="E131" s="436" t="s">
        <v>418</v>
      </c>
      <c r="F131" s="436" t="s">
        <v>419</v>
      </c>
      <c r="J131" s="437">
        <f>BK131</f>
        <v>0</v>
      </c>
      <c r="L131" s="433"/>
      <c r="M131" s="438"/>
      <c r="P131" s="439">
        <f>P132+P137+P149+P152</f>
        <v>289.38994880000007</v>
      </c>
      <c r="R131" s="439">
        <f>R132+R137+R149+R152</f>
        <v>1.4471500000000002</v>
      </c>
      <c r="T131" s="440">
        <f>T132+T137+T149+T152</f>
        <v>0</v>
      </c>
      <c r="AR131" s="435" t="s">
        <v>109</v>
      </c>
      <c r="AT131" s="441" t="s">
        <v>216</v>
      </c>
      <c r="AU131" s="441" t="s">
        <v>165</v>
      </c>
      <c r="AY131" s="435" t="s">
        <v>217</v>
      </c>
      <c r="BK131" s="442">
        <f>BK132+BK137+BK149+BK152</f>
        <v>0</v>
      </c>
    </row>
    <row r="132" spans="2:65" s="434" customFormat="1" ht="22.9" customHeight="1" x14ac:dyDescent="0.2">
      <c r="B132" s="433"/>
      <c r="D132" s="435" t="s">
        <v>216</v>
      </c>
      <c r="E132" s="443" t="s">
        <v>109</v>
      </c>
      <c r="F132" s="443" t="s">
        <v>220</v>
      </c>
      <c r="J132" s="444">
        <f>BK132</f>
        <v>0</v>
      </c>
      <c r="L132" s="433"/>
      <c r="M132" s="438"/>
      <c r="P132" s="439">
        <f>SUM(P133:P136)</f>
        <v>2.2019488000000003</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712</v>
      </c>
      <c r="F133" s="447" t="s">
        <v>1620</v>
      </c>
      <c r="G133" s="448" t="s">
        <v>114</v>
      </c>
      <c r="H133" s="449">
        <v>10.07</v>
      </c>
      <c r="I133" s="329">
        <v>0</v>
      </c>
      <c r="J133" s="450">
        <f>ROUND(I133*H133,2)</f>
        <v>0</v>
      </c>
      <c r="K133" s="451"/>
      <c r="L133" s="364"/>
      <c r="M133" s="452" t="s">
        <v>171</v>
      </c>
      <c r="N133" s="415" t="s">
        <v>185</v>
      </c>
      <c r="O133" s="453">
        <v>4.8899999999999999E-2</v>
      </c>
      <c r="P133" s="453">
        <f>O133*H133</f>
        <v>0.492423</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1621</v>
      </c>
    </row>
    <row r="134" spans="2:65" s="365" customFormat="1" ht="44.25" customHeight="1" x14ac:dyDescent="0.25">
      <c r="B134" s="364"/>
      <c r="C134" s="445" t="s">
        <v>108</v>
      </c>
      <c r="D134" s="445" t="s">
        <v>218</v>
      </c>
      <c r="E134" s="446" t="s">
        <v>714</v>
      </c>
      <c r="F134" s="447" t="s">
        <v>1622</v>
      </c>
      <c r="G134" s="448" t="s">
        <v>114</v>
      </c>
      <c r="H134" s="449">
        <v>302.22000000000003</v>
      </c>
      <c r="I134" s="329">
        <v>0</v>
      </c>
      <c r="J134" s="450">
        <f>ROUND(I134*H134,2)</f>
        <v>0</v>
      </c>
      <c r="K134" s="451"/>
      <c r="L134" s="364"/>
      <c r="M134" s="452" t="s">
        <v>171</v>
      </c>
      <c r="N134" s="415" t="s">
        <v>185</v>
      </c>
      <c r="O134" s="453">
        <v>5.3899999999999998E-3</v>
      </c>
      <c r="P134" s="453">
        <f>O134*H134</f>
        <v>1.6289658</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1623</v>
      </c>
    </row>
    <row r="135" spans="2:65" s="365" customFormat="1" ht="21.75" customHeight="1" x14ac:dyDescent="0.25">
      <c r="B135" s="364"/>
      <c r="C135" s="445" t="s">
        <v>119</v>
      </c>
      <c r="D135" s="445" t="s">
        <v>218</v>
      </c>
      <c r="E135" s="446" t="s">
        <v>717</v>
      </c>
      <c r="F135" s="447" t="s">
        <v>224</v>
      </c>
      <c r="G135" s="448" t="s">
        <v>114</v>
      </c>
      <c r="H135" s="449">
        <v>10.07</v>
      </c>
      <c r="I135" s="329">
        <v>0</v>
      </c>
      <c r="J135" s="450">
        <f>ROUND(I135*H135,2)</f>
        <v>0</v>
      </c>
      <c r="K135" s="451"/>
      <c r="L135" s="364"/>
      <c r="M135" s="452" t="s">
        <v>171</v>
      </c>
      <c r="N135" s="415" t="s">
        <v>185</v>
      </c>
      <c r="O135" s="453">
        <v>8.0000000000000002E-3</v>
      </c>
      <c r="P135" s="453">
        <f>O135*H135</f>
        <v>8.0560000000000007E-2</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1624</v>
      </c>
    </row>
    <row r="136" spans="2:65" s="365" customFormat="1" ht="24.2" customHeight="1" x14ac:dyDescent="0.25">
      <c r="B136" s="364"/>
      <c r="C136" s="445" t="s">
        <v>110</v>
      </c>
      <c r="D136" s="445" t="s">
        <v>218</v>
      </c>
      <c r="E136" s="446" t="s">
        <v>1101</v>
      </c>
      <c r="F136" s="447" t="s">
        <v>3127</v>
      </c>
      <c r="G136" s="448" t="s">
        <v>112</v>
      </c>
      <c r="H136" s="449">
        <f>Ponuka!S127</f>
        <v>18.135000000000005</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1625</v>
      </c>
    </row>
    <row r="137" spans="2:65" s="434" customFormat="1" ht="22.9" customHeight="1" x14ac:dyDescent="0.2">
      <c r="B137" s="433"/>
      <c r="D137" s="435" t="s">
        <v>216</v>
      </c>
      <c r="E137" s="443" t="s">
        <v>119</v>
      </c>
      <c r="F137" s="443" t="s">
        <v>541</v>
      </c>
      <c r="I137" s="331"/>
      <c r="J137" s="444">
        <f>BK137</f>
        <v>0</v>
      </c>
      <c r="L137" s="433"/>
      <c r="M137" s="438"/>
      <c r="P137" s="439">
        <f>SUM(P138:P148)</f>
        <v>284.35800000000006</v>
      </c>
      <c r="R137" s="439">
        <f>SUM(R138:R148)</f>
        <v>1.4311500000000001</v>
      </c>
      <c r="T137" s="440">
        <f>SUM(T138:T148)</f>
        <v>0</v>
      </c>
      <c r="AR137" s="435" t="s">
        <v>109</v>
      </c>
      <c r="AT137" s="441" t="s">
        <v>216</v>
      </c>
      <c r="AU137" s="441" t="s">
        <v>109</v>
      </c>
      <c r="AY137" s="435" t="s">
        <v>217</v>
      </c>
      <c r="BK137" s="442">
        <f>SUM(BK138:BK148)</f>
        <v>0</v>
      </c>
    </row>
    <row r="138" spans="2:65" s="365" customFormat="1" ht="24.2" customHeight="1" x14ac:dyDescent="0.25">
      <c r="B138" s="364"/>
      <c r="C138" s="445" t="s">
        <v>118</v>
      </c>
      <c r="D138" s="445" t="s">
        <v>218</v>
      </c>
      <c r="E138" s="446" t="s">
        <v>1626</v>
      </c>
      <c r="F138" s="447" t="s">
        <v>1627</v>
      </c>
      <c r="G138" s="448" t="s">
        <v>113</v>
      </c>
      <c r="H138" s="449">
        <v>1025</v>
      </c>
      <c r="I138" s="329">
        <v>0</v>
      </c>
      <c r="J138" s="450">
        <f t="shared" ref="J138:J148" si="0">ROUND(I138*H138,2)</f>
        <v>0</v>
      </c>
      <c r="K138" s="451"/>
      <c r="L138" s="364"/>
      <c r="M138" s="452" t="s">
        <v>171</v>
      </c>
      <c r="N138" s="415" t="s">
        <v>185</v>
      </c>
      <c r="O138" s="453">
        <v>0.08</v>
      </c>
      <c r="P138" s="453">
        <f t="shared" ref="P138:P148" si="1">O138*H138</f>
        <v>82</v>
      </c>
      <c r="Q138" s="453">
        <v>0</v>
      </c>
      <c r="R138" s="453">
        <f t="shared" ref="R138:R148" si="2">Q138*H138</f>
        <v>0</v>
      </c>
      <c r="S138" s="453">
        <v>0</v>
      </c>
      <c r="T138" s="454">
        <f t="shared" ref="T138:T148" si="3">S138*H138</f>
        <v>0</v>
      </c>
      <c r="AR138" s="455" t="s">
        <v>110</v>
      </c>
      <c r="AT138" s="455" t="s">
        <v>218</v>
      </c>
      <c r="AU138" s="455" t="s">
        <v>108</v>
      </c>
      <c r="AY138" s="357" t="s">
        <v>217</v>
      </c>
      <c r="BE138" s="456">
        <f t="shared" ref="BE138:BE148" si="4">IF(N138="základná",J138,0)</f>
        <v>0</v>
      </c>
      <c r="BF138" s="456">
        <f t="shared" ref="BF138:BF148" si="5">IF(N138="znížená",J138,0)</f>
        <v>0</v>
      </c>
      <c r="BG138" s="456">
        <f t="shared" ref="BG138:BG148" si="6">IF(N138="zákl. prenesená",J138,0)</f>
        <v>0</v>
      </c>
      <c r="BH138" s="456">
        <f t="shared" ref="BH138:BH148" si="7">IF(N138="zníž. prenesená",J138,0)</f>
        <v>0</v>
      </c>
      <c r="BI138" s="456">
        <f t="shared" ref="BI138:BI148" si="8">IF(N138="nulová",J138,0)</f>
        <v>0</v>
      </c>
      <c r="BJ138" s="357" t="s">
        <v>108</v>
      </c>
      <c r="BK138" s="456">
        <f t="shared" ref="BK138:BK148" si="9">ROUND(I138*H138,2)</f>
        <v>0</v>
      </c>
      <c r="BL138" s="357" t="s">
        <v>110</v>
      </c>
      <c r="BM138" s="455" t="s">
        <v>1628</v>
      </c>
    </row>
    <row r="139" spans="2:65" s="365" customFormat="1" ht="16.5" customHeight="1" x14ac:dyDescent="0.25">
      <c r="B139" s="364"/>
      <c r="C139" s="457" t="s">
        <v>117</v>
      </c>
      <c r="D139" s="457" t="s">
        <v>259</v>
      </c>
      <c r="E139" s="458" t="s">
        <v>1629</v>
      </c>
      <c r="F139" s="459" t="s">
        <v>1630</v>
      </c>
      <c r="G139" s="460" t="s">
        <v>113</v>
      </c>
      <c r="H139" s="461">
        <v>2050</v>
      </c>
      <c r="I139" s="330">
        <v>0</v>
      </c>
      <c r="J139" s="462">
        <f t="shared" si="0"/>
        <v>0</v>
      </c>
      <c r="K139" s="463"/>
      <c r="L139" s="464"/>
      <c r="M139" s="465" t="s">
        <v>171</v>
      </c>
      <c r="N139" s="466" t="s">
        <v>185</v>
      </c>
      <c r="O139" s="453">
        <v>0</v>
      </c>
      <c r="P139" s="453">
        <f t="shared" si="1"/>
        <v>0</v>
      </c>
      <c r="Q139" s="453">
        <v>4.0000000000000002E-4</v>
      </c>
      <c r="R139" s="453">
        <f t="shared" si="2"/>
        <v>0.82000000000000006</v>
      </c>
      <c r="S139" s="453">
        <v>0</v>
      </c>
      <c r="T139" s="454">
        <f t="shared" si="3"/>
        <v>0</v>
      </c>
      <c r="AR139" s="455" t="s">
        <v>1631</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1631</v>
      </c>
      <c r="BM139" s="455" t="s">
        <v>1632</v>
      </c>
    </row>
    <row r="140" spans="2:65" s="365" customFormat="1" ht="16.5" customHeight="1" x14ac:dyDescent="0.25">
      <c r="B140" s="364"/>
      <c r="C140" s="457" t="s">
        <v>116</v>
      </c>
      <c r="D140" s="457" t="s">
        <v>259</v>
      </c>
      <c r="E140" s="458" t="s">
        <v>1633</v>
      </c>
      <c r="F140" s="459" t="s">
        <v>1634</v>
      </c>
      <c r="G140" s="460" t="s">
        <v>123</v>
      </c>
      <c r="H140" s="461">
        <v>25</v>
      </c>
      <c r="I140" s="330">
        <v>0</v>
      </c>
      <c r="J140" s="462">
        <f t="shared" si="0"/>
        <v>0</v>
      </c>
      <c r="K140" s="463"/>
      <c r="L140" s="464"/>
      <c r="M140" s="465" t="s">
        <v>171</v>
      </c>
      <c r="N140" s="466" t="s">
        <v>185</v>
      </c>
      <c r="O140" s="453">
        <v>0</v>
      </c>
      <c r="P140" s="453">
        <f t="shared" si="1"/>
        <v>0</v>
      </c>
      <c r="Q140" s="453">
        <v>4.0000000000000002E-4</v>
      </c>
      <c r="R140" s="453">
        <f t="shared" si="2"/>
        <v>0.01</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1635</v>
      </c>
    </row>
    <row r="141" spans="2:65" s="365" customFormat="1" ht="24.2" customHeight="1" x14ac:dyDescent="0.25">
      <c r="B141" s="364"/>
      <c r="C141" s="445" t="s">
        <v>115</v>
      </c>
      <c r="D141" s="445" t="s">
        <v>218</v>
      </c>
      <c r="E141" s="446" t="s">
        <v>1636</v>
      </c>
      <c r="F141" s="447" t="s">
        <v>1637</v>
      </c>
      <c r="G141" s="448" t="s">
        <v>113</v>
      </c>
      <c r="H141" s="449">
        <v>1025</v>
      </c>
      <c r="I141" s="329">
        <v>0</v>
      </c>
      <c r="J141" s="450">
        <f t="shared" si="0"/>
        <v>0</v>
      </c>
      <c r="K141" s="451"/>
      <c r="L141" s="364"/>
      <c r="M141" s="452" t="s">
        <v>171</v>
      </c>
      <c r="N141" s="415" t="s">
        <v>185</v>
      </c>
      <c r="O141" s="453">
        <v>0.19</v>
      </c>
      <c r="P141" s="453">
        <f t="shared" si="1"/>
        <v>194.75</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1638</v>
      </c>
    </row>
    <row r="142" spans="2:65" s="365" customFormat="1" ht="16.5" customHeight="1" x14ac:dyDescent="0.25">
      <c r="B142" s="364"/>
      <c r="C142" s="457" t="s">
        <v>162</v>
      </c>
      <c r="D142" s="457" t="s">
        <v>259</v>
      </c>
      <c r="E142" s="458" t="s">
        <v>1639</v>
      </c>
      <c r="F142" s="459" t="s">
        <v>1640</v>
      </c>
      <c r="G142" s="460" t="s">
        <v>113</v>
      </c>
      <c r="H142" s="461">
        <v>5125</v>
      </c>
      <c r="I142" s="330">
        <v>0</v>
      </c>
      <c r="J142" s="462">
        <f t="shared" si="0"/>
        <v>0</v>
      </c>
      <c r="K142" s="463"/>
      <c r="L142" s="464"/>
      <c r="M142" s="465" t="s">
        <v>171</v>
      </c>
      <c r="N142" s="466" t="s">
        <v>185</v>
      </c>
      <c r="O142" s="453">
        <v>0</v>
      </c>
      <c r="P142" s="453">
        <f t="shared" si="1"/>
        <v>0</v>
      </c>
      <c r="Q142" s="453">
        <v>1.1E-4</v>
      </c>
      <c r="R142" s="453">
        <f t="shared" si="2"/>
        <v>0.56374999999999997</v>
      </c>
      <c r="S142" s="453">
        <v>0</v>
      </c>
      <c r="T142" s="454">
        <f t="shared" si="3"/>
        <v>0</v>
      </c>
      <c r="AR142" s="455" t="s">
        <v>1631</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1631</v>
      </c>
      <c r="BM142" s="455" t="s">
        <v>1641</v>
      </c>
    </row>
    <row r="143" spans="2:65" s="365" customFormat="1" ht="16.5" customHeight="1" x14ac:dyDescent="0.25">
      <c r="B143" s="364"/>
      <c r="C143" s="445" t="s">
        <v>221</v>
      </c>
      <c r="D143" s="445" t="s">
        <v>218</v>
      </c>
      <c r="E143" s="446" t="s">
        <v>1642</v>
      </c>
      <c r="F143" s="447" t="s">
        <v>1643</v>
      </c>
      <c r="G143" s="448" t="s">
        <v>123</v>
      </c>
      <c r="H143" s="449">
        <v>4</v>
      </c>
      <c r="I143" s="329">
        <v>0</v>
      </c>
      <c r="J143" s="450">
        <f t="shared" si="0"/>
        <v>0</v>
      </c>
      <c r="K143" s="451"/>
      <c r="L143" s="364"/>
      <c r="M143" s="452" t="s">
        <v>171</v>
      </c>
      <c r="N143" s="415" t="s">
        <v>185</v>
      </c>
      <c r="O143" s="453">
        <v>0.15</v>
      </c>
      <c r="P143" s="453">
        <f t="shared" si="1"/>
        <v>0.6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1644</v>
      </c>
    </row>
    <row r="144" spans="2:65" s="365" customFormat="1" ht="16.5" customHeight="1" x14ac:dyDescent="0.25">
      <c r="B144" s="364"/>
      <c r="C144" s="457" t="s">
        <v>222</v>
      </c>
      <c r="D144" s="457" t="s">
        <v>259</v>
      </c>
      <c r="E144" s="458" t="s">
        <v>1645</v>
      </c>
      <c r="F144" s="459" t="s">
        <v>1646</v>
      </c>
      <c r="G144" s="460" t="s">
        <v>123</v>
      </c>
      <c r="H144" s="461">
        <v>4</v>
      </c>
      <c r="I144" s="330">
        <v>0</v>
      </c>
      <c r="J144" s="462">
        <f t="shared" si="0"/>
        <v>0</v>
      </c>
      <c r="K144" s="463"/>
      <c r="L144" s="464"/>
      <c r="M144" s="465" t="s">
        <v>171</v>
      </c>
      <c r="N144" s="466" t="s">
        <v>185</v>
      </c>
      <c r="O144" s="453">
        <v>0</v>
      </c>
      <c r="P144" s="453">
        <f t="shared" si="1"/>
        <v>0</v>
      </c>
      <c r="Q144" s="453">
        <v>4.0000000000000002E-4</v>
      </c>
      <c r="R144" s="453">
        <f t="shared" si="2"/>
        <v>1.6000000000000001E-3</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1647</v>
      </c>
    </row>
    <row r="145" spans="2:65" s="365" customFormat="1" ht="16.5" customHeight="1" x14ac:dyDescent="0.25">
      <c r="B145" s="364"/>
      <c r="C145" s="445" t="s">
        <v>223</v>
      </c>
      <c r="D145" s="445" t="s">
        <v>218</v>
      </c>
      <c r="E145" s="446" t="s">
        <v>1648</v>
      </c>
      <c r="F145" s="447" t="s">
        <v>1649</v>
      </c>
      <c r="G145" s="448" t="s">
        <v>123</v>
      </c>
      <c r="H145" s="449">
        <v>20</v>
      </c>
      <c r="I145" s="329">
        <v>0</v>
      </c>
      <c r="J145" s="450">
        <f t="shared" si="0"/>
        <v>0</v>
      </c>
      <c r="K145" s="451"/>
      <c r="L145" s="364"/>
      <c r="M145" s="452" t="s">
        <v>171</v>
      </c>
      <c r="N145" s="415" t="s">
        <v>185</v>
      </c>
      <c r="O145" s="453">
        <v>5.5E-2</v>
      </c>
      <c r="P145" s="453">
        <f t="shared" si="1"/>
        <v>1.1000000000000001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1650</v>
      </c>
    </row>
    <row r="146" spans="2:65" s="365" customFormat="1" ht="16.5" customHeight="1" x14ac:dyDescent="0.25">
      <c r="B146" s="364"/>
      <c r="C146" s="457" t="s">
        <v>225</v>
      </c>
      <c r="D146" s="457" t="s">
        <v>259</v>
      </c>
      <c r="E146" s="458" t="s">
        <v>1651</v>
      </c>
      <c r="F146" s="459" t="s">
        <v>1652</v>
      </c>
      <c r="G146" s="460" t="s">
        <v>123</v>
      </c>
      <c r="H146" s="461">
        <v>20</v>
      </c>
      <c r="I146" s="330">
        <v>0</v>
      </c>
      <c r="J146" s="462">
        <f t="shared" si="0"/>
        <v>0</v>
      </c>
      <c r="K146" s="463"/>
      <c r="L146" s="464"/>
      <c r="M146" s="465" t="s">
        <v>171</v>
      </c>
      <c r="N146" s="466" t="s">
        <v>185</v>
      </c>
      <c r="O146" s="453">
        <v>0</v>
      </c>
      <c r="P146" s="453">
        <f t="shared" si="1"/>
        <v>0</v>
      </c>
      <c r="Q146" s="453">
        <v>1.0000000000000001E-5</v>
      </c>
      <c r="R146" s="453">
        <f t="shared" si="2"/>
        <v>2.0000000000000001E-4</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1653</v>
      </c>
    </row>
    <row r="147" spans="2:65" s="365" customFormat="1" ht="16.5" customHeight="1" x14ac:dyDescent="0.25">
      <c r="B147" s="364"/>
      <c r="C147" s="445" t="s">
        <v>226</v>
      </c>
      <c r="D147" s="445" t="s">
        <v>218</v>
      </c>
      <c r="E147" s="446" t="s">
        <v>1654</v>
      </c>
      <c r="F147" s="447" t="s">
        <v>1655</v>
      </c>
      <c r="G147" s="448" t="s">
        <v>123</v>
      </c>
      <c r="H147" s="449">
        <v>4</v>
      </c>
      <c r="I147" s="329">
        <v>0</v>
      </c>
      <c r="J147" s="450">
        <f t="shared" si="0"/>
        <v>0</v>
      </c>
      <c r="K147" s="451"/>
      <c r="L147" s="364"/>
      <c r="M147" s="452" t="s">
        <v>171</v>
      </c>
      <c r="N147" s="415" t="s">
        <v>185</v>
      </c>
      <c r="O147" s="453">
        <v>1.4770000000000001</v>
      </c>
      <c r="P147" s="453">
        <f t="shared" si="1"/>
        <v>5.9080000000000004</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1656</v>
      </c>
    </row>
    <row r="148" spans="2:65" s="365" customFormat="1" ht="16.5" customHeight="1" x14ac:dyDescent="0.25">
      <c r="B148" s="364"/>
      <c r="C148" s="457" t="s">
        <v>227</v>
      </c>
      <c r="D148" s="457" t="s">
        <v>259</v>
      </c>
      <c r="E148" s="458" t="s">
        <v>1657</v>
      </c>
      <c r="F148" s="459" t="s">
        <v>1658</v>
      </c>
      <c r="G148" s="460" t="s">
        <v>123</v>
      </c>
      <c r="H148" s="461">
        <v>4</v>
      </c>
      <c r="I148" s="330">
        <v>0</v>
      </c>
      <c r="J148" s="462">
        <f t="shared" si="0"/>
        <v>0</v>
      </c>
      <c r="K148" s="463"/>
      <c r="L148" s="464"/>
      <c r="M148" s="465" t="s">
        <v>171</v>
      </c>
      <c r="N148" s="466" t="s">
        <v>185</v>
      </c>
      <c r="O148" s="453">
        <v>0</v>
      </c>
      <c r="P148" s="453">
        <f t="shared" si="1"/>
        <v>0</v>
      </c>
      <c r="Q148" s="453">
        <v>8.8999999999999999E-3</v>
      </c>
      <c r="R148" s="453">
        <f t="shared" si="2"/>
        <v>3.56E-2</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1659</v>
      </c>
    </row>
    <row r="149" spans="2:65" s="434" customFormat="1" ht="22.9" customHeight="1" x14ac:dyDescent="0.2">
      <c r="B149" s="433"/>
      <c r="D149" s="435" t="s">
        <v>216</v>
      </c>
      <c r="E149" s="443" t="s">
        <v>115</v>
      </c>
      <c r="F149" s="443" t="s">
        <v>1023</v>
      </c>
      <c r="I149" s="331"/>
      <c r="J149" s="444">
        <f>BK149</f>
        <v>0</v>
      </c>
      <c r="L149" s="433"/>
      <c r="M149" s="438"/>
      <c r="P149" s="439">
        <f>SUM(P150:P151)</f>
        <v>2.83</v>
      </c>
      <c r="R149" s="439">
        <f>SUM(R150:R151)</f>
        <v>1.6E-2</v>
      </c>
      <c r="T149" s="440">
        <f>SUM(T150:T151)</f>
        <v>0</v>
      </c>
      <c r="AR149" s="435" t="s">
        <v>109</v>
      </c>
      <c r="AT149" s="441" t="s">
        <v>216</v>
      </c>
      <c r="AU149" s="441" t="s">
        <v>109</v>
      </c>
      <c r="AY149" s="435" t="s">
        <v>217</v>
      </c>
      <c r="BK149" s="442">
        <f>SUM(BK150:BK151)</f>
        <v>0</v>
      </c>
    </row>
    <row r="150" spans="2:65" s="365" customFormat="1" ht="16.5" customHeight="1" x14ac:dyDescent="0.25">
      <c r="B150" s="364"/>
      <c r="C150" s="445" t="s">
        <v>228</v>
      </c>
      <c r="D150" s="445" t="s">
        <v>218</v>
      </c>
      <c r="E150" s="446" t="s">
        <v>1660</v>
      </c>
      <c r="F150" s="447" t="s">
        <v>1661</v>
      </c>
      <c r="G150" s="448" t="s">
        <v>123</v>
      </c>
      <c r="H150" s="449">
        <v>1</v>
      </c>
      <c r="I150" s="329">
        <v>0</v>
      </c>
      <c r="J150" s="450">
        <f>ROUND(I150*H150,2)</f>
        <v>0</v>
      </c>
      <c r="K150" s="451"/>
      <c r="L150" s="364"/>
      <c r="M150" s="452" t="s">
        <v>171</v>
      </c>
      <c r="N150" s="415" t="s">
        <v>185</v>
      </c>
      <c r="O150" s="453">
        <v>2.83</v>
      </c>
      <c r="P150" s="453">
        <f>O150*H150</f>
        <v>2.83</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1662</v>
      </c>
    </row>
    <row r="151" spans="2:65" s="365" customFormat="1" ht="16.5" customHeight="1" x14ac:dyDescent="0.25">
      <c r="B151" s="364"/>
      <c r="C151" s="457" t="s">
        <v>229</v>
      </c>
      <c r="D151" s="457" t="s">
        <v>259</v>
      </c>
      <c r="E151" s="458" t="s">
        <v>1663</v>
      </c>
      <c r="F151" s="459" t="s">
        <v>1664</v>
      </c>
      <c r="G151" s="460" t="s">
        <v>123</v>
      </c>
      <c r="H151" s="461">
        <v>1</v>
      </c>
      <c r="I151" s="330">
        <v>0</v>
      </c>
      <c r="J151" s="462">
        <f>ROUND(I151*H151,2)</f>
        <v>0</v>
      </c>
      <c r="K151" s="463"/>
      <c r="L151" s="464"/>
      <c r="M151" s="465" t="s">
        <v>171</v>
      </c>
      <c r="N151" s="466" t="s">
        <v>185</v>
      </c>
      <c r="O151" s="453">
        <v>0</v>
      </c>
      <c r="P151" s="453">
        <f>O151*H151</f>
        <v>0</v>
      </c>
      <c r="Q151" s="453">
        <v>1.6E-2</v>
      </c>
      <c r="R151" s="453">
        <f>Q151*H151</f>
        <v>1.6E-2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1665</v>
      </c>
    </row>
    <row r="152" spans="2:65" s="434" customFormat="1" ht="22.9" customHeight="1" x14ac:dyDescent="0.2">
      <c r="B152" s="433"/>
      <c r="D152" s="435" t="s">
        <v>216</v>
      </c>
      <c r="E152" s="443" t="s">
        <v>162</v>
      </c>
      <c r="F152" s="443" t="s">
        <v>633</v>
      </c>
      <c r="I152" s="331"/>
      <c r="J152" s="444">
        <f>BK152</f>
        <v>0</v>
      </c>
      <c r="L152" s="433"/>
      <c r="M152" s="438"/>
      <c r="P152" s="439">
        <f>P153</f>
        <v>0</v>
      </c>
      <c r="R152" s="439">
        <f>R153</f>
        <v>0</v>
      </c>
      <c r="T152" s="440">
        <f>T153</f>
        <v>0</v>
      </c>
      <c r="AR152" s="435" t="s">
        <v>109</v>
      </c>
      <c r="AT152" s="441" t="s">
        <v>216</v>
      </c>
      <c r="AU152" s="441" t="s">
        <v>109</v>
      </c>
      <c r="AY152" s="435" t="s">
        <v>217</v>
      </c>
      <c r="BK152" s="442">
        <f>BK153</f>
        <v>0</v>
      </c>
    </row>
    <row r="153" spans="2:65" s="365" customFormat="1" ht="66.75" customHeight="1" x14ac:dyDescent="0.25">
      <c r="B153" s="364"/>
      <c r="C153" s="445" t="s">
        <v>231</v>
      </c>
      <c r="D153" s="445" t="s">
        <v>218</v>
      </c>
      <c r="E153" s="446" t="s">
        <v>638</v>
      </c>
      <c r="F153" s="447" t="s">
        <v>3128</v>
      </c>
      <c r="G153" s="448" t="s">
        <v>112</v>
      </c>
      <c r="H153" s="449">
        <f>Ponuka!R127</f>
        <v>42.314999999999998</v>
      </c>
      <c r="I153" s="329">
        <v>0</v>
      </c>
      <c r="J153" s="450">
        <f>ROUND(I153*H153,2)</f>
        <v>0</v>
      </c>
      <c r="K153" s="451"/>
      <c r="L153" s="364"/>
      <c r="M153" s="452" t="s">
        <v>171</v>
      </c>
      <c r="N153" s="415" t="s">
        <v>185</v>
      </c>
      <c r="O153" s="453">
        <v>0</v>
      </c>
      <c r="P153" s="453">
        <f>O153*H153</f>
        <v>0</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1666</v>
      </c>
    </row>
    <row r="154" spans="2:65" s="434" customFormat="1" ht="25.9" customHeight="1" x14ac:dyDescent="0.2">
      <c r="B154" s="433"/>
      <c r="D154" s="435" t="s">
        <v>216</v>
      </c>
      <c r="E154" s="436" t="s">
        <v>259</v>
      </c>
      <c r="F154" s="436" t="s">
        <v>1667</v>
      </c>
      <c r="I154" s="331"/>
      <c r="J154" s="437">
        <f>BK154</f>
        <v>0</v>
      </c>
      <c r="L154" s="433"/>
      <c r="M154" s="438"/>
      <c r="P154" s="439">
        <f>P155+P189+P213</f>
        <v>39951.678950000001</v>
      </c>
      <c r="R154" s="439">
        <f>R155+R189+R213</f>
        <v>9.8280799999999999</v>
      </c>
      <c r="T154" s="440">
        <f>T155+T189+T213</f>
        <v>0</v>
      </c>
      <c r="AR154" s="435" t="s">
        <v>119</v>
      </c>
      <c r="AT154" s="441" t="s">
        <v>216</v>
      </c>
      <c r="AU154" s="441" t="s">
        <v>165</v>
      </c>
      <c r="AY154" s="435" t="s">
        <v>217</v>
      </c>
      <c r="BK154" s="442">
        <f>BK155+BK189+BK213</f>
        <v>0</v>
      </c>
    </row>
    <row r="155" spans="2:65" s="434" customFormat="1" ht="22.9" customHeight="1" x14ac:dyDescent="0.2">
      <c r="B155" s="433"/>
      <c r="D155" s="435" t="s">
        <v>216</v>
      </c>
      <c r="E155" s="443" t="s">
        <v>1668</v>
      </c>
      <c r="F155" s="443" t="s">
        <v>1669</v>
      </c>
      <c r="I155" s="331"/>
      <c r="J155" s="444">
        <f>BK155</f>
        <v>0</v>
      </c>
      <c r="L155" s="433"/>
      <c r="M155" s="438"/>
      <c r="P155" s="439">
        <f>SUM(P156:P188)</f>
        <v>39732.925999999999</v>
      </c>
      <c r="R155" s="439">
        <f>SUM(R156:R188)</f>
        <v>1.37635</v>
      </c>
      <c r="T155" s="440">
        <f>SUM(T156:T188)</f>
        <v>0</v>
      </c>
      <c r="AR155" s="435" t="s">
        <v>119</v>
      </c>
      <c r="AT155" s="441" t="s">
        <v>216</v>
      </c>
      <c r="AU155" s="441" t="s">
        <v>109</v>
      </c>
      <c r="AY155" s="435" t="s">
        <v>217</v>
      </c>
      <c r="BK155" s="442">
        <f>SUM(BK156:BK188)</f>
        <v>0</v>
      </c>
    </row>
    <row r="156" spans="2:65" s="365" customFormat="1" ht="33" customHeight="1" x14ac:dyDescent="0.25">
      <c r="B156" s="364"/>
      <c r="C156" s="445" t="s">
        <v>232</v>
      </c>
      <c r="D156" s="445" t="s">
        <v>218</v>
      </c>
      <c r="E156" s="446" t="s">
        <v>1670</v>
      </c>
      <c r="F156" s="447" t="s">
        <v>1671</v>
      </c>
      <c r="G156" s="448" t="s">
        <v>113</v>
      </c>
      <c r="H156" s="449">
        <v>160</v>
      </c>
      <c r="I156" s="329">
        <v>0</v>
      </c>
      <c r="J156" s="450">
        <f t="shared" ref="J156:J188" si="10">ROUND(I156*H156,2)</f>
        <v>0</v>
      </c>
      <c r="K156" s="451"/>
      <c r="L156" s="364"/>
      <c r="M156" s="452" t="s">
        <v>171</v>
      </c>
      <c r="N156" s="415" t="s">
        <v>185</v>
      </c>
      <c r="O156" s="453">
        <v>8.4000000000000005E-2</v>
      </c>
      <c r="P156" s="453">
        <f t="shared" ref="P156:P188" si="11">O156*H156</f>
        <v>13.440000000000001</v>
      </c>
      <c r="Q156" s="453">
        <v>0</v>
      </c>
      <c r="R156" s="453">
        <f t="shared" ref="R156:R188" si="12">Q156*H156</f>
        <v>0</v>
      </c>
      <c r="S156" s="453">
        <v>0</v>
      </c>
      <c r="T156" s="454">
        <f t="shared" ref="T156:T188" si="13">S156*H156</f>
        <v>0</v>
      </c>
      <c r="AR156" s="455" t="s">
        <v>625</v>
      </c>
      <c r="AT156" s="455" t="s">
        <v>218</v>
      </c>
      <c r="AU156" s="455" t="s">
        <v>108</v>
      </c>
      <c r="AY156" s="357" t="s">
        <v>217</v>
      </c>
      <c r="BE156" s="456">
        <f t="shared" ref="BE156:BE188" si="14">IF(N156="základná",J156,0)</f>
        <v>0</v>
      </c>
      <c r="BF156" s="456">
        <f t="shared" ref="BF156:BF188" si="15">IF(N156="znížená",J156,0)</f>
        <v>0</v>
      </c>
      <c r="BG156" s="456">
        <f t="shared" ref="BG156:BG188" si="16">IF(N156="zákl. prenesená",J156,0)</f>
        <v>0</v>
      </c>
      <c r="BH156" s="456">
        <f t="shared" ref="BH156:BH188" si="17">IF(N156="zníž. prenesená",J156,0)</f>
        <v>0</v>
      </c>
      <c r="BI156" s="456">
        <f t="shared" ref="BI156:BI188" si="18">IF(N156="nulová",J156,0)</f>
        <v>0</v>
      </c>
      <c r="BJ156" s="357" t="s">
        <v>108</v>
      </c>
      <c r="BK156" s="456">
        <f t="shared" ref="BK156:BK188" si="19">ROUND(I156*H156,2)</f>
        <v>0</v>
      </c>
      <c r="BL156" s="357" t="s">
        <v>625</v>
      </c>
      <c r="BM156" s="455" t="s">
        <v>1672</v>
      </c>
    </row>
    <row r="157" spans="2:65" s="365" customFormat="1" ht="21.75" customHeight="1" x14ac:dyDescent="0.25">
      <c r="B157" s="364"/>
      <c r="C157" s="457" t="s">
        <v>234</v>
      </c>
      <c r="D157" s="457" t="s">
        <v>259</v>
      </c>
      <c r="E157" s="458" t="s">
        <v>1673</v>
      </c>
      <c r="F157" s="459" t="s">
        <v>1674</v>
      </c>
      <c r="G157" s="460" t="s">
        <v>113</v>
      </c>
      <c r="H157" s="461">
        <v>160</v>
      </c>
      <c r="I157" s="330">
        <v>0</v>
      </c>
      <c r="J157" s="462">
        <f t="shared" si="10"/>
        <v>0</v>
      </c>
      <c r="K157" s="463"/>
      <c r="L157" s="464"/>
      <c r="M157" s="465" t="s">
        <v>171</v>
      </c>
      <c r="N157" s="466" t="s">
        <v>185</v>
      </c>
      <c r="O157" s="453">
        <v>0</v>
      </c>
      <c r="P157" s="453">
        <f t="shared" si="11"/>
        <v>0</v>
      </c>
      <c r="Q157" s="453">
        <v>2.4000000000000001E-4</v>
      </c>
      <c r="R157" s="453">
        <f t="shared" si="12"/>
        <v>3.8400000000000004E-2</v>
      </c>
      <c r="S157" s="453">
        <v>0</v>
      </c>
      <c r="T157" s="454">
        <f t="shared" si="13"/>
        <v>0</v>
      </c>
      <c r="AR157" s="455" t="s">
        <v>1631</v>
      </c>
      <c r="AT157" s="455" t="s">
        <v>259</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1631</v>
      </c>
      <c r="BM157" s="455" t="s">
        <v>1675</v>
      </c>
    </row>
    <row r="158" spans="2:65" s="365" customFormat="1" ht="33" customHeight="1" x14ac:dyDescent="0.25">
      <c r="B158" s="364"/>
      <c r="C158" s="445" t="s">
        <v>235</v>
      </c>
      <c r="D158" s="445" t="s">
        <v>218</v>
      </c>
      <c r="E158" s="446" t="s">
        <v>1676</v>
      </c>
      <c r="F158" s="447" t="s">
        <v>1677</v>
      </c>
      <c r="G158" s="448" t="s">
        <v>113</v>
      </c>
      <c r="H158" s="449">
        <v>440</v>
      </c>
      <c r="I158" s="329">
        <v>0</v>
      </c>
      <c r="J158" s="450">
        <f t="shared" si="10"/>
        <v>0</v>
      </c>
      <c r="K158" s="451"/>
      <c r="L158" s="364"/>
      <c r="M158" s="452" t="s">
        <v>171</v>
      </c>
      <c r="N158" s="415" t="s">
        <v>185</v>
      </c>
      <c r="O158" s="453">
        <v>0.13900000000000001</v>
      </c>
      <c r="P158" s="453">
        <f t="shared" si="11"/>
        <v>61.160000000000004</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1678</v>
      </c>
    </row>
    <row r="159" spans="2:65" s="365" customFormat="1" ht="21.75" customHeight="1" x14ac:dyDescent="0.25">
      <c r="B159" s="364"/>
      <c r="C159" s="457" t="s">
        <v>236</v>
      </c>
      <c r="D159" s="457" t="s">
        <v>259</v>
      </c>
      <c r="E159" s="458" t="s">
        <v>1679</v>
      </c>
      <c r="F159" s="459" t="s">
        <v>1680</v>
      </c>
      <c r="G159" s="460" t="s">
        <v>113</v>
      </c>
      <c r="H159" s="461">
        <v>440</v>
      </c>
      <c r="I159" s="330">
        <v>0</v>
      </c>
      <c r="J159" s="462">
        <f t="shared" si="10"/>
        <v>0</v>
      </c>
      <c r="K159" s="463"/>
      <c r="L159" s="464"/>
      <c r="M159" s="465" t="s">
        <v>171</v>
      </c>
      <c r="N159" s="466" t="s">
        <v>185</v>
      </c>
      <c r="O159" s="453">
        <v>0</v>
      </c>
      <c r="P159" s="453">
        <f t="shared" si="11"/>
        <v>0</v>
      </c>
      <c r="Q159" s="453">
        <v>1.57E-3</v>
      </c>
      <c r="R159" s="453">
        <f t="shared" si="12"/>
        <v>0.69079999999999997</v>
      </c>
      <c r="S159" s="453">
        <v>0</v>
      </c>
      <c r="T159" s="454">
        <f t="shared" si="13"/>
        <v>0</v>
      </c>
      <c r="AR159" s="455" t="s">
        <v>1631</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1631</v>
      </c>
      <c r="BM159" s="455" t="s">
        <v>1681</v>
      </c>
    </row>
    <row r="160" spans="2:65" s="365" customFormat="1" ht="33" customHeight="1" x14ac:dyDescent="0.25">
      <c r="B160" s="364"/>
      <c r="C160" s="445" t="s">
        <v>237</v>
      </c>
      <c r="D160" s="445" t="s">
        <v>218</v>
      </c>
      <c r="E160" s="446" t="s">
        <v>1682</v>
      </c>
      <c r="F160" s="447" t="s">
        <v>1683</v>
      </c>
      <c r="G160" s="448" t="s">
        <v>123</v>
      </c>
      <c r="H160" s="449">
        <v>2</v>
      </c>
      <c r="I160" s="329">
        <v>0</v>
      </c>
      <c r="J160" s="450">
        <f t="shared" si="10"/>
        <v>0</v>
      </c>
      <c r="K160" s="451"/>
      <c r="L160" s="364"/>
      <c r="M160" s="452" t="s">
        <v>171</v>
      </c>
      <c r="N160" s="415" t="s">
        <v>185</v>
      </c>
      <c r="O160" s="453">
        <v>4.6239999999999997</v>
      </c>
      <c r="P160" s="453">
        <f t="shared" si="11"/>
        <v>9.2479999999999993</v>
      </c>
      <c r="Q160" s="453">
        <v>0</v>
      </c>
      <c r="R160" s="453">
        <f t="shared" si="12"/>
        <v>0</v>
      </c>
      <c r="S160" s="453">
        <v>0</v>
      </c>
      <c r="T160" s="454">
        <f t="shared" si="13"/>
        <v>0</v>
      </c>
      <c r="AR160" s="455" t="s">
        <v>625</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625</v>
      </c>
      <c r="BM160" s="455" t="s">
        <v>1684</v>
      </c>
    </row>
    <row r="161" spans="2:65" s="365" customFormat="1" ht="16.5" customHeight="1" x14ac:dyDescent="0.25">
      <c r="B161" s="364"/>
      <c r="C161" s="457" t="s">
        <v>238</v>
      </c>
      <c r="D161" s="457" t="s">
        <v>259</v>
      </c>
      <c r="E161" s="458" t="s">
        <v>1685</v>
      </c>
      <c r="F161" s="459" t="s">
        <v>1686</v>
      </c>
      <c r="G161" s="460" t="s">
        <v>123</v>
      </c>
      <c r="H161" s="461">
        <v>2</v>
      </c>
      <c r="I161" s="330">
        <v>0</v>
      </c>
      <c r="J161" s="462">
        <f t="shared" si="10"/>
        <v>0</v>
      </c>
      <c r="K161" s="463"/>
      <c r="L161" s="464"/>
      <c r="M161" s="465" t="s">
        <v>171</v>
      </c>
      <c r="N161" s="466" t="s">
        <v>185</v>
      </c>
      <c r="O161" s="453">
        <v>0</v>
      </c>
      <c r="P161" s="453">
        <f t="shared" si="11"/>
        <v>0</v>
      </c>
      <c r="Q161" s="453">
        <v>0</v>
      </c>
      <c r="R161" s="453">
        <f t="shared" si="12"/>
        <v>0</v>
      </c>
      <c r="S161" s="453">
        <v>0</v>
      </c>
      <c r="T161" s="454">
        <f t="shared" si="13"/>
        <v>0</v>
      </c>
      <c r="AR161" s="455" t="s">
        <v>1631</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1631</v>
      </c>
      <c r="BM161" s="455" t="s">
        <v>1687</v>
      </c>
    </row>
    <row r="162" spans="2:65" s="365" customFormat="1" ht="33" customHeight="1" x14ac:dyDescent="0.25">
      <c r="B162" s="364"/>
      <c r="C162" s="445" t="s">
        <v>239</v>
      </c>
      <c r="D162" s="445" t="s">
        <v>218</v>
      </c>
      <c r="E162" s="446" t="s">
        <v>1688</v>
      </c>
      <c r="F162" s="447" t="s">
        <v>1689</v>
      </c>
      <c r="G162" s="448" t="s">
        <v>123</v>
      </c>
      <c r="H162" s="449">
        <v>4</v>
      </c>
      <c r="I162" s="329">
        <v>0</v>
      </c>
      <c r="J162" s="450">
        <f t="shared" si="10"/>
        <v>0</v>
      </c>
      <c r="K162" s="451"/>
      <c r="L162" s="364"/>
      <c r="M162" s="452" t="s">
        <v>171</v>
      </c>
      <c r="N162" s="415" t="s">
        <v>185</v>
      </c>
      <c r="O162" s="453">
        <v>10.62</v>
      </c>
      <c r="P162" s="453">
        <f t="shared" si="11"/>
        <v>42.48</v>
      </c>
      <c r="Q162" s="453">
        <v>0</v>
      </c>
      <c r="R162" s="453">
        <f t="shared" si="12"/>
        <v>0</v>
      </c>
      <c r="S162" s="453">
        <v>0</v>
      </c>
      <c r="T162" s="454">
        <f t="shared" si="13"/>
        <v>0</v>
      </c>
      <c r="AR162" s="455" t="s">
        <v>625</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625</v>
      </c>
      <c r="BM162" s="455" t="s">
        <v>1690</v>
      </c>
    </row>
    <row r="163" spans="2:65" s="365" customFormat="1" ht="16.5" customHeight="1" x14ac:dyDescent="0.25">
      <c r="B163" s="364"/>
      <c r="C163" s="457" t="s">
        <v>240</v>
      </c>
      <c r="D163" s="457" t="s">
        <v>259</v>
      </c>
      <c r="E163" s="458" t="s">
        <v>1691</v>
      </c>
      <c r="F163" s="459" t="s">
        <v>1692</v>
      </c>
      <c r="G163" s="460" t="s">
        <v>123</v>
      </c>
      <c r="H163" s="461">
        <v>4</v>
      </c>
      <c r="I163" s="330">
        <v>0</v>
      </c>
      <c r="J163" s="462">
        <f t="shared" si="10"/>
        <v>0</v>
      </c>
      <c r="K163" s="463"/>
      <c r="L163" s="464"/>
      <c r="M163" s="465" t="s">
        <v>171</v>
      </c>
      <c r="N163" s="466" t="s">
        <v>185</v>
      </c>
      <c r="O163" s="453">
        <v>0</v>
      </c>
      <c r="P163" s="453">
        <f t="shared" si="11"/>
        <v>0</v>
      </c>
      <c r="Q163" s="453">
        <v>0</v>
      </c>
      <c r="R163" s="453">
        <f t="shared" si="12"/>
        <v>0</v>
      </c>
      <c r="S163" s="453">
        <v>0</v>
      </c>
      <c r="T163" s="454">
        <f t="shared" si="13"/>
        <v>0</v>
      </c>
      <c r="AR163" s="455" t="s">
        <v>1631</v>
      </c>
      <c r="AT163" s="455" t="s">
        <v>259</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1631</v>
      </c>
      <c r="BM163" s="455" t="s">
        <v>1693</v>
      </c>
    </row>
    <row r="164" spans="2:65" s="365" customFormat="1" ht="24.2" customHeight="1" x14ac:dyDescent="0.25">
      <c r="B164" s="364"/>
      <c r="C164" s="445" t="s">
        <v>241</v>
      </c>
      <c r="D164" s="445" t="s">
        <v>218</v>
      </c>
      <c r="E164" s="446" t="s">
        <v>1694</v>
      </c>
      <c r="F164" s="447" t="s">
        <v>1695</v>
      </c>
      <c r="G164" s="448" t="s">
        <v>123</v>
      </c>
      <c r="H164" s="449">
        <v>12.4</v>
      </c>
      <c r="I164" s="329">
        <v>0</v>
      </c>
      <c r="J164" s="450">
        <f t="shared" si="10"/>
        <v>0</v>
      </c>
      <c r="K164" s="451"/>
      <c r="L164" s="364"/>
      <c r="M164" s="452" t="s">
        <v>171</v>
      </c>
      <c r="N164" s="415" t="s">
        <v>185</v>
      </c>
      <c r="O164" s="453">
        <v>1.4750000000000001</v>
      </c>
      <c r="P164" s="453">
        <f t="shared" si="11"/>
        <v>18.290000000000003</v>
      </c>
      <c r="Q164" s="453">
        <v>0</v>
      </c>
      <c r="R164" s="453">
        <f t="shared" si="12"/>
        <v>0</v>
      </c>
      <c r="S164" s="453">
        <v>0</v>
      </c>
      <c r="T164" s="454">
        <f t="shared" si="13"/>
        <v>0</v>
      </c>
      <c r="AR164" s="455" t="s">
        <v>625</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625</v>
      </c>
      <c r="BM164" s="455" t="s">
        <v>1696</v>
      </c>
    </row>
    <row r="165" spans="2:65" s="365" customFormat="1" ht="33" customHeight="1" x14ac:dyDescent="0.25">
      <c r="B165" s="364"/>
      <c r="C165" s="445" t="s">
        <v>242</v>
      </c>
      <c r="D165" s="445" t="s">
        <v>218</v>
      </c>
      <c r="E165" s="446" t="s">
        <v>1697</v>
      </c>
      <c r="F165" s="447" t="s">
        <v>1698</v>
      </c>
      <c r="G165" s="448" t="s">
        <v>1699</v>
      </c>
      <c r="H165" s="449">
        <v>640</v>
      </c>
      <c r="I165" s="329">
        <v>0</v>
      </c>
      <c r="J165" s="450">
        <f t="shared" si="10"/>
        <v>0</v>
      </c>
      <c r="K165" s="451"/>
      <c r="L165" s="364"/>
      <c r="M165" s="452" t="s">
        <v>171</v>
      </c>
      <c r="N165" s="415" t="s">
        <v>185</v>
      </c>
      <c r="O165" s="453">
        <v>0.26600000000000001</v>
      </c>
      <c r="P165" s="453">
        <f t="shared" si="11"/>
        <v>170.24</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1700</v>
      </c>
    </row>
    <row r="166" spans="2:65" s="365" customFormat="1" ht="24.2" customHeight="1" x14ac:dyDescent="0.25">
      <c r="B166" s="364"/>
      <c r="C166" s="445" t="s">
        <v>243</v>
      </c>
      <c r="D166" s="445" t="s">
        <v>218</v>
      </c>
      <c r="E166" s="446" t="s">
        <v>1701</v>
      </c>
      <c r="F166" s="447" t="s">
        <v>1702</v>
      </c>
      <c r="G166" s="448" t="s">
        <v>123</v>
      </c>
      <c r="H166" s="449">
        <v>1</v>
      </c>
      <c r="I166" s="329">
        <v>0</v>
      </c>
      <c r="J166" s="450">
        <f t="shared" si="10"/>
        <v>0</v>
      </c>
      <c r="K166" s="451"/>
      <c r="L166" s="364"/>
      <c r="M166" s="452" t="s">
        <v>171</v>
      </c>
      <c r="N166" s="415" t="s">
        <v>185</v>
      </c>
      <c r="O166" s="453">
        <v>15.872</v>
      </c>
      <c r="P166" s="453">
        <f t="shared" si="11"/>
        <v>15.872</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1703</v>
      </c>
    </row>
    <row r="167" spans="2:65" s="365" customFormat="1" ht="16.5" customHeight="1" x14ac:dyDescent="0.25">
      <c r="B167" s="364"/>
      <c r="C167" s="457" t="s">
        <v>244</v>
      </c>
      <c r="D167" s="457" t="s">
        <v>259</v>
      </c>
      <c r="E167" s="458" t="s">
        <v>1704</v>
      </c>
      <c r="F167" s="459" t="s">
        <v>1705</v>
      </c>
      <c r="G167" s="460" t="s">
        <v>123</v>
      </c>
      <c r="H167" s="461">
        <v>1</v>
      </c>
      <c r="I167" s="330">
        <v>0</v>
      </c>
      <c r="J167" s="462">
        <f t="shared" si="10"/>
        <v>0</v>
      </c>
      <c r="K167" s="463"/>
      <c r="L167" s="464"/>
      <c r="M167" s="465" t="s">
        <v>171</v>
      </c>
      <c r="N167" s="466" t="s">
        <v>185</v>
      </c>
      <c r="O167" s="453">
        <v>0</v>
      </c>
      <c r="P167" s="453">
        <f t="shared" si="11"/>
        <v>0</v>
      </c>
      <c r="Q167" s="453">
        <v>0</v>
      </c>
      <c r="R167" s="453">
        <f t="shared" si="12"/>
        <v>0</v>
      </c>
      <c r="S167" s="453">
        <v>0</v>
      </c>
      <c r="T167" s="454">
        <f t="shared" si="13"/>
        <v>0</v>
      </c>
      <c r="AR167" s="455" t="s">
        <v>1631</v>
      </c>
      <c r="AT167" s="455" t="s">
        <v>259</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1631</v>
      </c>
      <c r="BM167" s="455" t="s">
        <v>1706</v>
      </c>
    </row>
    <row r="168" spans="2:65" s="365" customFormat="1" ht="16.5" customHeight="1" x14ac:dyDescent="0.25">
      <c r="B168" s="364"/>
      <c r="C168" s="457" t="s">
        <v>245</v>
      </c>
      <c r="D168" s="457" t="s">
        <v>259</v>
      </c>
      <c r="E168" s="458" t="s">
        <v>1707</v>
      </c>
      <c r="F168" s="459" t="s">
        <v>1708</v>
      </c>
      <c r="G168" s="460" t="s">
        <v>123</v>
      </c>
      <c r="H168" s="461">
        <v>1</v>
      </c>
      <c r="I168" s="330">
        <v>0</v>
      </c>
      <c r="J168" s="462">
        <f t="shared" si="10"/>
        <v>0</v>
      </c>
      <c r="K168" s="463"/>
      <c r="L168" s="464"/>
      <c r="M168" s="465" t="s">
        <v>171</v>
      </c>
      <c r="N168" s="466" t="s">
        <v>185</v>
      </c>
      <c r="O168" s="453">
        <v>0</v>
      </c>
      <c r="P168" s="453">
        <f t="shared" si="11"/>
        <v>0</v>
      </c>
      <c r="Q168" s="453">
        <v>0</v>
      </c>
      <c r="R168" s="453">
        <f t="shared" si="12"/>
        <v>0</v>
      </c>
      <c r="S168" s="453">
        <v>0</v>
      </c>
      <c r="T168" s="454">
        <f t="shared" si="13"/>
        <v>0</v>
      </c>
      <c r="AR168" s="455" t="s">
        <v>1631</v>
      </c>
      <c r="AT168" s="455" t="s">
        <v>259</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1631</v>
      </c>
      <c r="BM168" s="455" t="s">
        <v>1709</v>
      </c>
    </row>
    <row r="169" spans="2:65" s="365" customFormat="1" ht="24.2" customHeight="1" x14ac:dyDescent="0.25">
      <c r="B169" s="364"/>
      <c r="C169" s="445" t="s">
        <v>246</v>
      </c>
      <c r="D169" s="445" t="s">
        <v>218</v>
      </c>
      <c r="E169" s="446" t="s">
        <v>1710</v>
      </c>
      <c r="F169" s="447" t="s">
        <v>1711</v>
      </c>
      <c r="G169" s="448" t="s">
        <v>123</v>
      </c>
      <c r="H169" s="449">
        <v>1</v>
      </c>
      <c r="I169" s="329">
        <v>0</v>
      </c>
      <c r="J169" s="450">
        <f t="shared" si="10"/>
        <v>0</v>
      </c>
      <c r="K169" s="451"/>
      <c r="L169" s="364"/>
      <c r="M169" s="452" t="s">
        <v>171</v>
      </c>
      <c r="N169" s="415" t="s">
        <v>185</v>
      </c>
      <c r="O169" s="453">
        <v>2.44</v>
      </c>
      <c r="P169" s="453">
        <f t="shared" si="11"/>
        <v>2.44</v>
      </c>
      <c r="Q169" s="453">
        <v>0</v>
      </c>
      <c r="R169" s="453">
        <f t="shared" si="12"/>
        <v>0</v>
      </c>
      <c r="S169" s="453">
        <v>0</v>
      </c>
      <c r="T169" s="454">
        <f t="shared" si="13"/>
        <v>0</v>
      </c>
      <c r="AR169" s="455" t="s">
        <v>625</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625</v>
      </c>
      <c r="BM169" s="455" t="s">
        <v>1712</v>
      </c>
    </row>
    <row r="170" spans="2:65" s="365" customFormat="1" ht="16.5" customHeight="1" x14ac:dyDescent="0.25">
      <c r="B170" s="364"/>
      <c r="C170" s="457" t="s">
        <v>247</v>
      </c>
      <c r="D170" s="457" t="s">
        <v>259</v>
      </c>
      <c r="E170" s="458" t="s">
        <v>1713</v>
      </c>
      <c r="F170" s="459" t="s">
        <v>1714</v>
      </c>
      <c r="G170" s="460" t="s">
        <v>123</v>
      </c>
      <c r="H170" s="461">
        <v>1</v>
      </c>
      <c r="I170" s="330">
        <v>0</v>
      </c>
      <c r="J170" s="462">
        <f t="shared" si="10"/>
        <v>0</v>
      </c>
      <c r="K170" s="463"/>
      <c r="L170" s="464"/>
      <c r="M170" s="465" t="s">
        <v>171</v>
      </c>
      <c r="N170" s="466" t="s">
        <v>185</v>
      </c>
      <c r="O170" s="453">
        <v>0</v>
      </c>
      <c r="P170" s="453">
        <f t="shared" si="11"/>
        <v>0</v>
      </c>
      <c r="Q170" s="453">
        <v>5.7800000000000004E-3</v>
      </c>
      <c r="R170" s="453">
        <f t="shared" si="12"/>
        <v>5.7800000000000004E-3</v>
      </c>
      <c r="S170" s="453">
        <v>0</v>
      </c>
      <c r="T170" s="454">
        <f t="shared" si="13"/>
        <v>0</v>
      </c>
      <c r="AR170" s="455" t="s">
        <v>1631</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1631</v>
      </c>
      <c r="BM170" s="455" t="s">
        <v>1715</v>
      </c>
    </row>
    <row r="171" spans="2:65" s="365" customFormat="1" ht="21.75" customHeight="1" x14ac:dyDescent="0.25">
      <c r="B171" s="364"/>
      <c r="C171" s="445" t="s">
        <v>248</v>
      </c>
      <c r="D171" s="445" t="s">
        <v>218</v>
      </c>
      <c r="E171" s="446" t="s">
        <v>1716</v>
      </c>
      <c r="F171" s="447" t="s">
        <v>1717</v>
      </c>
      <c r="G171" s="448" t="s">
        <v>113</v>
      </c>
      <c r="H171" s="449">
        <v>3</v>
      </c>
      <c r="I171" s="329">
        <v>0</v>
      </c>
      <c r="J171" s="450">
        <f t="shared" si="10"/>
        <v>0</v>
      </c>
      <c r="K171" s="451"/>
      <c r="L171" s="364"/>
      <c r="M171" s="452" t="s">
        <v>171</v>
      </c>
      <c r="N171" s="415" t="s">
        <v>185</v>
      </c>
      <c r="O171" s="453">
        <v>0.79900000000000004</v>
      </c>
      <c r="P171" s="453">
        <f t="shared" si="11"/>
        <v>2.3970000000000002</v>
      </c>
      <c r="Q171" s="453">
        <v>0</v>
      </c>
      <c r="R171" s="453">
        <f t="shared" si="12"/>
        <v>0</v>
      </c>
      <c r="S171" s="453">
        <v>0</v>
      </c>
      <c r="T171" s="454">
        <f t="shared" si="13"/>
        <v>0</v>
      </c>
      <c r="AR171" s="455" t="s">
        <v>625</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625</v>
      </c>
      <c r="BM171" s="455" t="s">
        <v>1718</v>
      </c>
    </row>
    <row r="172" spans="2:65" s="365" customFormat="1" ht="16.5" customHeight="1" x14ac:dyDescent="0.25">
      <c r="B172" s="364"/>
      <c r="C172" s="457" t="s">
        <v>249</v>
      </c>
      <c r="D172" s="457" t="s">
        <v>259</v>
      </c>
      <c r="E172" s="458" t="s">
        <v>1719</v>
      </c>
      <c r="F172" s="459" t="s">
        <v>1720</v>
      </c>
      <c r="G172" s="460" t="s">
        <v>113</v>
      </c>
      <c r="H172" s="461">
        <v>3</v>
      </c>
      <c r="I172" s="330">
        <v>0</v>
      </c>
      <c r="J172" s="462">
        <f t="shared" si="10"/>
        <v>0</v>
      </c>
      <c r="K172" s="463"/>
      <c r="L172" s="464"/>
      <c r="M172" s="465" t="s">
        <v>171</v>
      </c>
      <c r="N172" s="466" t="s">
        <v>185</v>
      </c>
      <c r="O172" s="453">
        <v>0</v>
      </c>
      <c r="P172" s="453">
        <f t="shared" si="11"/>
        <v>0</v>
      </c>
      <c r="Q172" s="453">
        <v>1.1E-4</v>
      </c>
      <c r="R172" s="453">
        <f t="shared" si="12"/>
        <v>3.3E-4</v>
      </c>
      <c r="S172" s="453">
        <v>0</v>
      </c>
      <c r="T172" s="454">
        <f t="shared" si="13"/>
        <v>0</v>
      </c>
      <c r="AR172" s="455" t="s">
        <v>1631</v>
      </c>
      <c r="AT172" s="455" t="s">
        <v>259</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1631</v>
      </c>
      <c r="BM172" s="455" t="s">
        <v>1721</v>
      </c>
    </row>
    <row r="173" spans="2:65" s="365" customFormat="1" ht="24.2" customHeight="1" x14ac:dyDescent="0.25">
      <c r="B173" s="364"/>
      <c r="C173" s="445" t="s">
        <v>250</v>
      </c>
      <c r="D173" s="445" t="s">
        <v>218</v>
      </c>
      <c r="E173" s="446" t="s">
        <v>1722</v>
      </c>
      <c r="F173" s="447" t="s">
        <v>1723</v>
      </c>
      <c r="G173" s="448" t="s">
        <v>123</v>
      </c>
      <c r="H173" s="449">
        <v>1</v>
      </c>
      <c r="I173" s="329">
        <v>0</v>
      </c>
      <c r="J173" s="450">
        <f t="shared" si="10"/>
        <v>0</v>
      </c>
      <c r="K173" s="451"/>
      <c r="L173" s="364"/>
      <c r="M173" s="452" t="s">
        <v>171</v>
      </c>
      <c r="N173" s="415" t="s">
        <v>185</v>
      </c>
      <c r="O173" s="453">
        <v>0.54200000000000004</v>
      </c>
      <c r="P173" s="453">
        <f t="shared" si="11"/>
        <v>0.54200000000000004</v>
      </c>
      <c r="Q173" s="453">
        <v>0</v>
      </c>
      <c r="R173" s="453">
        <f t="shared" si="12"/>
        <v>0</v>
      </c>
      <c r="S173" s="453">
        <v>0</v>
      </c>
      <c r="T173" s="454">
        <f t="shared" si="13"/>
        <v>0</v>
      </c>
      <c r="AR173" s="455" t="s">
        <v>625</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625</v>
      </c>
      <c r="BM173" s="455" t="s">
        <v>1724</v>
      </c>
    </row>
    <row r="174" spans="2:65" s="365" customFormat="1" ht="33" customHeight="1" x14ac:dyDescent="0.25">
      <c r="B174" s="364"/>
      <c r="C174" s="445" t="s">
        <v>251</v>
      </c>
      <c r="D174" s="445" t="s">
        <v>218</v>
      </c>
      <c r="E174" s="446" t="s">
        <v>1725</v>
      </c>
      <c r="F174" s="447" t="s">
        <v>1726</v>
      </c>
      <c r="G174" s="448" t="s">
        <v>113</v>
      </c>
      <c r="H174" s="449">
        <v>140</v>
      </c>
      <c r="I174" s="329">
        <v>0</v>
      </c>
      <c r="J174" s="450">
        <f t="shared" si="10"/>
        <v>0</v>
      </c>
      <c r="K174" s="451"/>
      <c r="L174" s="364"/>
      <c r="M174" s="452" t="s">
        <v>171</v>
      </c>
      <c r="N174" s="415" t="s">
        <v>185</v>
      </c>
      <c r="O174" s="453">
        <v>3.15E-2</v>
      </c>
      <c r="P174" s="453">
        <f t="shared" si="11"/>
        <v>4.41</v>
      </c>
      <c r="Q174" s="453">
        <v>0</v>
      </c>
      <c r="R174" s="453">
        <f t="shared" si="12"/>
        <v>0</v>
      </c>
      <c r="S174" s="453">
        <v>0</v>
      </c>
      <c r="T174" s="454">
        <f t="shared" si="13"/>
        <v>0</v>
      </c>
      <c r="AR174" s="455" t="s">
        <v>625</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625</v>
      </c>
      <c r="BM174" s="455" t="s">
        <v>1727</v>
      </c>
    </row>
    <row r="175" spans="2:65" s="365" customFormat="1" ht="37.9" customHeight="1" x14ac:dyDescent="0.25">
      <c r="B175" s="364"/>
      <c r="C175" s="445" t="s">
        <v>252</v>
      </c>
      <c r="D175" s="445" t="s">
        <v>218</v>
      </c>
      <c r="E175" s="446" t="s">
        <v>1728</v>
      </c>
      <c r="F175" s="447" t="s">
        <v>1729</v>
      </c>
      <c r="G175" s="448" t="s">
        <v>123</v>
      </c>
      <c r="H175" s="449">
        <v>2</v>
      </c>
      <c r="I175" s="329">
        <v>0</v>
      </c>
      <c r="J175" s="450">
        <f t="shared" si="10"/>
        <v>0</v>
      </c>
      <c r="K175" s="451"/>
      <c r="L175" s="364"/>
      <c r="M175" s="452" t="s">
        <v>171</v>
      </c>
      <c r="N175" s="415" t="s">
        <v>185</v>
      </c>
      <c r="O175" s="453">
        <v>0.71750000000000003</v>
      </c>
      <c r="P175" s="453">
        <f t="shared" si="11"/>
        <v>1.4350000000000001</v>
      </c>
      <c r="Q175" s="453">
        <v>0</v>
      </c>
      <c r="R175" s="453">
        <f t="shared" si="12"/>
        <v>0</v>
      </c>
      <c r="S175" s="453">
        <v>0</v>
      </c>
      <c r="T175" s="454">
        <f t="shared" si="13"/>
        <v>0</v>
      </c>
      <c r="AR175" s="455" t="s">
        <v>625</v>
      </c>
      <c r="AT175" s="455" t="s">
        <v>218</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625</v>
      </c>
      <c r="BM175" s="455" t="s">
        <v>1730</v>
      </c>
    </row>
    <row r="176" spans="2:65" s="365" customFormat="1" ht="24.2" customHeight="1" x14ac:dyDescent="0.25">
      <c r="B176" s="364"/>
      <c r="C176" s="445" t="s">
        <v>253</v>
      </c>
      <c r="D176" s="445" t="s">
        <v>218</v>
      </c>
      <c r="E176" s="446" t="s">
        <v>1731</v>
      </c>
      <c r="F176" s="447" t="s">
        <v>1732</v>
      </c>
      <c r="G176" s="448" t="s">
        <v>123</v>
      </c>
      <c r="H176" s="449">
        <v>1</v>
      </c>
      <c r="I176" s="329">
        <v>0</v>
      </c>
      <c r="J176" s="450">
        <f t="shared" si="10"/>
        <v>0</v>
      </c>
      <c r="K176" s="451"/>
      <c r="L176" s="364"/>
      <c r="M176" s="452" t="s">
        <v>171</v>
      </c>
      <c r="N176" s="415" t="s">
        <v>185</v>
      </c>
      <c r="O176" s="453">
        <v>1.69</v>
      </c>
      <c r="P176" s="453">
        <f t="shared" si="11"/>
        <v>1.69</v>
      </c>
      <c r="Q176" s="453">
        <v>0</v>
      </c>
      <c r="R176" s="453">
        <f t="shared" si="12"/>
        <v>0</v>
      </c>
      <c r="S176" s="453">
        <v>0</v>
      </c>
      <c r="T176" s="454">
        <f t="shared" si="13"/>
        <v>0</v>
      </c>
      <c r="AR176" s="455" t="s">
        <v>625</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625</v>
      </c>
      <c r="BM176" s="455" t="s">
        <v>1733</v>
      </c>
    </row>
    <row r="177" spans="2:65" s="365" customFormat="1" ht="24.2" customHeight="1" x14ac:dyDescent="0.25">
      <c r="B177" s="364"/>
      <c r="C177" s="445" t="s">
        <v>254</v>
      </c>
      <c r="D177" s="445" t="s">
        <v>218</v>
      </c>
      <c r="E177" s="446" t="s">
        <v>1734</v>
      </c>
      <c r="F177" s="447" t="s">
        <v>1735</v>
      </c>
      <c r="G177" s="448" t="s">
        <v>123</v>
      </c>
      <c r="H177" s="449">
        <v>2</v>
      </c>
      <c r="I177" s="329">
        <v>0</v>
      </c>
      <c r="J177" s="450">
        <f t="shared" si="10"/>
        <v>0</v>
      </c>
      <c r="K177" s="451"/>
      <c r="L177" s="364"/>
      <c r="M177" s="452" t="s">
        <v>171</v>
      </c>
      <c r="N177" s="415" t="s">
        <v>185</v>
      </c>
      <c r="O177" s="453">
        <v>1.9784999999999999</v>
      </c>
      <c r="P177" s="453">
        <f t="shared" si="11"/>
        <v>3.9569999999999999</v>
      </c>
      <c r="Q177" s="453">
        <v>0</v>
      </c>
      <c r="R177" s="453">
        <f t="shared" si="12"/>
        <v>0</v>
      </c>
      <c r="S177" s="453">
        <v>0</v>
      </c>
      <c r="T177" s="454">
        <f t="shared" si="13"/>
        <v>0</v>
      </c>
      <c r="AR177" s="455" t="s">
        <v>625</v>
      </c>
      <c r="AT177" s="455" t="s">
        <v>218</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625</v>
      </c>
      <c r="BM177" s="455" t="s">
        <v>1736</v>
      </c>
    </row>
    <row r="178" spans="2:65" s="365" customFormat="1" ht="24.2" customHeight="1" x14ac:dyDescent="0.25">
      <c r="B178" s="364"/>
      <c r="C178" s="445" t="s">
        <v>255</v>
      </c>
      <c r="D178" s="445" t="s">
        <v>218</v>
      </c>
      <c r="E178" s="446" t="s">
        <v>1737</v>
      </c>
      <c r="F178" s="447" t="s">
        <v>1738</v>
      </c>
      <c r="G178" s="448" t="s">
        <v>123</v>
      </c>
      <c r="H178" s="449">
        <v>3</v>
      </c>
      <c r="I178" s="329">
        <v>0</v>
      </c>
      <c r="J178" s="450">
        <f t="shared" si="10"/>
        <v>0</v>
      </c>
      <c r="K178" s="451"/>
      <c r="L178" s="364"/>
      <c r="M178" s="452" t="s">
        <v>171</v>
      </c>
      <c r="N178" s="415" t="s">
        <v>185</v>
      </c>
      <c r="O178" s="453">
        <v>2.46</v>
      </c>
      <c r="P178" s="453">
        <f t="shared" si="11"/>
        <v>7.38</v>
      </c>
      <c r="Q178" s="453">
        <v>0</v>
      </c>
      <c r="R178" s="453">
        <f t="shared" si="12"/>
        <v>0</v>
      </c>
      <c r="S178" s="453">
        <v>0</v>
      </c>
      <c r="T178" s="454">
        <f t="shared" si="13"/>
        <v>0</v>
      </c>
      <c r="AR178" s="455" t="s">
        <v>625</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625</v>
      </c>
      <c r="BM178" s="455" t="s">
        <v>1739</v>
      </c>
    </row>
    <row r="179" spans="2:65" s="365" customFormat="1" ht="24.2" customHeight="1" x14ac:dyDescent="0.25">
      <c r="B179" s="364"/>
      <c r="C179" s="445" t="s">
        <v>256</v>
      </c>
      <c r="D179" s="445" t="s">
        <v>218</v>
      </c>
      <c r="E179" s="446" t="s">
        <v>1740</v>
      </c>
      <c r="F179" s="447" t="s">
        <v>1741</v>
      </c>
      <c r="G179" s="448" t="s">
        <v>113</v>
      </c>
      <c r="H179" s="449">
        <v>10522</v>
      </c>
      <c r="I179" s="329">
        <v>0</v>
      </c>
      <c r="J179" s="450">
        <f t="shared" si="10"/>
        <v>0</v>
      </c>
      <c r="K179" s="451"/>
      <c r="L179" s="364"/>
      <c r="M179" s="452" t="s">
        <v>171</v>
      </c>
      <c r="N179" s="415" t="s">
        <v>185</v>
      </c>
      <c r="O179" s="453">
        <v>1.4999999999999999E-2</v>
      </c>
      <c r="P179" s="453">
        <f t="shared" si="11"/>
        <v>157.82999999999998</v>
      </c>
      <c r="Q179" s="453">
        <v>0</v>
      </c>
      <c r="R179" s="453">
        <f t="shared" si="12"/>
        <v>0</v>
      </c>
      <c r="S179" s="453">
        <v>0</v>
      </c>
      <c r="T179" s="454">
        <f t="shared" si="13"/>
        <v>0</v>
      </c>
      <c r="AR179" s="455" t="s">
        <v>625</v>
      </c>
      <c r="AT179" s="455" t="s">
        <v>218</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625</v>
      </c>
      <c r="BM179" s="455" t="s">
        <v>1742</v>
      </c>
    </row>
    <row r="180" spans="2:65" s="365" customFormat="1" ht="24.2" customHeight="1" x14ac:dyDescent="0.25">
      <c r="B180" s="364"/>
      <c r="C180" s="445" t="s">
        <v>257</v>
      </c>
      <c r="D180" s="445" t="s">
        <v>218</v>
      </c>
      <c r="E180" s="446" t="s">
        <v>1743</v>
      </c>
      <c r="F180" s="447" t="s">
        <v>1744</v>
      </c>
      <c r="G180" s="448" t="s">
        <v>113</v>
      </c>
      <c r="H180" s="449">
        <v>10623</v>
      </c>
      <c r="I180" s="329">
        <v>0</v>
      </c>
      <c r="J180" s="450">
        <f t="shared" si="10"/>
        <v>0</v>
      </c>
      <c r="K180" s="451"/>
      <c r="L180" s="364"/>
      <c r="M180" s="452" t="s">
        <v>171</v>
      </c>
      <c r="N180" s="415" t="s">
        <v>185</v>
      </c>
      <c r="O180" s="453">
        <v>1.7000000000000001E-2</v>
      </c>
      <c r="P180" s="453">
        <f t="shared" si="11"/>
        <v>180.59100000000001</v>
      </c>
      <c r="Q180" s="453">
        <v>0</v>
      </c>
      <c r="R180" s="453">
        <f t="shared" si="12"/>
        <v>0</v>
      </c>
      <c r="S180" s="453">
        <v>0</v>
      </c>
      <c r="T180" s="454">
        <f t="shared" si="13"/>
        <v>0</v>
      </c>
      <c r="AR180" s="455" t="s">
        <v>625</v>
      </c>
      <c r="AT180" s="455" t="s">
        <v>218</v>
      </c>
      <c r="AU180" s="455" t="s">
        <v>108</v>
      </c>
      <c r="AY180" s="357" t="s">
        <v>217</v>
      </c>
      <c r="BE180" s="456">
        <f t="shared" si="14"/>
        <v>0</v>
      </c>
      <c r="BF180" s="456">
        <f t="shared" si="15"/>
        <v>0</v>
      </c>
      <c r="BG180" s="456">
        <f t="shared" si="16"/>
        <v>0</v>
      </c>
      <c r="BH180" s="456">
        <f t="shared" si="17"/>
        <v>0</v>
      </c>
      <c r="BI180" s="456">
        <f t="shared" si="18"/>
        <v>0</v>
      </c>
      <c r="BJ180" s="357" t="s">
        <v>108</v>
      </c>
      <c r="BK180" s="456">
        <f t="shared" si="19"/>
        <v>0</v>
      </c>
      <c r="BL180" s="357" t="s">
        <v>625</v>
      </c>
      <c r="BM180" s="455" t="s">
        <v>1745</v>
      </c>
    </row>
    <row r="181" spans="2:65" s="365" customFormat="1" ht="16.5" customHeight="1" x14ac:dyDescent="0.25">
      <c r="B181" s="364"/>
      <c r="C181" s="457" t="s">
        <v>258</v>
      </c>
      <c r="D181" s="457" t="s">
        <v>259</v>
      </c>
      <c r="E181" s="458" t="s">
        <v>1746</v>
      </c>
      <c r="F181" s="459" t="s">
        <v>1747</v>
      </c>
      <c r="G181" s="460" t="s">
        <v>113</v>
      </c>
      <c r="H181" s="461">
        <v>4083</v>
      </c>
      <c r="I181" s="330">
        <v>0</v>
      </c>
      <c r="J181" s="462">
        <f t="shared" si="10"/>
        <v>0</v>
      </c>
      <c r="K181" s="463"/>
      <c r="L181" s="464"/>
      <c r="M181" s="465" t="s">
        <v>171</v>
      </c>
      <c r="N181" s="466" t="s">
        <v>185</v>
      </c>
      <c r="O181" s="453">
        <v>0</v>
      </c>
      <c r="P181" s="453">
        <f t="shared" si="11"/>
        <v>0</v>
      </c>
      <c r="Q181" s="453">
        <v>8.0000000000000007E-5</v>
      </c>
      <c r="R181" s="453">
        <f t="shared" si="12"/>
        <v>0.32664000000000004</v>
      </c>
      <c r="S181" s="453">
        <v>0</v>
      </c>
      <c r="T181" s="454">
        <f t="shared" si="13"/>
        <v>0</v>
      </c>
      <c r="AR181" s="455" t="s">
        <v>1631</v>
      </c>
      <c r="AT181" s="455" t="s">
        <v>259</v>
      </c>
      <c r="AU181" s="455" t="s">
        <v>108</v>
      </c>
      <c r="AY181" s="357" t="s">
        <v>217</v>
      </c>
      <c r="BE181" s="456">
        <f t="shared" si="14"/>
        <v>0</v>
      </c>
      <c r="BF181" s="456">
        <f t="shared" si="15"/>
        <v>0</v>
      </c>
      <c r="BG181" s="456">
        <f t="shared" si="16"/>
        <v>0</v>
      </c>
      <c r="BH181" s="456">
        <f t="shared" si="17"/>
        <v>0</v>
      </c>
      <c r="BI181" s="456">
        <f t="shared" si="18"/>
        <v>0</v>
      </c>
      <c r="BJ181" s="357" t="s">
        <v>108</v>
      </c>
      <c r="BK181" s="456">
        <f t="shared" si="19"/>
        <v>0</v>
      </c>
      <c r="BL181" s="357" t="s">
        <v>1631</v>
      </c>
      <c r="BM181" s="455" t="s">
        <v>1748</v>
      </c>
    </row>
    <row r="182" spans="2:65" s="365" customFormat="1" ht="16.5" customHeight="1" x14ac:dyDescent="0.25">
      <c r="B182" s="364"/>
      <c r="C182" s="457" t="s">
        <v>260</v>
      </c>
      <c r="D182" s="457" t="s">
        <v>259</v>
      </c>
      <c r="E182" s="458" t="s">
        <v>1749</v>
      </c>
      <c r="F182" s="459" t="s">
        <v>1750</v>
      </c>
      <c r="G182" s="460" t="s">
        <v>113</v>
      </c>
      <c r="H182" s="461">
        <v>3930</v>
      </c>
      <c r="I182" s="330">
        <v>0</v>
      </c>
      <c r="J182" s="462">
        <f t="shared" si="10"/>
        <v>0</v>
      </c>
      <c r="K182" s="463"/>
      <c r="L182" s="464"/>
      <c r="M182" s="465" t="s">
        <v>171</v>
      </c>
      <c r="N182" s="466" t="s">
        <v>185</v>
      </c>
      <c r="O182" s="453">
        <v>0</v>
      </c>
      <c r="P182" s="453">
        <f t="shared" si="11"/>
        <v>0</v>
      </c>
      <c r="Q182" s="453">
        <v>8.0000000000000007E-5</v>
      </c>
      <c r="R182" s="453">
        <f t="shared" si="12"/>
        <v>0.31440000000000001</v>
      </c>
      <c r="S182" s="453">
        <v>0</v>
      </c>
      <c r="T182" s="454">
        <f t="shared" si="13"/>
        <v>0</v>
      </c>
      <c r="AR182" s="455" t="s">
        <v>1631</v>
      </c>
      <c r="AT182" s="455" t="s">
        <v>259</v>
      </c>
      <c r="AU182" s="455" t="s">
        <v>108</v>
      </c>
      <c r="AY182" s="357" t="s">
        <v>217</v>
      </c>
      <c r="BE182" s="456">
        <f t="shared" si="14"/>
        <v>0</v>
      </c>
      <c r="BF182" s="456">
        <f t="shared" si="15"/>
        <v>0</v>
      </c>
      <c r="BG182" s="456">
        <f t="shared" si="16"/>
        <v>0</v>
      </c>
      <c r="BH182" s="456">
        <f t="shared" si="17"/>
        <v>0</v>
      </c>
      <c r="BI182" s="456">
        <f t="shared" si="18"/>
        <v>0</v>
      </c>
      <c r="BJ182" s="357" t="s">
        <v>108</v>
      </c>
      <c r="BK182" s="456">
        <f t="shared" si="19"/>
        <v>0</v>
      </c>
      <c r="BL182" s="357" t="s">
        <v>1631</v>
      </c>
      <c r="BM182" s="455" t="s">
        <v>1751</v>
      </c>
    </row>
    <row r="183" spans="2:65" s="365" customFormat="1" ht="24.2" customHeight="1" x14ac:dyDescent="0.25">
      <c r="B183" s="364"/>
      <c r="C183" s="445" t="s">
        <v>262</v>
      </c>
      <c r="D183" s="445" t="s">
        <v>218</v>
      </c>
      <c r="E183" s="446" t="s">
        <v>1752</v>
      </c>
      <c r="F183" s="447" t="s">
        <v>1753</v>
      </c>
      <c r="G183" s="448" t="s">
        <v>123</v>
      </c>
      <c r="H183" s="449">
        <v>1</v>
      </c>
      <c r="I183" s="329">
        <v>0</v>
      </c>
      <c r="J183" s="450">
        <f t="shared" si="10"/>
        <v>0</v>
      </c>
      <c r="K183" s="451"/>
      <c r="L183" s="364"/>
      <c r="M183" s="452" t="s">
        <v>171</v>
      </c>
      <c r="N183" s="415" t="s">
        <v>185</v>
      </c>
      <c r="O183" s="453">
        <v>3.38</v>
      </c>
      <c r="P183" s="453">
        <f t="shared" si="11"/>
        <v>3.38</v>
      </c>
      <c r="Q183" s="453">
        <v>0</v>
      </c>
      <c r="R183" s="453">
        <f t="shared" si="12"/>
        <v>0</v>
      </c>
      <c r="S183" s="453">
        <v>0</v>
      </c>
      <c r="T183" s="454">
        <f t="shared" si="13"/>
        <v>0</v>
      </c>
      <c r="AR183" s="455" t="s">
        <v>625</v>
      </c>
      <c r="AT183" s="455" t="s">
        <v>218</v>
      </c>
      <c r="AU183" s="455" t="s">
        <v>108</v>
      </c>
      <c r="AY183" s="357" t="s">
        <v>217</v>
      </c>
      <c r="BE183" s="456">
        <f t="shared" si="14"/>
        <v>0</v>
      </c>
      <c r="BF183" s="456">
        <f t="shared" si="15"/>
        <v>0</v>
      </c>
      <c r="BG183" s="456">
        <f t="shared" si="16"/>
        <v>0</v>
      </c>
      <c r="BH183" s="456">
        <f t="shared" si="17"/>
        <v>0</v>
      </c>
      <c r="BI183" s="456">
        <f t="shared" si="18"/>
        <v>0</v>
      </c>
      <c r="BJ183" s="357" t="s">
        <v>108</v>
      </c>
      <c r="BK183" s="456">
        <f t="shared" si="19"/>
        <v>0</v>
      </c>
      <c r="BL183" s="357" t="s">
        <v>625</v>
      </c>
      <c r="BM183" s="455" t="s">
        <v>1754</v>
      </c>
    </row>
    <row r="184" spans="2:65" s="365" customFormat="1" ht="24.2" customHeight="1" x14ac:dyDescent="0.25">
      <c r="B184" s="364"/>
      <c r="C184" s="445" t="s">
        <v>263</v>
      </c>
      <c r="D184" s="445" t="s">
        <v>218</v>
      </c>
      <c r="E184" s="446" t="s">
        <v>1755</v>
      </c>
      <c r="F184" s="447" t="s">
        <v>1756</v>
      </c>
      <c r="G184" s="448" t="s">
        <v>123</v>
      </c>
      <c r="H184" s="449">
        <v>2</v>
      </c>
      <c r="I184" s="329">
        <v>0</v>
      </c>
      <c r="J184" s="450">
        <f t="shared" si="10"/>
        <v>0</v>
      </c>
      <c r="K184" s="451"/>
      <c r="L184" s="364"/>
      <c r="M184" s="452" t="s">
        <v>171</v>
      </c>
      <c r="N184" s="415" t="s">
        <v>185</v>
      </c>
      <c r="O184" s="453">
        <v>3.9569999999999999</v>
      </c>
      <c r="P184" s="453">
        <f t="shared" si="11"/>
        <v>7.9139999999999997</v>
      </c>
      <c r="Q184" s="453">
        <v>0</v>
      </c>
      <c r="R184" s="453">
        <f t="shared" si="12"/>
        <v>0</v>
      </c>
      <c r="S184" s="453">
        <v>0</v>
      </c>
      <c r="T184" s="454">
        <f t="shared" si="13"/>
        <v>0</v>
      </c>
      <c r="AR184" s="455" t="s">
        <v>625</v>
      </c>
      <c r="AT184" s="455" t="s">
        <v>218</v>
      </c>
      <c r="AU184" s="455" t="s">
        <v>108</v>
      </c>
      <c r="AY184" s="357" t="s">
        <v>217</v>
      </c>
      <c r="BE184" s="456">
        <f t="shared" si="14"/>
        <v>0</v>
      </c>
      <c r="BF184" s="456">
        <f t="shared" si="15"/>
        <v>0</v>
      </c>
      <c r="BG184" s="456">
        <f t="shared" si="16"/>
        <v>0</v>
      </c>
      <c r="BH184" s="456">
        <f t="shared" si="17"/>
        <v>0</v>
      </c>
      <c r="BI184" s="456">
        <f t="shared" si="18"/>
        <v>0</v>
      </c>
      <c r="BJ184" s="357" t="s">
        <v>108</v>
      </c>
      <c r="BK184" s="456">
        <f t="shared" si="19"/>
        <v>0</v>
      </c>
      <c r="BL184" s="357" t="s">
        <v>625</v>
      </c>
      <c r="BM184" s="455" t="s">
        <v>1757</v>
      </c>
    </row>
    <row r="185" spans="2:65" s="365" customFormat="1" ht="24.2" customHeight="1" x14ac:dyDescent="0.25">
      <c r="B185" s="364"/>
      <c r="C185" s="445" t="s">
        <v>264</v>
      </c>
      <c r="D185" s="445" t="s">
        <v>218</v>
      </c>
      <c r="E185" s="446" t="s">
        <v>1758</v>
      </c>
      <c r="F185" s="447" t="s">
        <v>1759</v>
      </c>
      <c r="G185" s="448" t="s">
        <v>123</v>
      </c>
      <c r="H185" s="449">
        <v>3</v>
      </c>
      <c r="I185" s="329">
        <v>0</v>
      </c>
      <c r="J185" s="450">
        <f t="shared" si="10"/>
        <v>0</v>
      </c>
      <c r="K185" s="451"/>
      <c r="L185" s="364"/>
      <c r="M185" s="452" t="s">
        <v>171</v>
      </c>
      <c r="N185" s="415" t="s">
        <v>185</v>
      </c>
      <c r="O185" s="453">
        <v>4.92</v>
      </c>
      <c r="P185" s="453">
        <f t="shared" si="11"/>
        <v>14.76</v>
      </c>
      <c r="Q185" s="453">
        <v>0</v>
      </c>
      <c r="R185" s="453">
        <f t="shared" si="12"/>
        <v>0</v>
      </c>
      <c r="S185" s="453">
        <v>0</v>
      </c>
      <c r="T185" s="454">
        <f t="shared" si="13"/>
        <v>0</v>
      </c>
      <c r="AR185" s="455" t="s">
        <v>625</v>
      </c>
      <c r="AT185" s="455" t="s">
        <v>218</v>
      </c>
      <c r="AU185" s="455" t="s">
        <v>108</v>
      </c>
      <c r="AY185" s="357" t="s">
        <v>217</v>
      </c>
      <c r="BE185" s="456">
        <f t="shared" si="14"/>
        <v>0</v>
      </c>
      <c r="BF185" s="456">
        <f t="shared" si="15"/>
        <v>0</v>
      </c>
      <c r="BG185" s="456">
        <f t="shared" si="16"/>
        <v>0</v>
      </c>
      <c r="BH185" s="456">
        <f t="shared" si="17"/>
        <v>0</v>
      </c>
      <c r="BI185" s="456">
        <f t="shared" si="18"/>
        <v>0</v>
      </c>
      <c r="BJ185" s="357" t="s">
        <v>108</v>
      </c>
      <c r="BK185" s="456">
        <f t="shared" si="19"/>
        <v>0</v>
      </c>
      <c r="BL185" s="357" t="s">
        <v>625</v>
      </c>
      <c r="BM185" s="455" t="s">
        <v>1760</v>
      </c>
    </row>
    <row r="186" spans="2:65" s="365" customFormat="1" ht="21.75" customHeight="1" x14ac:dyDescent="0.25">
      <c r="B186" s="364"/>
      <c r="C186" s="445" t="s">
        <v>265</v>
      </c>
      <c r="D186" s="445" t="s">
        <v>218</v>
      </c>
      <c r="E186" s="446" t="s">
        <v>1761</v>
      </c>
      <c r="F186" s="447" t="s">
        <v>1762</v>
      </c>
      <c r="G186" s="448" t="s">
        <v>123</v>
      </c>
      <c r="H186" s="449">
        <v>306</v>
      </c>
      <c r="I186" s="329">
        <v>0</v>
      </c>
      <c r="J186" s="450">
        <f t="shared" si="10"/>
        <v>0</v>
      </c>
      <c r="K186" s="451"/>
      <c r="L186" s="364"/>
      <c r="M186" s="452" t="s">
        <v>171</v>
      </c>
      <c r="N186" s="415" t="s">
        <v>185</v>
      </c>
      <c r="O186" s="453">
        <v>0.375</v>
      </c>
      <c r="P186" s="453">
        <f t="shared" si="11"/>
        <v>114.75</v>
      </c>
      <c r="Q186" s="453">
        <v>0</v>
      </c>
      <c r="R186" s="453">
        <f t="shared" si="12"/>
        <v>0</v>
      </c>
      <c r="S186" s="453">
        <v>0</v>
      </c>
      <c r="T186" s="454">
        <f t="shared" si="13"/>
        <v>0</v>
      </c>
      <c r="AR186" s="455" t="s">
        <v>625</v>
      </c>
      <c r="AT186" s="455" t="s">
        <v>218</v>
      </c>
      <c r="AU186" s="455" t="s">
        <v>108</v>
      </c>
      <c r="AY186" s="357" t="s">
        <v>217</v>
      </c>
      <c r="BE186" s="456">
        <f t="shared" si="14"/>
        <v>0</v>
      </c>
      <c r="BF186" s="456">
        <f t="shared" si="15"/>
        <v>0</v>
      </c>
      <c r="BG186" s="456">
        <f t="shared" si="16"/>
        <v>0</v>
      </c>
      <c r="BH186" s="456">
        <f t="shared" si="17"/>
        <v>0</v>
      </c>
      <c r="BI186" s="456">
        <f t="shared" si="18"/>
        <v>0</v>
      </c>
      <c r="BJ186" s="357" t="s">
        <v>108</v>
      </c>
      <c r="BK186" s="456">
        <f t="shared" si="19"/>
        <v>0</v>
      </c>
      <c r="BL186" s="357" t="s">
        <v>625</v>
      </c>
      <c r="BM186" s="455" t="s">
        <v>1763</v>
      </c>
    </row>
    <row r="187" spans="2:65" s="365" customFormat="1" ht="24.2" customHeight="1" x14ac:dyDescent="0.25">
      <c r="B187" s="364"/>
      <c r="C187" s="445" t="s">
        <v>266</v>
      </c>
      <c r="D187" s="445" t="s">
        <v>218</v>
      </c>
      <c r="E187" s="446" t="s">
        <v>1764</v>
      </c>
      <c r="F187" s="447" t="s">
        <v>1765</v>
      </c>
      <c r="G187" s="448" t="s">
        <v>123</v>
      </c>
      <c r="H187" s="449">
        <v>408</v>
      </c>
      <c r="I187" s="329">
        <v>0</v>
      </c>
      <c r="J187" s="450">
        <f t="shared" si="10"/>
        <v>0</v>
      </c>
      <c r="K187" s="451"/>
      <c r="L187" s="364"/>
      <c r="M187" s="452" t="s">
        <v>171</v>
      </c>
      <c r="N187" s="415" t="s">
        <v>185</v>
      </c>
      <c r="O187" s="453">
        <v>47.67</v>
      </c>
      <c r="P187" s="453">
        <f t="shared" si="11"/>
        <v>19449.36</v>
      </c>
      <c r="Q187" s="453">
        <v>0</v>
      </c>
      <c r="R187" s="453">
        <f t="shared" si="12"/>
        <v>0</v>
      </c>
      <c r="S187" s="453">
        <v>0</v>
      </c>
      <c r="T187" s="454">
        <f t="shared" si="13"/>
        <v>0</v>
      </c>
      <c r="AR187" s="455" t="s">
        <v>625</v>
      </c>
      <c r="AT187" s="455" t="s">
        <v>218</v>
      </c>
      <c r="AU187" s="455" t="s">
        <v>108</v>
      </c>
      <c r="AY187" s="357" t="s">
        <v>217</v>
      </c>
      <c r="BE187" s="456">
        <f t="shared" si="14"/>
        <v>0</v>
      </c>
      <c r="BF187" s="456">
        <f t="shared" si="15"/>
        <v>0</v>
      </c>
      <c r="BG187" s="456">
        <f t="shared" si="16"/>
        <v>0</v>
      </c>
      <c r="BH187" s="456">
        <f t="shared" si="17"/>
        <v>0</v>
      </c>
      <c r="BI187" s="456">
        <f t="shared" si="18"/>
        <v>0</v>
      </c>
      <c r="BJ187" s="357" t="s">
        <v>108</v>
      </c>
      <c r="BK187" s="456">
        <f t="shared" si="19"/>
        <v>0</v>
      </c>
      <c r="BL187" s="357" t="s">
        <v>625</v>
      </c>
      <c r="BM187" s="455" t="s">
        <v>1766</v>
      </c>
    </row>
    <row r="188" spans="2:65" s="365" customFormat="1" ht="16.5" customHeight="1" x14ac:dyDescent="0.25">
      <c r="B188" s="364"/>
      <c r="C188" s="445" t="s">
        <v>573</v>
      </c>
      <c r="D188" s="445" t="s">
        <v>218</v>
      </c>
      <c r="E188" s="446" t="s">
        <v>1767</v>
      </c>
      <c r="F188" s="447" t="s">
        <v>1768</v>
      </c>
      <c r="G188" s="448" t="s">
        <v>123</v>
      </c>
      <c r="H188" s="449">
        <v>408</v>
      </c>
      <c r="I188" s="329">
        <v>0</v>
      </c>
      <c r="J188" s="450">
        <f t="shared" si="10"/>
        <v>0</v>
      </c>
      <c r="K188" s="451"/>
      <c r="L188" s="364"/>
      <c r="M188" s="452" t="s">
        <v>171</v>
      </c>
      <c r="N188" s="415" t="s">
        <v>185</v>
      </c>
      <c r="O188" s="453">
        <v>47.67</v>
      </c>
      <c r="P188" s="453">
        <f t="shared" si="11"/>
        <v>19449.36</v>
      </c>
      <c r="Q188" s="453">
        <v>0</v>
      </c>
      <c r="R188" s="453">
        <f t="shared" si="12"/>
        <v>0</v>
      </c>
      <c r="S188" s="453">
        <v>0</v>
      </c>
      <c r="T188" s="454">
        <f t="shared" si="13"/>
        <v>0</v>
      </c>
      <c r="AR188" s="455" t="s">
        <v>625</v>
      </c>
      <c r="AT188" s="455" t="s">
        <v>218</v>
      </c>
      <c r="AU188" s="455" t="s">
        <v>108</v>
      </c>
      <c r="AY188" s="357" t="s">
        <v>217</v>
      </c>
      <c r="BE188" s="456">
        <f t="shared" si="14"/>
        <v>0</v>
      </c>
      <c r="BF188" s="456">
        <f t="shared" si="15"/>
        <v>0</v>
      </c>
      <c r="BG188" s="456">
        <f t="shared" si="16"/>
        <v>0</v>
      </c>
      <c r="BH188" s="456">
        <f t="shared" si="17"/>
        <v>0</v>
      </c>
      <c r="BI188" s="456">
        <f t="shared" si="18"/>
        <v>0</v>
      </c>
      <c r="BJ188" s="357" t="s">
        <v>108</v>
      </c>
      <c r="BK188" s="456">
        <f t="shared" si="19"/>
        <v>0</v>
      </c>
      <c r="BL188" s="357" t="s">
        <v>625</v>
      </c>
      <c r="BM188" s="455" t="s">
        <v>1769</v>
      </c>
    </row>
    <row r="189" spans="2:65" s="434" customFormat="1" ht="22.9" customHeight="1" x14ac:dyDescent="0.2">
      <c r="B189" s="433"/>
      <c r="D189" s="435" t="s">
        <v>216</v>
      </c>
      <c r="E189" s="443" t="s">
        <v>1770</v>
      </c>
      <c r="F189" s="443" t="s">
        <v>1771</v>
      </c>
      <c r="I189" s="331"/>
      <c r="J189" s="444">
        <f>BK189</f>
        <v>0</v>
      </c>
      <c r="L189" s="433"/>
      <c r="M189" s="438"/>
      <c r="P189" s="439">
        <f>SUM(P190:P212)</f>
        <v>218.75295</v>
      </c>
      <c r="R189" s="439">
        <f>SUM(R190:R212)</f>
        <v>8.4517299999999995</v>
      </c>
      <c r="T189" s="440">
        <f>SUM(T190:T212)</f>
        <v>0</v>
      </c>
      <c r="AR189" s="435" t="s">
        <v>119</v>
      </c>
      <c r="AT189" s="441" t="s">
        <v>216</v>
      </c>
      <c r="AU189" s="441" t="s">
        <v>109</v>
      </c>
      <c r="AY189" s="435" t="s">
        <v>217</v>
      </c>
      <c r="BK189" s="442">
        <f>SUM(BK190:BK212)</f>
        <v>0</v>
      </c>
    </row>
    <row r="190" spans="2:65" s="365" customFormat="1" ht="24.2" customHeight="1" x14ac:dyDescent="0.25">
      <c r="B190" s="364"/>
      <c r="C190" s="445" t="s">
        <v>577</v>
      </c>
      <c r="D190" s="445" t="s">
        <v>218</v>
      </c>
      <c r="E190" s="446" t="s">
        <v>1772</v>
      </c>
      <c r="F190" s="447" t="s">
        <v>1773</v>
      </c>
      <c r="G190" s="448" t="s">
        <v>113</v>
      </c>
      <c r="H190" s="449">
        <v>111</v>
      </c>
      <c r="I190" s="329">
        <v>0</v>
      </c>
      <c r="J190" s="450">
        <f t="shared" ref="J190:J212" si="20">ROUND(I190*H190,2)</f>
        <v>0</v>
      </c>
      <c r="K190" s="451"/>
      <c r="L190" s="364"/>
      <c r="M190" s="452" t="s">
        <v>171</v>
      </c>
      <c r="N190" s="415" t="s">
        <v>185</v>
      </c>
      <c r="O190" s="453">
        <v>0.38740000000000002</v>
      </c>
      <c r="P190" s="453">
        <f t="shared" ref="P190:P212" si="21">O190*H190</f>
        <v>43.001400000000004</v>
      </c>
      <c r="Q190" s="453">
        <v>0</v>
      </c>
      <c r="R190" s="453">
        <f t="shared" ref="R190:R212" si="22">Q190*H190</f>
        <v>0</v>
      </c>
      <c r="S190" s="453">
        <v>0</v>
      </c>
      <c r="T190" s="454">
        <f t="shared" ref="T190:T212" si="23">S190*H190</f>
        <v>0</v>
      </c>
      <c r="AR190" s="455" t="s">
        <v>625</v>
      </c>
      <c r="AT190" s="455" t="s">
        <v>218</v>
      </c>
      <c r="AU190" s="455" t="s">
        <v>108</v>
      </c>
      <c r="AY190" s="357" t="s">
        <v>217</v>
      </c>
      <c r="BE190" s="456">
        <f t="shared" ref="BE190:BE212" si="24">IF(N190="základná",J190,0)</f>
        <v>0</v>
      </c>
      <c r="BF190" s="456">
        <f t="shared" ref="BF190:BF212" si="25">IF(N190="znížená",J190,0)</f>
        <v>0</v>
      </c>
      <c r="BG190" s="456">
        <f t="shared" ref="BG190:BG212" si="26">IF(N190="zákl. prenesená",J190,0)</f>
        <v>0</v>
      </c>
      <c r="BH190" s="456">
        <f t="shared" ref="BH190:BH212" si="27">IF(N190="zníž. prenesená",J190,0)</f>
        <v>0</v>
      </c>
      <c r="BI190" s="456">
        <f t="shared" ref="BI190:BI212" si="28">IF(N190="nulová",J190,0)</f>
        <v>0</v>
      </c>
      <c r="BJ190" s="357" t="s">
        <v>108</v>
      </c>
      <c r="BK190" s="456">
        <f t="shared" ref="BK190:BK212" si="29">ROUND(I190*H190,2)</f>
        <v>0</v>
      </c>
      <c r="BL190" s="357" t="s">
        <v>625</v>
      </c>
      <c r="BM190" s="455" t="s">
        <v>1774</v>
      </c>
    </row>
    <row r="191" spans="2:65" s="365" customFormat="1" ht="24.2" customHeight="1" x14ac:dyDescent="0.25">
      <c r="B191" s="364"/>
      <c r="C191" s="445" t="s">
        <v>581</v>
      </c>
      <c r="D191" s="445" t="s">
        <v>218</v>
      </c>
      <c r="E191" s="446" t="s">
        <v>1775</v>
      </c>
      <c r="F191" s="447" t="s">
        <v>1776</v>
      </c>
      <c r="G191" s="448" t="s">
        <v>113</v>
      </c>
      <c r="H191" s="449">
        <v>16</v>
      </c>
      <c r="I191" s="329">
        <v>0</v>
      </c>
      <c r="J191" s="450">
        <f t="shared" si="20"/>
        <v>0</v>
      </c>
      <c r="K191" s="451"/>
      <c r="L191" s="364"/>
      <c r="M191" s="452" t="s">
        <v>171</v>
      </c>
      <c r="N191" s="415" t="s">
        <v>185</v>
      </c>
      <c r="O191" s="453">
        <v>0.52129999999999999</v>
      </c>
      <c r="P191" s="453">
        <f t="shared" si="21"/>
        <v>8.3407999999999998</v>
      </c>
      <c r="Q191" s="453">
        <v>0</v>
      </c>
      <c r="R191" s="453">
        <f t="shared" si="22"/>
        <v>0</v>
      </c>
      <c r="S191" s="453">
        <v>0</v>
      </c>
      <c r="T191" s="454">
        <f t="shared" si="23"/>
        <v>0</v>
      </c>
      <c r="AR191" s="455" t="s">
        <v>625</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625</v>
      </c>
      <c r="BM191" s="455" t="s">
        <v>1777</v>
      </c>
    </row>
    <row r="192" spans="2:65" s="365" customFormat="1" ht="24.2" customHeight="1" x14ac:dyDescent="0.25">
      <c r="B192" s="364"/>
      <c r="C192" s="445" t="s">
        <v>585</v>
      </c>
      <c r="D192" s="445" t="s">
        <v>218</v>
      </c>
      <c r="E192" s="446" t="s">
        <v>1778</v>
      </c>
      <c r="F192" s="447" t="s">
        <v>1779</v>
      </c>
      <c r="G192" s="448" t="s">
        <v>113</v>
      </c>
      <c r="H192" s="449">
        <v>3</v>
      </c>
      <c r="I192" s="329">
        <v>0</v>
      </c>
      <c r="J192" s="450">
        <f t="shared" si="20"/>
        <v>0</v>
      </c>
      <c r="K192" s="451"/>
      <c r="L192" s="364"/>
      <c r="M192" s="452" t="s">
        <v>171</v>
      </c>
      <c r="N192" s="415" t="s">
        <v>185</v>
      </c>
      <c r="O192" s="453">
        <v>0.68640000000000001</v>
      </c>
      <c r="P192" s="453">
        <f t="shared" si="21"/>
        <v>2.0592000000000001</v>
      </c>
      <c r="Q192" s="453">
        <v>0</v>
      </c>
      <c r="R192" s="453">
        <f t="shared" si="22"/>
        <v>0</v>
      </c>
      <c r="S192" s="453">
        <v>0</v>
      </c>
      <c r="T192" s="454">
        <f t="shared" si="23"/>
        <v>0</v>
      </c>
      <c r="AR192" s="455" t="s">
        <v>625</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625</v>
      </c>
      <c r="BM192" s="455" t="s">
        <v>1780</v>
      </c>
    </row>
    <row r="193" spans="2:65" s="365" customFormat="1" ht="24.2" customHeight="1" x14ac:dyDescent="0.25">
      <c r="B193" s="364"/>
      <c r="C193" s="445" t="s">
        <v>589</v>
      </c>
      <c r="D193" s="445" t="s">
        <v>218</v>
      </c>
      <c r="E193" s="446" t="s">
        <v>1781</v>
      </c>
      <c r="F193" s="447" t="s">
        <v>1782</v>
      </c>
      <c r="G193" s="448" t="s">
        <v>113</v>
      </c>
      <c r="H193" s="449">
        <v>19</v>
      </c>
      <c r="I193" s="329">
        <v>0</v>
      </c>
      <c r="J193" s="450">
        <f t="shared" si="20"/>
        <v>0</v>
      </c>
      <c r="K193" s="451"/>
      <c r="L193" s="364"/>
      <c r="M193" s="452" t="s">
        <v>171</v>
      </c>
      <c r="N193" s="415" t="s">
        <v>185</v>
      </c>
      <c r="O193" s="453">
        <v>0.68640000000000001</v>
      </c>
      <c r="P193" s="453">
        <f t="shared" si="21"/>
        <v>13.041600000000001</v>
      </c>
      <c r="Q193" s="453">
        <v>0</v>
      </c>
      <c r="R193" s="453">
        <f t="shared" si="22"/>
        <v>0</v>
      </c>
      <c r="S193" s="453">
        <v>0</v>
      </c>
      <c r="T193" s="454">
        <f t="shared" si="23"/>
        <v>0</v>
      </c>
      <c r="AR193" s="455" t="s">
        <v>625</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625</v>
      </c>
      <c r="BM193" s="455" t="s">
        <v>1783</v>
      </c>
    </row>
    <row r="194" spans="2:65" s="365" customFormat="1" ht="33" customHeight="1" x14ac:dyDescent="0.25">
      <c r="B194" s="364"/>
      <c r="C194" s="445" t="s">
        <v>593</v>
      </c>
      <c r="D194" s="445" t="s">
        <v>218</v>
      </c>
      <c r="E194" s="446" t="s">
        <v>1784</v>
      </c>
      <c r="F194" s="447" t="s">
        <v>1785</v>
      </c>
      <c r="G194" s="448" t="s">
        <v>123</v>
      </c>
      <c r="H194" s="449">
        <v>2</v>
      </c>
      <c r="I194" s="329">
        <v>0</v>
      </c>
      <c r="J194" s="450">
        <f t="shared" si="20"/>
        <v>0</v>
      </c>
      <c r="K194" s="451"/>
      <c r="L194" s="364"/>
      <c r="M194" s="452" t="s">
        <v>171</v>
      </c>
      <c r="N194" s="415" t="s">
        <v>185</v>
      </c>
      <c r="O194" s="453">
        <v>4.7060000000000004</v>
      </c>
      <c r="P194" s="453">
        <f t="shared" si="21"/>
        <v>9.4120000000000008</v>
      </c>
      <c r="Q194" s="453">
        <v>0</v>
      </c>
      <c r="R194" s="453">
        <f t="shared" si="22"/>
        <v>0</v>
      </c>
      <c r="S194" s="453">
        <v>0</v>
      </c>
      <c r="T194" s="454">
        <f t="shared" si="23"/>
        <v>0</v>
      </c>
      <c r="AR194" s="455" t="s">
        <v>625</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625</v>
      </c>
      <c r="BM194" s="455" t="s">
        <v>1786</v>
      </c>
    </row>
    <row r="195" spans="2:65" s="365" customFormat="1" ht="24.2" customHeight="1" x14ac:dyDescent="0.25">
      <c r="B195" s="364"/>
      <c r="C195" s="445" t="s">
        <v>597</v>
      </c>
      <c r="D195" s="445" t="s">
        <v>218</v>
      </c>
      <c r="E195" s="446" t="s">
        <v>1787</v>
      </c>
      <c r="F195" s="447" t="s">
        <v>1788</v>
      </c>
      <c r="G195" s="448" t="s">
        <v>114</v>
      </c>
      <c r="H195" s="449">
        <v>16.5</v>
      </c>
      <c r="I195" s="329">
        <v>0</v>
      </c>
      <c r="J195" s="450">
        <f t="shared" si="20"/>
        <v>0</v>
      </c>
      <c r="K195" s="451"/>
      <c r="L195" s="364"/>
      <c r="M195" s="452" t="s">
        <v>171</v>
      </c>
      <c r="N195" s="415" t="s">
        <v>185</v>
      </c>
      <c r="O195" s="453">
        <v>2.9211</v>
      </c>
      <c r="P195" s="453">
        <f t="shared" si="21"/>
        <v>48.198149999999998</v>
      </c>
      <c r="Q195" s="453">
        <v>0</v>
      </c>
      <c r="R195" s="453">
        <f t="shared" si="22"/>
        <v>0</v>
      </c>
      <c r="S195" s="453">
        <v>0</v>
      </c>
      <c r="T195" s="454">
        <f t="shared" si="23"/>
        <v>0</v>
      </c>
      <c r="AR195" s="455" t="s">
        <v>625</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625</v>
      </c>
      <c r="BM195" s="455" t="s">
        <v>1789</v>
      </c>
    </row>
    <row r="196" spans="2:65" s="365" customFormat="1" ht="33" customHeight="1" x14ac:dyDescent="0.25">
      <c r="B196" s="364"/>
      <c r="C196" s="445" t="s">
        <v>601</v>
      </c>
      <c r="D196" s="445" t="s">
        <v>218</v>
      </c>
      <c r="E196" s="446" t="s">
        <v>1790</v>
      </c>
      <c r="F196" s="447" t="s">
        <v>1791</v>
      </c>
      <c r="G196" s="448" t="s">
        <v>113</v>
      </c>
      <c r="H196" s="449">
        <v>45</v>
      </c>
      <c r="I196" s="329">
        <v>0</v>
      </c>
      <c r="J196" s="450">
        <f t="shared" si="20"/>
        <v>0</v>
      </c>
      <c r="K196" s="451"/>
      <c r="L196" s="364"/>
      <c r="M196" s="452" t="s">
        <v>171</v>
      </c>
      <c r="N196" s="415" t="s">
        <v>185</v>
      </c>
      <c r="O196" s="453">
        <v>0.21970000000000001</v>
      </c>
      <c r="P196" s="453">
        <f t="shared" si="21"/>
        <v>9.8864999999999998</v>
      </c>
      <c r="Q196" s="453">
        <v>0</v>
      </c>
      <c r="R196" s="453">
        <f t="shared" si="22"/>
        <v>0</v>
      </c>
      <c r="S196" s="453">
        <v>0</v>
      </c>
      <c r="T196" s="454">
        <f t="shared" si="23"/>
        <v>0</v>
      </c>
      <c r="AR196" s="455" t="s">
        <v>625</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625</v>
      </c>
      <c r="BM196" s="455" t="s">
        <v>1792</v>
      </c>
    </row>
    <row r="197" spans="2:65" s="365" customFormat="1" ht="24.2" customHeight="1" x14ac:dyDescent="0.25">
      <c r="B197" s="364"/>
      <c r="C197" s="457" t="s">
        <v>605</v>
      </c>
      <c r="D197" s="457" t="s">
        <v>259</v>
      </c>
      <c r="E197" s="458" t="s">
        <v>1793</v>
      </c>
      <c r="F197" s="459" t="s">
        <v>1794</v>
      </c>
      <c r="G197" s="460" t="s">
        <v>113</v>
      </c>
      <c r="H197" s="461">
        <v>42</v>
      </c>
      <c r="I197" s="330">
        <v>0</v>
      </c>
      <c r="J197" s="462">
        <f t="shared" si="20"/>
        <v>0</v>
      </c>
      <c r="K197" s="463"/>
      <c r="L197" s="464"/>
      <c r="M197" s="465" t="s">
        <v>171</v>
      </c>
      <c r="N197" s="466" t="s">
        <v>185</v>
      </c>
      <c r="O197" s="453">
        <v>0</v>
      </c>
      <c r="P197" s="453">
        <f t="shared" si="21"/>
        <v>0</v>
      </c>
      <c r="Q197" s="453">
        <v>7.2000000000000005E-4</v>
      </c>
      <c r="R197" s="453">
        <f t="shared" si="22"/>
        <v>3.0240000000000003E-2</v>
      </c>
      <c r="S197" s="453">
        <v>0</v>
      </c>
      <c r="T197" s="454">
        <f t="shared" si="23"/>
        <v>0</v>
      </c>
      <c r="AR197" s="455" t="s">
        <v>1795</v>
      </c>
      <c r="AT197" s="455" t="s">
        <v>259</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625</v>
      </c>
      <c r="BM197" s="455" t="s">
        <v>1796</v>
      </c>
    </row>
    <row r="198" spans="2:65" s="365" customFormat="1" ht="24.2" customHeight="1" x14ac:dyDescent="0.25">
      <c r="B198" s="364"/>
      <c r="C198" s="457" t="s">
        <v>609</v>
      </c>
      <c r="D198" s="457" t="s">
        <v>259</v>
      </c>
      <c r="E198" s="458" t="s">
        <v>1797</v>
      </c>
      <c r="F198" s="459" t="s">
        <v>1798</v>
      </c>
      <c r="G198" s="460" t="s">
        <v>113</v>
      </c>
      <c r="H198" s="461">
        <v>3</v>
      </c>
      <c r="I198" s="330">
        <v>0</v>
      </c>
      <c r="J198" s="462">
        <f t="shared" si="20"/>
        <v>0</v>
      </c>
      <c r="K198" s="463"/>
      <c r="L198" s="464"/>
      <c r="M198" s="465" t="s">
        <v>171</v>
      </c>
      <c r="N198" s="466" t="s">
        <v>185</v>
      </c>
      <c r="O198" s="453">
        <v>0</v>
      </c>
      <c r="P198" s="453">
        <f t="shared" si="21"/>
        <v>0</v>
      </c>
      <c r="Q198" s="453">
        <v>5.1000000000000004E-3</v>
      </c>
      <c r="R198" s="453">
        <f t="shared" si="22"/>
        <v>1.5300000000000001E-2</v>
      </c>
      <c r="S198" s="453">
        <v>0</v>
      </c>
      <c r="T198" s="454">
        <f t="shared" si="23"/>
        <v>0</v>
      </c>
      <c r="AR198" s="455" t="s">
        <v>1631</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1631</v>
      </c>
      <c r="BM198" s="455" t="s">
        <v>1799</v>
      </c>
    </row>
    <row r="199" spans="2:65" s="365" customFormat="1" ht="24.2" customHeight="1" x14ac:dyDescent="0.25">
      <c r="B199" s="364"/>
      <c r="C199" s="445" t="s">
        <v>613</v>
      </c>
      <c r="D199" s="445" t="s">
        <v>218</v>
      </c>
      <c r="E199" s="446" t="s">
        <v>1800</v>
      </c>
      <c r="F199" s="447" t="s">
        <v>1801</v>
      </c>
      <c r="G199" s="448" t="s">
        <v>113</v>
      </c>
      <c r="H199" s="449">
        <v>61</v>
      </c>
      <c r="I199" s="329">
        <v>0</v>
      </c>
      <c r="J199" s="450">
        <f t="shared" si="20"/>
        <v>0</v>
      </c>
      <c r="K199" s="451"/>
      <c r="L199" s="364"/>
      <c r="M199" s="452" t="s">
        <v>171</v>
      </c>
      <c r="N199" s="415" t="s">
        <v>185</v>
      </c>
      <c r="O199" s="453">
        <v>0.25219999999999998</v>
      </c>
      <c r="P199" s="453">
        <f t="shared" si="21"/>
        <v>15.384199999999998</v>
      </c>
      <c r="Q199" s="453">
        <v>0</v>
      </c>
      <c r="R199" s="453">
        <f t="shared" si="22"/>
        <v>0</v>
      </c>
      <c r="S199" s="453">
        <v>0</v>
      </c>
      <c r="T199" s="454">
        <f t="shared" si="23"/>
        <v>0</v>
      </c>
      <c r="AR199" s="455" t="s">
        <v>625</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625</v>
      </c>
      <c r="BM199" s="455" t="s">
        <v>1802</v>
      </c>
    </row>
    <row r="200" spans="2:65" s="365" customFormat="1" ht="37.9" customHeight="1" x14ac:dyDescent="0.25">
      <c r="B200" s="364"/>
      <c r="C200" s="457" t="s">
        <v>617</v>
      </c>
      <c r="D200" s="457" t="s">
        <v>259</v>
      </c>
      <c r="E200" s="458" t="s">
        <v>1803</v>
      </c>
      <c r="F200" s="459" t="s">
        <v>1804</v>
      </c>
      <c r="G200" s="460" t="s">
        <v>123</v>
      </c>
      <c r="H200" s="461">
        <v>61</v>
      </c>
      <c r="I200" s="330">
        <v>0</v>
      </c>
      <c r="J200" s="462">
        <f t="shared" si="20"/>
        <v>0</v>
      </c>
      <c r="K200" s="463"/>
      <c r="L200" s="464"/>
      <c r="M200" s="465" t="s">
        <v>171</v>
      </c>
      <c r="N200" s="466" t="s">
        <v>185</v>
      </c>
      <c r="O200" s="453">
        <v>0</v>
      </c>
      <c r="P200" s="453">
        <f t="shared" si="21"/>
        <v>0</v>
      </c>
      <c r="Q200" s="453">
        <v>2.8000000000000001E-2</v>
      </c>
      <c r="R200" s="453">
        <f t="shared" si="22"/>
        <v>1.708</v>
      </c>
      <c r="S200" s="453">
        <v>0</v>
      </c>
      <c r="T200" s="454">
        <f t="shared" si="23"/>
        <v>0</v>
      </c>
      <c r="AR200" s="455" t="s">
        <v>1631</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1631</v>
      </c>
      <c r="BM200" s="455" t="s">
        <v>1805</v>
      </c>
    </row>
    <row r="201" spans="2:65" s="365" customFormat="1" ht="21.75" customHeight="1" x14ac:dyDescent="0.25">
      <c r="B201" s="364"/>
      <c r="C201" s="457" t="s">
        <v>621</v>
      </c>
      <c r="D201" s="457" t="s">
        <v>259</v>
      </c>
      <c r="E201" s="458" t="s">
        <v>1806</v>
      </c>
      <c r="F201" s="459" t="s">
        <v>1807</v>
      </c>
      <c r="G201" s="460" t="s">
        <v>123</v>
      </c>
      <c r="H201" s="461">
        <v>122</v>
      </c>
      <c r="I201" s="330">
        <v>0</v>
      </c>
      <c r="J201" s="462">
        <f t="shared" si="20"/>
        <v>0</v>
      </c>
      <c r="K201" s="463"/>
      <c r="L201" s="464"/>
      <c r="M201" s="465" t="s">
        <v>171</v>
      </c>
      <c r="N201" s="466" t="s">
        <v>185</v>
      </c>
      <c r="O201" s="453">
        <v>0</v>
      </c>
      <c r="P201" s="453">
        <f t="shared" si="21"/>
        <v>0</v>
      </c>
      <c r="Q201" s="453">
        <v>6.0000000000000001E-3</v>
      </c>
      <c r="R201" s="453">
        <f t="shared" si="22"/>
        <v>0.73199999999999998</v>
      </c>
      <c r="S201" s="453">
        <v>0</v>
      </c>
      <c r="T201" s="454">
        <f t="shared" si="23"/>
        <v>0</v>
      </c>
      <c r="AR201" s="455" t="s">
        <v>1631</v>
      </c>
      <c r="AT201" s="455" t="s">
        <v>259</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1631</v>
      </c>
      <c r="BM201" s="455" t="s">
        <v>1808</v>
      </c>
    </row>
    <row r="202" spans="2:65" s="365" customFormat="1" ht="33" customHeight="1" x14ac:dyDescent="0.25">
      <c r="B202" s="364"/>
      <c r="C202" s="445" t="s">
        <v>625</v>
      </c>
      <c r="D202" s="445" t="s">
        <v>218</v>
      </c>
      <c r="E202" s="446" t="s">
        <v>1809</v>
      </c>
      <c r="F202" s="447" t="s">
        <v>1810</v>
      </c>
      <c r="G202" s="448" t="s">
        <v>113</v>
      </c>
      <c r="H202" s="449">
        <v>111</v>
      </c>
      <c r="I202" s="329">
        <v>0</v>
      </c>
      <c r="J202" s="450">
        <f t="shared" si="20"/>
        <v>0</v>
      </c>
      <c r="K202" s="451"/>
      <c r="L202" s="364"/>
      <c r="M202" s="452" t="s">
        <v>171</v>
      </c>
      <c r="N202" s="415" t="s">
        <v>185</v>
      </c>
      <c r="O202" s="453">
        <v>0.12870000000000001</v>
      </c>
      <c r="P202" s="453">
        <f t="shared" si="21"/>
        <v>14.2857</v>
      </c>
      <c r="Q202" s="453">
        <v>0</v>
      </c>
      <c r="R202" s="453">
        <f t="shared" si="22"/>
        <v>0</v>
      </c>
      <c r="S202" s="453">
        <v>0</v>
      </c>
      <c r="T202" s="454">
        <f t="shared" si="23"/>
        <v>0</v>
      </c>
      <c r="AR202" s="455" t="s">
        <v>625</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625</v>
      </c>
      <c r="BM202" s="455" t="s">
        <v>1811</v>
      </c>
    </row>
    <row r="203" spans="2:65" s="365" customFormat="1" ht="24.2" customHeight="1" x14ac:dyDescent="0.25">
      <c r="B203" s="364"/>
      <c r="C203" s="457" t="s">
        <v>629</v>
      </c>
      <c r="D203" s="457" t="s">
        <v>259</v>
      </c>
      <c r="E203" s="458" t="s">
        <v>1812</v>
      </c>
      <c r="F203" s="459" t="s">
        <v>1813</v>
      </c>
      <c r="G203" s="460" t="s">
        <v>112</v>
      </c>
      <c r="H203" s="461">
        <v>5.883</v>
      </c>
      <c r="I203" s="330">
        <v>0</v>
      </c>
      <c r="J203" s="462">
        <f t="shared" si="20"/>
        <v>0</v>
      </c>
      <c r="K203" s="463"/>
      <c r="L203" s="464"/>
      <c r="M203" s="465" t="s">
        <v>171</v>
      </c>
      <c r="N203" s="466" t="s">
        <v>185</v>
      </c>
      <c r="O203" s="453">
        <v>0</v>
      </c>
      <c r="P203" s="453">
        <f t="shared" si="21"/>
        <v>0</v>
      </c>
      <c r="Q203" s="453">
        <v>1</v>
      </c>
      <c r="R203" s="453">
        <f t="shared" si="22"/>
        <v>5.883</v>
      </c>
      <c r="S203" s="453">
        <v>0</v>
      </c>
      <c r="T203" s="454">
        <f t="shared" si="23"/>
        <v>0</v>
      </c>
      <c r="AR203" s="455" t="s">
        <v>1631</v>
      </c>
      <c r="AT203" s="455" t="s">
        <v>259</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1631</v>
      </c>
      <c r="BM203" s="455" t="s">
        <v>1814</v>
      </c>
    </row>
    <row r="204" spans="2:65" s="365" customFormat="1" ht="24.2" customHeight="1" x14ac:dyDescent="0.25">
      <c r="B204" s="364"/>
      <c r="C204" s="457" t="s">
        <v>634</v>
      </c>
      <c r="D204" s="457" t="s">
        <v>259</v>
      </c>
      <c r="E204" s="458" t="s">
        <v>1815</v>
      </c>
      <c r="F204" s="459" t="s">
        <v>1816</v>
      </c>
      <c r="G204" s="460" t="s">
        <v>113</v>
      </c>
      <c r="H204" s="461">
        <v>111</v>
      </c>
      <c r="I204" s="330">
        <v>0</v>
      </c>
      <c r="J204" s="462">
        <f t="shared" si="20"/>
        <v>0</v>
      </c>
      <c r="K204" s="463"/>
      <c r="L204" s="464"/>
      <c r="M204" s="465" t="s">
        <v>171</v>
      </c>
      <c r="N204" s="466" t="s">
        <v>185</v>
      </c>
      <c r="O204" s="453">
        <v>0</v>
      </c>
      <c r="P204" s="453">
        <f t="shared" si="21"/>
        <v>0</v>
      </c>
      <c r="Q204" s="453">
        <v>3.8999999999999999E-4</v>
      </c>
      <c r="R204" s="453">
        <f t="shared" si="22"/>
        <v>4.3290000000000002E-2</v>
      </c>
      <c r="S204" s="453">
        <v>0</v>
      </c>
      <c r="T204" s="454">
        <f t="shared" si="23"/>
        <v>0</v>
      </c>
      <c r="AR204" s="455" t="s">
        <v>1631</v>
      </c>
      <c r="AT204" s="455" t="s">
        <v>259</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1631</v>
      </c>
      <c r="BM204" s="455" t="s">
        <v>1817</v>
      </c>
    </row>
    <row r="205" spans="2:65" s="365" customFormat="1" ht="24.2" customHeight="1" x14ac:dyDescent="0.25">
      <c r="B205" s="364"/>
      <c r="C205" s="445" t="s">
        <v>637</v>
      </c>
      <c r="D205" s="445" t="s">
        <v>218</v>
      </c>
      <c r="E205" s="446" t="s">
        <v>1818</v>
      </c>
      <c r="F205" s="447" t="s">
        <v>1819</v>
      </c>
      <c r="G205" s="448" t="s">
        <v>113</v>
      </c>
      <c r="H205" s="449">
        <v>190</v>
      </c>
      <c r="I205" s="329">
        <v>0</v>
      </c>
      <c r="J205" s="450">
        <f t="shared" si="20"/>
        <v>0</v>
      </c>
      <c r="K205" s="451"/>
      <c r="L205" s="364"/>
      <c r="M205" s="452" t="s">
        <v>171</v>
      </c>
      <c r="N205" s="415" t="s">
        <v>185</v>
      </c>
      <c r="O205" s="453">
        <v>3.2500000000000001E-2</v>
      </c>
      <c r="P205" s="453">
        <f t="shared" si="21"/>
        <v>6.1749999999999998</v>
      </c>
      <c r="Q205" s="453">
        <v>0</v>
      </c>
      <c r="R205" s="453">
        <f t="shared" si="22"/>
        <v>0</v>
      </c>
      <c r="S205" s="453">
        <v>0</v>
      </c>
      <c r="T205" s="454">
        <f t="shared" si="23"/>
        <v>0</v>
      </c>
      <c r="AR205" s="455" t="s">
        <v>625</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625</v>
      </c>
      <c r="BM205" s="455" t="s">
        <v>1820</v>
      </c>
    </row>
    <row r="206" spans="2:65" s="365" customFormat="1" ht="16.5" customHeight="1" x14ac:dyDescent="0.25">
      <c r="B206" s="364"/>
      <c r="C206" s="457" t="s">
        <v>640</v>
      </c>
      <c r="D206" s="457" t="s">
        <v>259</v>
      </c>
      <c r="E206" s="458" t="s">
        <v>1821</v>
      </c>
      <c r="F206" s="459" t="s">
        <v>1822</v>
      </c>
      <c r="G206" s="460" t="s">
        <v>113</v>
      </c>
      <c r="H206" s="461">
        <v>190</v>
      </c>
      <c r="I206" s="330">
        <v>0</v>
      </c>
      <c r="J206" s="462">
        <f t="shared" si="20"/>
        <v>0</v>
      </c>
      <c r="K206" s="463"/>
      <c r="L206" s="464"/>
      <c r="M206" s="465" t="s">
        <v>171</v>
      </c>
      <c r="N206" s="466" t="s">
        <v>185</v>
      </c>
      <c r="O206" s="453">
        <v>0</v>
      </c>
      <c r="P206" s="453">
        <f t="shared" si="21"/>
        <v>0</v>
      </c>
      <c r="Q206" s="453">
        <v>2.1000000000000001E-4</v>
      </c>
      <c r="R206" s="453">
        <f t="shared" si="22"/>
        <v>3.9900000000000005E-2</v>
      </c>
      <c r="S206" s="453">
        <v>0</v>
      </c>
      <c r="T206" s="454">
        <f t="shared" si="23"/>
        <v>0</v>
      </c>
      <c r="AR206" s="455" t="s">
        <v>1631</v>
      </c>
      <c r="AT206" s="455" t="s">
        <v>259</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1631</v>
      </c>
      <c r="BM206" s="455" t="s">
        <v>1823</v>
      </c>
    </row>
    <row r="207" spans="2:65" s="365" customFormat="1" ht="24.2" customHeight="1" x14ac:dyDescent="0.25">
      <c r="B207" s="364"/>
      <c r="C207" s="445" t="s">
        <v>644</v>
      </c>
      <c r="D207" s="445" t="s">
        <v>218</v>
      </c>
      <c r="E207" s="446" t="s">
        <v>1824</v>
      </c>
      <c r="F207" s="447" t="s">
        <v>1825</v>
      </c>
      <c r="G207" s="448" t="s">
        <v>114</v>
      </c>
      <c r="H207" s="449">
        <v>16.5</v>
      </c>
      <c r="I207" s="329">
        <v>0</v>
      </c>
      <c r="J207" s="450">
        <f t="shared" si="20"/>
        <v>0</v>
      </c>
      <c r="K207" s="451"/>
      <c r="L207" s="364"/>
      <c r="M207" s="452" t="s">
        <v>171</v>
      </c>
      <c r="N207" s="415" t="s">
        <v>185</v>
      </c>
      <c r="O207" s="453">
        <v>0.79559999999999997</v>
      </c>
      <c r="P207" s="453">
        <f t="shared" si="21"/>
        <v>13.1274</v>
      </c>
      <c r="Q207" s="453">
        <v>0</v>
      </c>
      <c r="R207" s="453">
        <f t="shared" si="22"/>
        <v>0</v>
      </c>
      <c r="S207" s="453">
        <v>0</v>
      </c>
      <c r="T207" s="454">
        <f t="shared" si="23"/>
        <v>0</v>
      </c>
      <c r="AR207" s="455" t="s">
        <v>625</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625</v>
      </c>
      <c r="BM207" s="455" t="s">
        <v>1826</v>
      </c>
    </row>
    <row r="208" spans="2:65" s="365" customFormat="1" ht="33" customHeight="1" x14ac:dyDescent="0.25">
      <c r="B208" s="364"/>
      <c r="C208" s="445" t="s">
        <v>645</v>
      </c>
      <c r="D208" s="445" t="s">
        <v>218</v>
      </c>
      <c r="E208" s="446" t="s">
        <v>1827</v>
      </c>
      <c r="F208" s="447" t="s">
        <v>1828</v>
      </c>
      <c r="G208" s="448" t="s">
        <v>113</v>
      </c>
      <c r="H208" s="449">
        <v>111</v>
      </c>
      <c r="I208" s="329">
        <v>0</v>
      </c>
      <c r="J208" s="450">
        <f t="shared" si="20"/>
        <v>0</v>
      </c>
      <c r="K208" s="451"/>
      <c r="L208" s="364"/>
      <c r="M208" s="452" t="s">
        <v>171</v>
      </c>
      <c r="N208" s="415" t="s">
        <v>185</v>
      </c>
      <c r="O208" s="453">
        <v>0.1482</v>
      </c>
      <c r="P208" s="453">
        <f t="shared" si="21"/>
        <v>16.450199999999999</v>
      </c>
      <c r="Q208" s="453">
        <v>0</v>
      </c>
      <c r="R208" s="453">
        <f t="shared" si="22"/>
        <v>0</v>
      </c>
      <c r="S208" s="453">
        <v>0</v>
      </c>
      <c r="T208" s="454">
        <f t="shared" si="23"/>
        <v>0</v>
      </c>
      <c r="AR208" s="455" t="s">
        <v>625</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625</v>
      </c>
      <c r="BM208" s="455" t="s">
        <v>1829</v>
      </c>
    </row>
    <row r="209" spans="2:65" s="365" customFormat="1" ht="33" customHeight="1" x14ac:dyDescent="0.25">
      <c r="B209" s="364"/>
      <c r="C209" s="445" t="s">
        <v>651</v>
      </c>
      <c r="D209" s="445" t="s">
        <v>218</v>
      </c>
      <c r="E209" s="446" t="s">
        <v>1830</v>
      </c>
      <c r="F209" s="447" t="s">
        <v>1831</v>
      </c>
      <c r="G209" s="448" t="s">
        <v>113</v>
      </c>
      <c r="H209" s="449">
        <v>16</v>
      </c>
      <c r="I209" s="329">
        <v>0</v>
      </c>
      <c r="J209" s="450">
        <f t="shared" si="20"/>
        <v>0</v>
      </c>
      <c r="K209" s="451"/>
      <c r="L209" s="364"/>
      <c r="M209" s="452" t="s">
        <v>171</v>
      </c>
      <c r="N209" s="415" t="s">
        <v>185</v>
      </c>
      <c r="O209" s="453">
        <v>0.24310000000000001</v>
      </c>
      <c r="P209" s="453">
        <f t="shared" si="21"/>
        <v>3.8896000000000002</v>
      </c>
      <c r="Q209" s="453">
        <v>0</v>
      </c>
      <c r="R209" s="453">
        <f t="shared" si="22"/>
        <v>0</v>
      </c>
      <c r="S209" s="453">
        <v>0</v>
      </c>
      <c r="T209" s="454">
        <f t="shared" si="23"/>
        <v>0</v>
      </c>
      <c r="AR209" s="455" t="s">
        <v>625</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625</v>
      </c>
      <c r="BM209" s="455" t="s">
        <v>1832</v>
      </c>
    </row>
    <row r="210" spans="2:65" s="365" customFormat="1" ht="33" customHeight="1" x14ac:dyDescent="0.25">
      <c r="B210" s="364"/>
      <c r="C210" s="445" t="s">
        <v>655</v>
      </c>
      <c r="D210" s="445" t="s">
        <v>218</v>
      </c>
      <c r="E210" s="446" t="s">
        <v>1833</v>
      </c>
      <c r="F210" s="447" t="s">
        <v>1834</v>
      </c>
      <c r="G210" s="448" t="s">
        <v>113</v>
      </c>
      <c r="H210" s="449">
        <v>3</v>
      </c>
      <c r="I210" s="329">
        <v>0</v>
      </c>
      <c r="J210" s="450">
        <f t="shared" si="20"/>
        <v>0</v>
      </c>
      <c r="K210" s="451"/>
      <c r="L210" s="364"/>
      <c r="M210" s="452" t="s">
        <v>171</v>
      </c>
      <c r="N210" s="415" t="s">
        <v>185</v>
      </c>
      <c r="O210" s="453">
        <v>0.29770000000000002</v>
      </c>
      <c r="P210" s="453">
        <f t="shared" si="21"/>
        <v>0.8931</v>
      </c>
      <c r="Q210" s="453">
        <v>0</v>
      </c>
      <c r="R210" s="453">
        <f t="shared" si="22"/>
        <v>0</v>
      </c>
      <c r="S210" s="453">
        <v>0</v>
      </c>
      <c r="T210" s="454">
        <f t="shared" si="23"/>
        <v>0</v>
      </c>
      <c r="AR210" s="455" t="s">
        <v>625</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625</v>
      </c>
      <c r="BM210" s="455" t="s">
        <v>1835</v>
      </c>
    </row>
    <row r="211" spans="2:65" s="365" customFormat="1" ht="33" customHeight="1" x14ac:dyDescent="0.25">
      <c r="B211" s="364"/>
      <c r="C211" s="445" t="s">
        <v>659</v>
      </c>
      <c r="D211" s="445" t="s">
        <v>218</v>
      </c>
      <c r="E211" s="446" t="s">
        <v>1836</v>
      </c>
      <c r="F211" s="447" t="s">
        <v>1837</v>
      </c>
      <c r="G211" s="448" t="s">
        <v>113</v>
      </c>
      <c r="H211" s="449">
        <v>19</v>
      </c>
      <c r="I211" s="329">
        <v>0</v>
      </c>
      <c r="J211" s="450">
        <f t="shared" si="20"/>
        <v>0</v>
      </c>
      <c r="K211" s="451"/>
      <c r="L211" s="364"/>
      <c r="M211" s="452" t="s">
        <v>171</v>
      </c>
      <c r="N211" s="415" t="s">
        <v>185</v>
      </c>
      <c r="O211" s="453">
        <v>0.312</v>
      </c>
      <c r="P211" s="453">
        <f t="shared" si="21"/>
        <v>5.9279999999999999</v>
      </c>
      <c r="Q211" s="453">
        <v>0</v>
      </c>
      <c r="R211" s="453">
        <f t="shared" si="22"/>
        <v>0</v>
      </c>
      <c r="S211" s="453">
        <v>0</v>
      </c>
      <c r="T211" s="454">
        <f t="shared" si="23"/>
        <v>0</v>
      </c>
      <c r="AR211" s="455" t="s">
        <v>625</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625</v>
      </c>
      <c r="BM211" s="455" t="s">
        <v>1838</v>
      </c>
    </row>
    <row r="212" spans="2:65" s="365" customFormat="1" ht="33" customHeight="1" x14ac:dyDescent="0.25">
      <c r="B212" s="364"/>
      <c r="C212" s="445" t="s">
        <v>664</v>
      </c>
      <c r="D212" s="445" t="s">
        <v>218</v>
      </c>
      <c r="E212" s="446" t="s">
        <v>1839</v>
      </c>
      <c r="F212" s="447" t="s">
        <v>1840</v>
      </c>
      <c r="G212" s="448" t="s">
        <v>111</v>
      </c>
      <c r="H212" s="449">
        <v>60.7</v>
      </c>
      <c r="I212" s="329">
        <v>0</v>
      </c>
      <c r="J212" s="450">
        <f t="shared" si="20"/>
        <v>0</v>
      </c>
      <c r="K212" s="451"/>
      <c r="L212" s="364"/>
      <c r="M212" s="452" t="s">
        <v>171</v>
      </c>
      <c r="N212" s="415" t="s">
        <v>185</v>
      </c>
      <c r="O212" s="453">
        <v>0.14299999999999999</v>
      </c>
      <c r="P212" s="453">
        <f t="shared" si="21"/>
        <v>8.6800999999999995</v>
      </c>
      <c r="Q212" s="453">
        <v>0</v>
      </c>
      <c r="R212" s="453">
        <f t="shared" si="22"/>
        <v>0</v>
      </c>
      <c r="S212" s="453">
        <v>0</v>
      </c>
      <c r="T212" s="454">
        <f t="shared" si="23"/>
        <v>0</v>
      </c>
      <c r="AR212" s="455" t="s">
        <v>625</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625</v>
      </c>
      <c r="BM212" s="455" t="s">
        <v>1841</v>
      </c>
    </row>
    <row r="213" spans="2:65" s="434" customFormat="1" ht="22.9" customHeight="1" x14ac:dyDescent="0.2">
      <c r="B213" s="433"/>
      <c r="D213" s="435" t="s">
        <v>216</v>
      </c>
      <c r="E213" s="443" t="s">
        <v>1842</v>
      </c>
      <c r="F213" s="443" t="s">
        <v>1843</v>
      </c>
      <c r="I213" s="331"/>
      <c r="J213" s="444">
        <f>BK213</f>
        <v>0</v>
      </c>
      <c r="L213" s="433"/>
      <c r="M213" s="438"/>
      <c r="P213" s="439">
        <f>SUM(P214:P215)</f>
        <v>0</v>
      </c>
      <c r="R213" s="439">
        <f>SUM(R214:R215)</f>
        <v>0</v>
      </c>
      <c r="T213" s="440">
        <f>SUM(T214:T215)</f>
        <v>0</v>
      </c>
      <c r="AR213" s="435" t="s">
        <v>119</v>
      </c>
      <c r="AT213" s="441" t="s">
        <v>216</v>
      </c>
      <c r="AU213" s="441" t="s">
        <v>109</v>
      </c>
      <c r="AY213" s="435" t="s">
        <v>217</v>
      </c>
      <c r="BK213" s="442">
        <f>SUM(BK214:BK215)</f>
        <v>0</v>
      </c>
    </row>
    <row r="214" spans="2:65" s="365" customFormat="1" ht="49.15" customHeight="1" x14ac:dyDescent="0.25">
      <c r="B214" s="364"/>
      <c r="C214" s="445" t="s">
        <v>670</v>
      </c>
      <c r="D214" s="445" t="s">
        <v>218</v>
      </c>
      <c r="E214" s="446" t="s">
        <v>1844</v>
      </c>
      <c r="F214" s="447" t="s">
        <v>1845</v>
      </c>
      <c r="G214" s="448" t="s">
        <v>1846</v>
      </c>
      <c r="H214" s="449">
        <v>12</v>
      </c>
      <c r="I214" s="329">
        <v>0</v>
      </c>
      <c r="J214" s="450">
        <f>ROUND(I214*H214,2)</f>
        <v>0</v>
      </c>
      <c r="K214" s="451"/>
      <c r="L214" s="364"/>
      <c r="M214" s="452" t="s">
        <v>171</v>
      </c>
      <c r="N214" s="415" t="s">
        <v>185</v>
      </c>
      <c r="O214" s="453">
        <v>0</v>
      </c>
      <c r="P214" s="453">
        <f>O214*H214</f>
        <v>0</v>
      </c>
      <c r="Q214" s="453">
        <v>0</v>
      </c>
      <c r="R214" s="453">
        <f>Q214*H214</f>
        <v>0</v>
      </c>
      <c r="S214" s="453">
        <v>0</v>
      </c>
      <c r="T214" s="454">
        <f>S214*H214</f>
        <v>0</v>
      </c>
      <c r="AR214" s="455" t="s">
        <v>625</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625</v>
      </c>
      <c r="BM214" s="455" t="s">
        <v>1847</v>
      </c>
    </row>
    <row r="215" spans="2:65" s="365" customFormat="1" ht="66.75" customHeight="1" x14ac:dyDescent="0.25">
      <c r="B215" s="364"/>
      <c r="C215" s="445" t="s">
        <v>674</v>
      </c>
      <c r="D215" s="445" t="s">
        <v>218</v>
      </c>
      <c r="E215" s="446" t="s">
        <v>1848</v>
      </c>
      <c r="F215" s="447" t="s">
        <v>1849</v>
      </c>
      <c r="G215" s="448" t="s">
        <v>1846</v>
      </c>
      <c r="H215" s="449">
        <v>12</v>
      </c>
      <c r="I215" s="329">
        <v>0</v>
      </c>
      <c r="J215" s="450">
        <f>ROUND(I215*H215,2)</f>
        <v>0</v>
      </c>
      <c r="K215" s="451"/>
      <c r="L215" s="364"/>
      <c r="M215" s="468" t="s">
        <v>171</v>
      </c>
      <c r="N215" s="469" t="s">
        <v>185</v>
      </c>
      <c r="O215" s="470">
        <v>0</v>
      </c>
      <c r="P215" s="470">
        <f>O215*H215</f>
        <v>0</v>
      </c>
      <c r="Q215" s="470">
        <v>0</v>
      </c>
      <c r="R215" s="470">
        <f>Q215*H215</f>
        <v>0</v>
      </c>
      <c r="S215" s="470">
        <v>0</v>
      </c>
      <c r="T215" s="471">
        <f>S215*H215</f>
        <v>0</v>
      </c>
      <c r="AR215" s="455" t="s">
        <v>625</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625</v>
      </c>
      <c r="BM215" s="455" t="s">
        <v>1850</v>
      </c>
    </row>
    <row r="216" spans="2:65" s="365" customFormat="1" ht="6.95" customHeight="1" x14ac:dyDescent="0.25">
      <c r="B216" s="397"/>
      <c r="C216" s="398"/>
      <c r="D216" s="398"/>
      <c r="E216" s="398"/>
      <c r="F216" s="398"/>
      <c r="G216" s="398"/>
      <c r="H216" s="398"/>
      <c r="I216" s="398"/>
      <c r="J216" s="398"/>
      <c r="K216" s="398"/>
      <c r="L216" s="364"/>
    </row>
  </sheetData>
  <sheetProtection algorithmName="SHA-512" hashValue="+TclitAuw6x4VCWOJqndBDtO5gBm3uOTxIuLIVf75a9RME1oekHLyts9si8oxsBhv0KlI9xjXqpXPtJOB9sS9g==" saltValue="bVnZuZcyF4iTAb1t6xMV0w==" spinCount="100000" sheet="1" objects="1" scenarios="1"/>
  <autoFilter ref="C129:K215" xr:uid="{00000000-0009-0000-0000-000010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A4434-6C9C-4B42-A407-9A0BB34E4D47}">
  <sheetPr codeName="Hárok24">
    <pageSetUpPr fitToPage="1"/>
  </sheetPr>
  <dimension ref="B2:BM190"/>
  <sheetViews>
    <sheetView topLeftCell="A85" workbookViewId="0">
      <selection activeCell="J143" sqref="J143"/>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383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1851</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SUM(BE130:BE189)),  2)</f>
        <v>0</v>
      </c>
      <c r="G35" s="380"/>
      <c r="H35" s="380"/>
      <c r="I35" s="381">
        <v>0.23</v>
      </c>
      <c r="J35" s="379">
        <f>ROUND(((SUM(BE108:BE110) + SUM(BE130:BE189))*I35),  2)</f>
        <v>0</v>
      </c>
      <c r="L35" s="364"/>
    </row>
    <row r="36" spans="2:12" s="365" customFormat="1" ht="14.45" customHeight="1" x14ac:dyDescent="0.25">
      <c r="B36" s="364"/>
      <c r="E36" s="378" t="s">
        <v>185</v>
      </c>
      <c r="F36" s="382">
        <f>ROUND((SUM(BF108:BF110) + SUM(BF130:BF189)),  2)</f>
        <v>0</v>
      </c>
      <c r="I36" s="383">
        <v>0.23</v>
      </c>
      <c r="J36" s="382">
        <f>ROUND(((SUM(BF108:BF110) + SUM(BF130:BF189))*I36),  2)</f>
        <v>0</v>
      </c>
      <c r="L36" s="364"/>
    </row>
    <row r="37" spans="2:12" s="365" customFormat="1" ht="14.45" hidden="1" customHeight="1" x14ac:dyDescent="0.25">
      <c r="B37" s="364"/>
      <c r="E37" s="363" t="s">
        <v>186</v>
      </c>
      <c r="F37" s="382">
        <f>ROUND((SUM(BG108:BG110) + SUM(BG130:BG189)),  2)</f>
        <v>0</v>
      </c>
      <c r="I37" s="383">
        <v>0.23</v>
      </c>
      <c r="J37" s="382">
        <f>0</f>
        <v>0</v>
      </c>
      <c r="L37" s="364"/>
    </row>
    <row r="38" spans="2:12" s="365" customFormat="1" ht="14.45" hidden="1" customHeight="1" x14ac:dyDescent="0.25">
      <c r="B38" s="364"/>
      <c r="E38" s="363" t="s">
        <v>187</v>
      </c>
      <c r="F38" s="382">
        <f>ROUND((SUM(BH108:BH110) + SUM(BH130:BH189)),  2)</f>
        <v>0</v>
      </c>
      <c r="I38" s="383">
        <v>0.23</v>
      </c>
      <c r="J38" s="382">
        <f>0</f>
        <v>0</v>
      </c>
      <c r="L38" s="364"/>
    </row>
    <row r="39" spans="2:12" s="365" customFormat="1" ht="14.45" hidden="1" customHeight="1" x14ac:dyDescent="0.25">
      <c r="B39" s="364"/>
      <c r="E39" s="378" t="s">
        <v>188</v>
      </c>
      <c r="F39" s="379">
        <f>ROUND((SUM(BI108:BI110) + SUM(BI130:BI189)),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2506 - SO 402  Preložka telekomunikačných vedení UPC s.r.o., úsek A-D</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953</v>
      </c>
      <c r="E100" s="412"/>
      <c r="F100" s="412"/>
      <c r="G100" s="412"/>
      <c r="H100" s="412"/>
      <c r="I100" s="412"/>
      <c r="J100" s="413">
        <f>J148</f>
        <v>0</v>
      </c>
      <c r="L100" s="409"/>
    </row>
    <row r="101" spans="2:62" s="410" customFormat="1" ht="19.899999999999999" customHeight="1" x14ac:dyDescent="0.25">
      <c r="B101" s="409"/>
      <c r="D101" s="411" t="s">
        <v>414</v>
      </c>
      <c r="E101" s="412"/>
      <c r="F101" s="412"/>
      <c r="G101" s="412"/>
      <c r="H101" s="412"/>
      <c r="I101" s="412"/>
      <c r="J101" s="413">
        <f>J153</f>
        <v>0</v>
      </c>
      <c r="L101" s="409"/>
    </row>
    <row r="102" spans="2:62" s="405" customFormat="1" ht="24.95" customHeight="1" x14ac:dyDescent="0.25">
      <c r="B102" s="404"/>
      <c r="D102" s="406" t="s">
        <v>1616</v>
      </c>
      <c r="E102" s="407"/>
      <c r="F102" s="407"/>
      <c r="G102" s="407"/>
      <c r="H102" s="407"/>
      <c r="I102" s="407"/>
      <c r="J102" s="408">
        <f>J155</f>
        <v>0</v>
      </c>
      <c r="L102" s="404"/>
    </row>
    <row r="103" spans="2:62" s="410" customFormat="1" ht="19.899999999999999" customHeight="1" x14ac:dyDescent="0.25">
      <c r="B103" s="409"/>
      <c r="D103" s="411" t="s">
        <v>1617</v>
      </c>
      <c r="E103" s="412"/>
      <c r="F103" s="412"/>
      <c r="G103" s="412"/>
      <c r="H103" s="412"/>
      <c r="I103" s="412"/>
      <c r="J103" s="413">
        <f>J156</f>
        <v>0</v>
      </c>
      <c r="L103" s="409"/>
    </row>
    <row r="104" spans="2:62" s="410" customFormat="1" ht="19.899999999999999" customHeight="1" x14ac:dyDescent="0.25">
      <c r="B104" s="409"/>
      <c r="D104" s="411" t="s">
        <v>1618</v>
      </c>
      <c r="E104" s="412"/>
      <c r="F104" s="412"/>
      <c r="G104" s="412"/>
      <c r="H104" s="412"/>
      <c r="I104" s="412"/>
      <c r="J104" s="413">
        <f>J167</f>
        <v>0</v>
      </c>
      <c r="L104" s="409"/>
    </row>
    <row r="105" spans="2:62" s="410" customFormat="1" ht="19.899999999999999" customHeight="1" x14ac:dyDescent="0.25">
      <c r="B105" s="409"/>
      <c r="D105" s="411" t="s">
        <v>1619</v>
      </c>
      <c r="E105" s="412"/>
      <c r="F105" s="412"/>
      <c r="G105" s="412"/>
      <c r="H105" s="412"/>
      <c r="I105" s="412"/>
      <c r="J105" s="413">
        <f>J187</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3066</v>
      </c>
      <c r="J108" s="414">
        <f>ROUND(J109,2)</f>
        <v>0</v>
      </c>
      <c r="L108" s="364"/>
      <c r="N108" s="415" t="s">
        <v>183</v>
      </c>
    </row>
    <row r="109" spans="2:62" s="365" customFormat="1" ht="18" customHeight="1" x14ac:dyDescent="0.25">
      <c r="B109" s="364"/>
      <c r="D109" s="865" t="s">
        <v>3126</v>
      </c>
      <c r="E109" s="865"/>
      <c r="F109" s="865"/>
      <c r="J109" s="482">
        <f>J96*0.032</f>
        <v>0</v>
      </c>
      <c r="L109" s="364"/>
      <c r="N109" s="483" t="s">
        <v>185</v>
      </c>
      <c r="AY109" s="357" t="s">
        <v>1333</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3063</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59" t="str">
        <f>E7</f>
        <v>Cyklotrasa - Devín_RP1</v>
      </c>
      <c r="F120" s="860"/>
      <c r="G120" s="860"/>
      <c r="H120" s="860"/>
      <c r="L120" s="364"/>
    </row>
    <row r="121" spans="2:12" s="365" customFormat="1" ht="12" customHeight="1" x14ac:dyDescent="0.25">
      <c r="B121" s="364"/>
      <c r="C121" s="363" t="s">
        <v>408</v>
      </c>
      <c r="L121" s="364"/>
    </row>
    <row r="122" spans="2:12" s="365" customFormat="1" ht="30" customHeight="1" x14ac:dyDescent="0.25">
      <c r="B122" s="364"/>
      <c r="E122" s="857" t="str">
        <f>E9</f>
        <v>2506 - SO 402  Preložka telekomunikačných vedení UPC s.r.o., úsek A-D</v>
      </c>
      <c r="F122" s="858"/>
      <c r="G122" s="858"/>
      <c r="H122" s="858"/>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P131+P155</f>
        <v>21965.568505000003</v>
      </c>
      <c r="Q130" s="371"/>
      <c r="R130" s="430">
        <f>R131+R155</f>
        <v>69.252449999999982</v>
      </c>
      <c r="S130" s="371"/>
      <c r="T130" s="431">
        <f>T131+T155</f>
        <v>0</v>
      </c>
      <c r="AT130" s="357" t="s">
        <v>216</v>
      </c>
      <c r="AU130" s="357" t="s">
        <v>202</v>
      </c>
      <c r="BK130" s="432">
        <f>BK131+BK155</f>
        <v>0</v>
      </c>
    </row>
    <row r="131" spans="2:65" s="434" customFormat="1" ht="25.9" customHeight="1" x14ac:dyDescent="0.2">
      <c r="B131" s="433"/>
      <c r="D131" s="435" t="s">
        <v>216</v>
      </c>
      <c r="E131" s="436" t="s">
        <v>418</v>
      </c>
      <c r="F131" s="436" t="s">
        <v>419</v>
      </c>
      <c r="J131" s="437">
        <f>BK131</f>
        <v>0</v>
      </c>
      <c r="L131" s="433"/>
      <c r="M131" s="438"/>
      <c r="P131" s="439">
        <f>P132+P137+P148+P153</f>
        <v>398.41325500000011</v>
      </c>
      <c r="R131" s="439">
        <f>R132+R137+R148+R153</f>
        <v>1.5314199999999998</v>
      </c>
      <c r="T131" s="440">
        <f>T132+T137+T148+T153</f>
        <v>0</v>
      </c>
      <c r="AR131" s="435" t="s">
        <v>109</v>
      </c>
      <c r="AT131" s="441" t="s">
        <v>216</v>
      </c>
      <c r="AU131" s="441" t="s">
        <v>165</v>
      </c>
      <c r="AY131" s="435" t="s">
        <v>217</v>
      </c>
      <c r="BK131" s="442">
        <f>BK132+BK137+BK148+BK153</f>
        <v>0</v>
      </c>
    </row>
    <row r="132" spans="2:65" s="434" customFormat="1" ht="22.9" customHeight="1" x14ac:dyDescent="0.2">
      <c r="B132" s="433"/>
      <c r="D132" s="435" t="s">
        <v>216</v>
      </c>
      <c r="E132" s="443" t="s">
        <v>109</v>
      </c>
      <c r="F132" s="443" t="s">
        <v>220</v>
      </c>
      <c r="J132" s="444">
        <f>BK132</f>
        <v>0</v>
      </c>
      <c r="L132" s="433"/>
      <c r="M132" s="438"/>
      <c r="P132" s="439">
        <f>SUM(P133:P136)</f>
        <v>1.390255</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712</v>
      </c>
      <c r="F133" s="447" t="s">
        <v>1852</v>
      </c>
      <c r="G133" s="448" t="s">
        <v>114</v>
      </c>
      <c r="H133" s="449">
        <v>20.54</v>
      </c>
      <c r="I133" s="329">
        <v>0</v>
      </c>
      <c r="J133" s="450">
        <f>ROUND(I133*H133,2)</f>
        <v>0</v>
      </c>
      <c r="K133" s="451"/>
      <c r="L133" s="364"/>
      <c r="M133" s="452" t="s">
        <v>171</v>
      </c>
      <c r="N133" s="415" t="s">
        <v>185</v>
      </c>
      <c r="O133" s="453">
        <v>4.8899999999999999E-2</v>
      </c>
      <c r="P133" s="453">
        <f>O133*H133</f>
        <v>1.0044059999999999</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1853</v>
      </c>
    </row>
    <row r="134" spans="2:65" s="365" customFormat="1" ht="44.25" customHeight="1" x14ac:dyDescent="0.25">
      <c r="B134" s="364"/>
      <c r="C134" s="445" t="s">
        <v>108</v>
      </c>
      <c r="D134" s="445" t="s">
        <v>218</v>
      </c>
      <c r="E134" s="446" t="s">
        <v>714</v>
      </c>
      <c r="F134" s="447" t="s">
        <v>1854</v>
      </c>
      <c r="G134" s="448" t="s">
        <v>114</v>
      </c>
      <c r="H134" s="449">
        <v>41.1</v>
      </c>
      <c r="I134" s="329">
        <v>0</v>
      </c>
      <c r="J134" s="450">
        <f>ROUND(I134*H134,2)</f>
        <v>0</v>
      </c>
      <c r="K134" s="451"/>
      <c r="L134" s="364"/>
      <c r="M134" s="452" t="s">
        <v>171</v>
      </c>
      <c r="N134" s="415" t="s">
        <v>185</v>
      </c>
      <c r="O134" s="453">
        <v>5.3899999999999998E-3</v>
      </c>
      <c r="P134" s="453">
        <f>O134*H134</f>
        <v>0.221529</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1855</v>
      </c>
    </row>
    <row r="135" spans="2:65" s="365" customFormat="1" ht="21.75" customHeight="1" x14ac:dyDescent="0.25">
      <c r="B135" s="364"/>
      <c r="C135" s="445" t="s">
        <v>119</v>
      </c>
      <c r="D135" s="445" t="s">
        <v>218</v>
      </c>
      <c r="E135" s="446" t="s">
        <v>717</v>
      </c>
      <c r="F135" s="447" t="s">
        <v>224</v>
      </c>
      <c r="G135" s="448" t="s">
        <v>114</v>
      </c>
      <c r="H135" s="449">
        <v>20.54</v>
      </c>
      <c r="I135" s="329">
        <v>0</v>
      </c>
      <c r="J135" s="450">
        <f>ROUND(I135*H135,2)</f>
        <v>0</v>
      </c>
      <c r="K135" s="451"/>
      <c r="L135" s="364"/>
      <c r="M135" s="452" t="s">
        <v>171</v>
      </c>
      <c r="N135" s="415" t="s">
        <v>185</v>
      </c>
      <c r="O135" s="453">
        <v>8.0000000000000002E-3</v>
      </c>
      <c r="P135" s="453">
        <f>O135*H135</f>
        <v>0.16431999999999999</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1856</v>
      </c>
    </row>
    <row r="136" spans="2:65" s="365" customFormat="1" ht="24.2" customHeight="1" x14ac:dyDescent="0.25">
      <c r="B136" s="364"/>
      <c r="C136" s="445" t="s">
        <v>110</v>
      </c>
      <c r="D136" s="445" t="s">
        <v>218</v>
      </c>
      <c r="E136" s="446" t="s">
        <v>1101</v>
      </c>
      <c r="F136" s="447" t="s">
        <v>3129</v>
      </c>
      <c r="G136" s="448" t="s">
        <v>112</v>
      </c>
      <c r="H136" s="449">
        <f>Ponuka!S128</f>
        <v>36.930000000000007</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1857</v>
      </c>
    </row>
    <row r="137" spans="2:65" s="434" customFormat="1" ht="22.9" customHeight="1" x14ac:dyDescent="0.2">
      <c r="B137" s="433"/>
      <c r="D137" s="435" t="s">
        <v>216</v>
      </c>
      <c r="E137" s="443" t="s">
        <v>119</v>
      </c>
      <c r="F137" s="443" t="s">
        <v>541</v>
      </c>
      <c r="I137" s="467"/>
      <c r="J137" s="444">
        <f>BK137</f>
        <v>0</v>
      </c>
      <c r="L137" s="433"/>
      <c r="M137" s="438"/>
      <c r="P137" s="439">
        <f>SUM(P138:P147)</f>
        <v>378.54300000000006</v>
      </c>
      <c r="R137" s="439">
        <f>SUM(R138:R147)</f>
        <v>1.1234199999999999</v>
      </c>
      <c r="T137" s="440">
        <f>SUM(T138:T147)</f>
        <v>0</v>
      </c>
      <c r="AR137" s="435" t="s">
        <v>109</v>
      </c>
      <c r="AT137" s="441" t="s">
        <v>216</v>
      </c>
      <c r="AU137" s="441" t="s">
        <v>109</v>
      </c>
      <c r="AY137" s="435" t="s">
        <v>217</v>
      </c>
      <c r="BK137" s="442">
        <f>SUM(BK138:BK147)</f>
        <v>0</v>
      </c>
    </row>
    <row r="138" spans="2:65" s="365" customFormat="1" ht="24.2" customHeight="1" x14ac:dyDescent="0.25">
      <c r="B138" s="364"/>
      <c r="C138" s="445" t="s">
        <v>118</v>
      </c>
      <c r="D138" s="445" t="s">
        <v>218</v>
      </c>
      <c r="E138" s="446" t="s">
        <v>1858</v>
      </c>
      <c r="F138" s="447" t="s">
        <v>1859</v>
      </c>
      <c r="G138" s="448" t="s">
        <v>113</v>
      </c>
      <c r="H138" s="449">
        <v>1025</v>
      </c>
      <c r="I138" s="329">
        <v>0</v>
      </c>
      <c r="J138" s="450">
        <f t="shared" ref="J138:J147" si="0">ROUND(I138*H138,2)</f>
        <v>0</v>
      </c>
      <c r="K138" s="451"/>
      <c r="L138" s="364"/>
      <c r="M138" s="452" t="s">
        <v>171</v>
      </c>
      <c r="N138" s="415" t="s">
        <v>185</v>
      </c>
      <c r="O138" s="453">
        <v>4.4999999999999998E-2</v>
      </c>
      <c r="P138" s="453">
        <f t="shared" ref="P138:P147" si="1">O138*H138</f>
        <v>46.125</v>
      </c>
      <c r="Q138" s="453">
        <v>0</v>
      </c>
      <c r="R138" s="453">
        <f t="shared" ref="R138:R147" si="2">Q138*H138</f>
        <v>0</v>
      </c>
      <c r="S138" s="453">
        <v>0</v>
      </c>
      <c r="T138" s="454">
        <f t="shared" ref="T138:T147" si="3">S138*H138</f>
        <v>0</v>
      </c>
      <c r="AR138" s="455" t="s">
        <v>110</v>
      </c>
      <c r="AT138" s="455" t="s">
        <v>218</v>
      </c>
      <c r="AU138" s="455" t="s">
        <v>108</v>
      </c>
      <c r="AY138" s="357" t="s">
        <v>217</v>
      </c>
      <c r="BE138" s="456">
        <f t="shared" ref="BE138:BE147" si="4">IF(N138="základná",J138,0)</f>
        <v>0</v>
      </c>
      <c r="BF138" s="456">
        <f t="shared" ref="BF138:BF147" si="5">IF(N138="znížená",J138,0)</f>
        <v>0</v>
      </c>
      <c r="BG138" s="456">
        <f t="shared" ref="BG138:BG147" si="6">IF(N138="zákl. prenesená",J138,0)</f>
        <v>0</v>
      </c>
      <c r="BH138" s="456">
        <f t="shared" ref="BH138:BH147" si="7">IF(N138="zníž. prenesená",J138,0)</f>
        <v>0</v>
      </c>
      <c r="BI138" s="456">
        <f t="shared" ref="BI138:BI147" si="8">IF(N138="nulová",J138,0)</f>
        <v>0</v>
      </c>
      <c r="BJ138" s="357" t="s">
        <v>108</v>
      </c>
      <c r="BK138" s="456">
        <f t="shared" ref="BK138:BK147" si="9">ROUND(I138*H138,2)</f>
        <v>0</v>
      </c>
      <c r="BL138" s="357" t="s">
        <v>110</v>
      </c>
      <c r="BM138" s="455" t="s">
        <v>1860</v>
      </c>
    </row>
    <row r="139" spans="2:65" s="365" customFormat="1" ht="16.5" customHeight="1" x14ac:dyDescent="0.25">
      <c r="B139" s="364"/>
      <c r="C139" s="457" t="s">
        <v>117</v>
      </c>
      <c r="D139" s="457" t="s">
        <v>259</v>
      </c>
      <c r="E139" s="458" t="s">
        <v>1861</v>
      </c>
      <c r="F139" s="459" t="s">
        <v>1862</v>
      </c>
      <c r="G139" s="460" t="s">
        <v>113</v>
      </c>
      <c r="H139" s="461">
        <v>1025</v>
      </c>
      <c r="I139" s="330">
        <v>0</v>
      </c>
      <c r="J139" s="462">
        <f t="shared" si="0"/>
        <v>0</v>
      </c>
      <c r="K139" s="463"/>
      <c r="L139" s="464"/>
      <c r="M139" s="465" t="s">
        <v>171</v>
      </c>
      <c r="N139" s="466" t="s">
        <v>185</v>
      </c>
      <c r="O139" s="453">
        <v>0</v>
      </c>
      <c r="P139" s="453">
        <f t="shared" si="1"/>
        <v>0</v>
      </c>
      <c r="Q139" s="453">
        <v>4.6999999999999999E-4</v>
      </c>
      <c r="R139" s="453">
        <f t="shared" si="2"/>
        <v>0.48175000000000001</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1863</v>
      </c>
    </row>
    <row r="140" spans="2:65" s="365" customFormat="1" ht="16.5" customHeight="1" x14ac:dyDescent="0.25">
      <c r="B140" s="364"/>
      <c r="C140" s="457" t="s">
        <v>116</v>
      </c>
      <c r="D140" s="457" t="s">
        <v>259</v>
      </c>
      <c r="E140" s="458" t="s">
        <v>1633</v>
      </c>
      <c r="F140" s="459" t="s">
        <v>1634</v>
      </c>
      <c r="G140" s="460" t="s">
        <v>123</v>
      </c>
      <c r="H140" s="461">
        <v>100</v>
      </c>
      <c r="I140" s="330">
        <v>0</v>
      </c>
      <c r="J140" s="462">
        <f t="shared" si="0"/>
        <v>0</v>
      </c>
      <c r="K140" s="463"/>
      <c r="L140" s="464"/>
      <c r="M140" s="465" t="s">
        <v>171</v>
      </c>
      <c r="N140" s="466" t="s">
        <v>185</v>
      </c>
      <c r="O140" s="453">
        <v>0</v>
      </c>
      <c r="P140" s="453">
        <f t="shared" si="1"/>
        <v>0</v>
      </c>
      <c r="Q140" s="453">
        <v>4.0000000000000002E-4</v>
      </c>
      <c r="R140" s="453">
        <f t="shared" si="2"/>
        <v>0.04</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1635</v>
      </c>
    </row>
    <row r="141" spans="2:65" s="365" customFormat="1" ht="24.2" customHeight="1" x14ac:dyDescent="0.25">
      <c r="B141" s="364"/>
      <c r="C141" s="445" t="s">
        <v>115</v>
      </c>
      <c r="D141" s="445" t="s">
        <v>218</v>
      </c>
      <c r="E141" s="446" t="s">
        <v>1636</v>
      </c>
      <c r="F141" s="447" t="s">
        <v>1637</v>
      </c>
      <c r="G141" s="448" t="s">
        <v>113</v>
      </c>
      <c r="H141" s="449">
        <v>1715</v>
      </c>
      <c r="I141" s="329">
        <v>0</v>
      </c>
      <c r="J141" s="450">
        <f t="shared" si="0"/>
        <v>0</v>
      </c>
      <c r="K141" s="451"/>
      <c r="L141" s="364"/>
      <c r="M141" s="452" t="s">
        <v>171</v>
      </c>
      <c r="N141" s="415" t="s">
        <v>185</v>
      </c>
      <c r="O141" s="453">
        <v>0.19</v>
      </c>
      <c r="P141" s="453">
        <f t="shared" si="1"/>
        <v>325.85000000000002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1638</v>
      </c>
    </row>
    <row r="142" spans="2:65" s="365" customFormat="1" ht="16.5" customHeight="1" x14ac:dyDescent="0.25">
      <c r="B142" s="364"/>
      <c r="C142" s="457" t="s">
        <v>162</v>
      </c>
      <c r="D142" s="457" t="s">
        <v>259</v>
      </c>
      <c r="E142" s="458" t="s">
        <v>1639</v>
      </c>
      <c r="F142" s="459" t="s">
        <v>1640</v>
      </c>
      <c r="G142" s="460" t="s">
        <v>113</v>
      </c>
      <c r="H142" s="461">
        <v>5145</v>
      </c>
      <c r="I142" s="330">
        <v>0</v>
      </c>
      <c r="J142" s="462">
        <f t="shared" si="0"/>
        <v>0</v>
      </c>
      <c r="K142" s="463"/>
      <c r="L142" s="464"/>
      <c r="M142" s="465" t="s">
        <v>171</v>
      </c>
      <c r="N142" s="466" t="s">
        <v>185</v>
      </c>
      <c r="O142" s="453">
        <v>0</v>
      </c>
      <c r="P142" s="453">
        <f t="shared" si="1"/>
        <v>0</v>
      </c>
      <c r="Q142" s="453">
        <v>1.1E-4</v>
      </c>
      <c r="R142" s="453">
        <f t="shared" si="2"/>
        <v>0.56595000000000006</v>
      </c>
      <c r="S142" s="453">
        <v>0</v>
      </c>
      <c r="T142" s="454">
        <f t="shared" si="3"/>
        <v>0</v>
      </c>
      <c r="AR142" s="455" t="s">
        <v>1631</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1631</v>
      </c>
      <c r="BM142" s="455" t="s">
        <v>1641</v>
      </c>
    </row>
    <row r="143" spans="2:65" s="365" customFormat="1" ht="16.5" customHeight="1" x14ac:dyDescent="0.25">
      <c r="B143" s="364"/>
      <c r="C143" s="445" t="s">
        <v>221</v>
      </c>
      <c r="D143" s="445" t="s">
        <v>218</v>
      </c>
      <c r="E143" s="446" t="s">
        <v>1648</v>
      </c>
      <c r="F143" s="447" t="s">
        <v>1649</v>
      </c>
      <c r="G143" s="448" t="s">
        <v>123</v>
      </c>
      <c r="H143" s="449">
        <v>12</v>
      </c>
      <c r="I143" s="329">
        <v>0</v>
      </c>
      <c r="J143" s="450">
        <f t="shared" si="0"/>
        <v>0</v>
      </c>
      <c r="K143" s="451"/>
      <c r="L143" s="364"/>
      <c r="M143" s="452" t="s">
        <v>171</v>
      </c>
      <c r="N143" s="415" t="s">
        <v>185</v>
      </c>
      <c r="O143" s="453">
        <v>5.5E-2</v>
      </c>
      <c r="P143" s="453">
        <f t="shared" si="1"/>
        <v>0.66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1650</v>
      </c>
    </row>
    <row r="144" spans="2:65" s="365" customFormat="1" ht="16.5" customHeight="1" x14ac:dyDescent="0.25">
      <c r="B144" s="364"/>
      <c r="C144" s="457" t="s">
        <v>222</v>
      </c>
      <c r="D144" s="457" t="s">
        <v>259</v>
      </c>
      <c r="E144" s="458" t="s">
        <v>1651</v>
      </c>
      <c r="F144" s="459" t="s">
        <v>1652</v>
      </c>
      <c r="G144" s="460" t="s">
        <v>123</v>
      </c>
      <c r="H144" s="461">
        <v>12</v>
      </c>
      <c r="I144" s="330">
        <v>0</v>
      </c>
      <c r="J144" s="462">
        <f t="shared" si="0"/>
        <v>0</v>
      </c>
      <c r="K144" s="463"/>
      <c r="L144" s="464"/>
      <c r="M144" s="465" t="s">
        <v>171</v>
      </c>
      <c r="N144" s="466" t="s">
        <v>185</v>
      </c>
      <c r="O144" s="453">
        <v>0</v>
      </c>
      <c r="P144" s="453">
        <f t="shared" si="1"/>
        <v>0</v>
      </c>
      <c r="Q144" s="453">
        <v>1.0000000000000001E-5</v>
      </c>
      <c r="R144" s="453">
        <f t="shared" si="2"/>
        <v>1.2000000000000002E-4</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1653</v>
      </c>
    </row>
    <row r="145" spans="2:65" s="365" customFormat="1" ht="16.5" customHeight="1" x14ac:dyDescent="0.25">
      <c r="B145" s="364"/>
      <c r="C145" s="445" t="s">
        <v>223</v>
      </c>
      <c r="D145" s="445" t="s">
        <v>218</v>
      </c>
      <c r="E145" s="446" t="s">
        <v>1654</v>
      </c>
      <c r="F145" s="447" t="s">
        <v>1655</v>
      </c>
      <c r="G145" s="448" t="s">
        <v>123</v>
      </c>
      <c r="H145" s="449">
        <v>4</v>
      </c>
      <c r="I145" s="329">
        <v>0</v>
      </c>
      <c r="J145" s="450">
        <f t="shared" si="0"/>
        <v>0</v>
      </c>
      <c r="K145" s="451"/>
      <c r="L145" s="364"/>
      <c r="M145" s="452" t="s">
        <v>171</v>
      </c>
      <c r="N145" s="415" t="s">
        <v>185</v>
      </c>
      <c r="O145" s="453">
        <v>1.4770000000000001</v>
      </c>
      <c r="P145" s="453">
        <f t="shared" si="1"/>
        <v>5.9080000000000004</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1656</v>
      </c>
    </row>
    <row r="146" spans="2:65" s="365" customFormat="1" ht="16.5" customHeight="1" x14ac:dyDescent="0.25">
      <c r="B146" s="364"/>
      <c r="C146" s="457" t="s">
        <v>225</v>
      </c>
      <c r="D146" s="457" t="s">
        <v>259</v>
      </c>
      <c r="E146" s="458" t="s">
        <v>1864</v>
      </c>
      <c r="F146" s="459" t="s">
        <v>1865</v>
      </c>
      <c r="G146" s="460" t="s">
        <v>123</v>
      </c>
      <c r="H146" s="461">
        <v>3</v>
      </c>
      <c r="I146" s="330">
        <v>0</v>
      </c>
      <c r="J146" s="462">
        <f t="shared" si="0"/>
        <v>0</v>
      </c>
      <c r="K146" s="463"/>
      <c r="L146" s="464"/>
      <c r="M146" s="465" t="s">
        <v>171</v>
      </c>
      <c r="N146" s="466" t="s">
        <v>185</v>
      </c>
      <c r="O146" s="453">
        <v>0</v>
      </c>
      <c r="P146" s="453">
        <f t="shared" si="1"/>
        <v>0</v>
      </c>
      <c r="Q146" s="453">
        <v>8.8999999999999999E-3</v>
      </c>
      <c r="R146" s="453">
        <f t="shared" si="2"/>
        <v>2.6700000000000002E-2</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1866</v>
      </c>
    </row>
    <row r="147" spans="2:65" s="365" customFormat="1" ht="16.5" customHeight="1" x14ac:dyDescent="0.25">
      <c r="B147" s="364"/>
      <c r="C147" s="457" t="s">
        <v>226</v>
      </c>
      <c r="D147" s="457" t="s">
        <v>259</v>
      </c>
      <c r="E147" s="458" t="s">
        <v>1867</v>
      </c>
      <c r="F147" s="459" t="s">
        <v>1868</v>
      </c>
      <c r="G147" s="460" t="s">
        <v>123</v>
      </c>
      <c r="H147" s="461">
        <v>1</v>
      </c>
      <c r="I147" s="330">
        <v>0</v>
      </c>
      <c r="J147" s="462">
        <f t="shared" si="0"/>
        <v>0</v>
      </c>
      <c r="K147" s="463"/>
      <c r="L147" s="464"/>
      <c r="M147" s="465" t="s">
        <v>171</v>
      </c>
      <c r="N147" s="466" t="s">
        <v>185</v>
      </c>
      <c r="O147" s="453">
        <v>0</v>
      </c>
      <c r="P147" s="453">
        <f t="shared" si="1"/>
        <v>0</v>
      </c>
      <c r="Q147" s="453">
        <v>8.8999999999999999E-3</v>
      </c>
      <c r="R147" s="453">
        <f t="shared" si="2"/>
        <v>8.8999999999999999E-3</v>
      </c>
      <c r="S147" s="453">
        <v>0</v>
      </c>
      <c r="T147" s="454">
        <f t="shared" si="3"/>
        <v>0</v>
      </c>
      <c r="AR147" s="455" t="s">
        <v>115</v>
      </c>
      <c r="AT147" s="455" t="s">
        <v>259</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1869</v>
      </c>
    </row>
    <row r="148" spans="2:65" s="434" customFormat="1" ht="22.9" customHeight="1" x14ac:dyDescent="0.2">
      <c r="B148" s="433"/>
      <c r="D148" s="435" t="s">
        <v>216</v>
      </c>
      <c r="E148" s="443" t="s">
        <v>115</v>
      </c>
      <c r="F148" s="443" t="s">
        <v>1023</v>
      </c>
      <c r="I148" s="467"/>
      <c r="J148" s="444">
        <f>BK148</f>
        <v>0</v>
      </c>
      <c r="L148" s="433"/>
      <c r="M148" s="438"/>
      <c r="P148" s="439">
        <f>SUM(P149:P152)</f>
        <v>18.48</v>
      </c>
      <c r="R148" s="439">
        <f>SUM(R149:R152)</f>
        <v>0.40800000000000003</v>
      </c>
      <c r="T148" s="440">
        <f>SUM(T149:T152)</f>
        <v>0</v>
      </c>
      <c r="AR148" s="435" t="s">
        <v>109</v>
      </c>
      <c r="AT148" s="441" t="s">
        <v>216</v>
      </c>
      <c r="AU148" s="441" t="s">
        <v>109</v>
      </c>
      <c r="AY148" s="435" t="s">
        <v>217</v>
      </c>
      <c r="BK148" s="442">
        <f>SUM(BK149:BK152)</f>
        <v>0</v>
      </c>
    </row>
    <row r="149" spans="2:65" s="365" customFormat="1" ht="24.2" customHeight="1" x14ac:dyDescent="0.25">
      <c r="B149" s="364"/>
      <c r="C149" s="445" t="s">
        <v>227</v>
      </c>
      <c r="D149" s="445" t="s">
        <v>218</v>
      </c>
      <c r="E149" s="446" t="s">
        <v>1870</v>
      </c>
      <c r="F149" s="447" t="s">
        <v>1871</v>
      </c>
      <c r="G149" s="448" t="s">
        <v>123</v>
      </c>
      <c r="H149" s="449">
        <v>2</v>
      </c>
      <c r="I149" s="329">
        <v>0</v>
      </c>
      <c r="J149" s="450">
        <f>ROUND(I149*H149,2)</f>
        <v>0</v>
      </c>
      <c r="K149" s="451"/>
      <c r="L149" s="364"/>
      <c r="M149" s="452" t="s">
        <v>171</v>
      </c>
      <c r="N149" s="415" t="s">
        <v>185</v>
      </c>
      <c r="O149" s="453">
        <v>4.62</v>
      </c>
      <c r="P149" s="453">
        <f>O149*H149</f>
        <v>9.24</v>
      </c>
      <c r="Q149" s="453">
        <v>8.5999999999999993E-2</v>
      </c>
      <c r="R149" s="453">
        <f>Q149*H149</f>
        <v>0.17199999999999999</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1872</v>
      </c>
    </row>
    <row r="150" spans="2:65" s="365" customFormat="1" ht="24.2" customHeight="1" x14ac:dyDescent="0.25">
      <c r="B150" s="364"/>
      <c r="C150" s="445" t="s">
        <v>228</v>
      </c>
      <c r="D150" s="445" t="s">
        <v>218</v>
      </c>
      <c r="E150" s="446" t="s">
        <v>1873</v>
      </c>
      <c r="F150" s="447" t="s">
        <v>1874</v>
      </c>
      <c r="G150" s="448" t="s">
        <v>123</v>
      </c>
      <c r="H150" s="449">
        <v>2</v>
      </c>
      <c r="I150" s="329">
        <v>0</v>
      </c>
      <c r="J150" s="450">
        <f>ROUND(I150*H150,2)</f>
        <v>0</v>
      </c>
      <c r="K150" s="451"/>
      <c r="L150" s="364"/>
      <c r="M150" s="452" t="s">
        <v>171</v>
      </c>
      <c r="N150" s="415" t="s">
        <v>185</v>
      </c>
      <c r="O150" s="453">
        <v>4.62</v>
      </c>
      <c r="P150" s="453">
        <f>O150*H150</f>
        <v>9.24</v>
      </c>
      <c r="Q150" s="453">
        <v>8.5999999999999993E-2</v>
      </c>
      <c r="R150" s="453">
        <f>Q150*H150</f>
        <v>0.17199999999999999</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1875</v>
      </c>
    </row>
    <row r="151" spans="2:65" s="365" customFormat="1" ht="16.5" customHeight="1" x14ac:dyDescent="0.25">
      <c r="B151" s="364"/>
      <c r="C151" s="457" t="s">
        <v>229</v>
      </c>
      <c r="D151" s="457" t="s">
        <v>259</v>
      </c>
      <c r="E151" s="458" t="s">
        <v>1876</v>
      </c>
      <c r="F151" s="459" t="s">
        <v>1877</v>
      </c>
      <c r="G151" s="460" t="s">
        <v>123</v>
      </c>
      <c r="H151" s="461">
        <v>2</v>
      </c>
      <c r="I151" s="330">
        <v>0</v>
      </c>
      <c r="J151" s="462">
        <f>ROUND(I151*H151,2)</f>
        <v>0</v>
      </c>
      <c r="K151" s="463"/>
      <c r="L151" s="464"/>
      <c r="M151" s="465" t="s">
        <v>171</v>
      </c>
      <c r="N151" s="466" t="s">
        <v>185</v>
      </c>
      <c r="O151" s="453">
        <v>0</v>
      </c>
      <c r="P151" s="453">
        <f>O151*H151</f>
        <v>0</v>
      </c>
      <c r="Q151" s="453">
        <v>1.6E-2</v>
      </c>
      <c r="R151" s="453">
        <f>Q151*H151</f>
        <v>3.2000000000000001E-2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1878</v>
      </c>
    </row>
    <row r="152" spans="2:65" s="365" customFormat="1" ht="16.5" customHeight="1" x14ac:dyDescent="0.25">
      <c r="B152" s="364"/>
      <c r="C152" s="457" t="s">
        <v>231</v>
      </c>
      <c r="D152" s="457" t="s">
        <v>259</v>
      </c>
      <c r="E152" s="458" t="s">
        <v>1879</v>
      </c>
      <c r="F152" s="459" t="s">
        <v>1880</v>
      </c>
      <c r="G152" s="460" t="s">
        <v>123</v>
      </c>
      <c r="H152" s="461">
        <v>2</v>
      </c>
      <c r="I152" s="330">
        <v>0</v>
      </c>
      <c r="J152" s="462">
        <f>ROUND(I152*H152,2)</f>
        <v>0</v>
      </c>
      <c r="K152" s="463"/>
      <c r="L152" s="464"/>
      <c r="M152" s="465" t="s">
        <v>171</v>
      </c>
      <c r="N152" s="466" t="s">
        <v>185</v>
      </c>
      <c r="O152" s="453">
        <v>0</v>
      </c>
      <c r="P152" s="453">
        <f>O152*H152</f>
        <v>0</v>
      </c>
      <c r="Q152" s="453">
        <v>1.6E-2</v>
      </c>
      <c r="R152" s="453">
        <f>Q152*H152</f>
        <v>3.2000000000000001E-2</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1665</v>
      </c>
    </row>
    <row r="153" spans="2:65" s="434" customFormat="1" ht="22.9" customHeight="1" x14ac:dyDescent="0.2">
      <c r="B153" s="433"/>
      <c r="D153" s="435" t="s">
        <v>216</v>
      </c>
      <c r="E153" s="443" t="s">
        <v>162</v>
      </c>
      <c r="F153" s="443" t="s">
        <v>633</v>
      </c>
      <c r="I153" s="467"/>
      <c r="J153" s="444">
        <f>BK153</f>
        <v>0</v>
      </c>
      <c r="L153" s="433"/>
      <c r="M153" s="438"/>
      <c r="P153" s="439">
        <f>P154</f>
        <v>0</v>
      </c>
      <c r="R153" s="439">
        <f>R154</f>
        <v>0</v>
      </c>
      <c r="T153" s="440">
        <f>T154</f>
        <v>0</v>
      </c>
      <c r="AR153" s="435" t="s">
        <v>109</v>
      </c>
      <c r="AT153" s="441" t="s">
        <v>216</v>
      </c>
      <c r="AU153" s="441" t="s">
        <v>109</v>
      </c>
      <c r="AY153" s="435" t="s">
        <v>217</v>
      </c>
      <c r="BK153" s="442">
        <f>BK154</f>
        <v>0</v>
      </c>
    </row>
    <row r="154" spans="2:65" s="365" customFormat="1" ht="62.65" customHeight="1" x14ac:dyDescent="0.25">
      <c r="B154" s="364"/>
      <c r="C154" s="445" t="s">
        <v>232</v>
      </c>
      <c r="D154" s="445" t="s">
        <v>218</v>
      </c>
      <c r="E154" s="446" t="s">
        <v>638</v>
      </c>
      <c r="F154" s="447" t="s">
        <v>3130</v>
      </c>
      <c r="G154" s="448" t="s">
        <v>112</v>
      </c>
      <c r="H154" s="449">
        <f>Ponuka!R128</f>
        <v>86.169999999999987</v>
      </c>
      <c r="I154" s="329">
        <v>0</v>
      </c>
      <c r="J154" s="450">
        <f>ROUND(I154*H154,2)</f>
        <v>0</v>
      </c>
      <c r="K154" s="451"/>
      <c r="L154" s="364"/>
      <c r="M154" s="452" t="s">
        <v>171</v>
      </c>
      <c r="N154" s="415" t="s">
        <v>185</v>
      </c>
      <c r="O154" s="453">
        <v>0</v>
      </c>
      <c r="P154" s="453">
        <f>O154*H154</f>
        <v>0</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1881</v>
      </c>
    </row>
    <row r="155" spans="2:65" s="434" customFormat="1" ht="25.9" customHeight="1" x14ac:dyDescent="0.2">
      <c r="B155" s="433"/>
      <c r="D155" s="435" t="s">
        <v>216</v>
      </c>
      <c r="E155" s="436" t="s">
        <v>259</v>
      </c>
      <c r="F155" s="436" t="s">
        <v>1667</v>
      </c>
      <c r="I155" s="467"/>
      <c r="J155" s="437">
        <f>BK155</f>
        <v>0</v>
      </c>
      <c r="L155" s="433"/>
      <c r="M155" s="438"/>
      <c r="P155" s="439">
        <f>P156+P167+P187</f>
        <v>21567.155250000003</v>
      </c>
      <c r="R155" s="439">
        <f>R156+R167+R187</f>
        <v>67.721029999999985</v>
      </c>
      <c r="T155" s="440">
        <f>T156+T167+T187</f>
        <v>0</v>
      </c>
      <c r="AR155" s="435" t="s">
        <v>119</v>
      </c>
      <c r="AT155" s="441" t="s">
        <v>216</v>
      </c>
      <c r="AU155" s="441" t="s">
        <v>165</v>
      </c>
      <c r="AY155" s="435" t="s">
        <v>217</v>
      </c>
      <c r="BK155" s="442">
        <f>BK156+BK167+BK187</f>
        <v>0</v>
      </c>
    </row>
    <row r="156" spans="2:65" s="434" customFormat="1" ht="22.9" customHeight="1" x14ac:dyDescent="0.2">
      <c r="B156" s="433"/>
      <c r="D156" s="435" t="s">
        <v>216</v>
      </c>
      <c r="E156" s="443" t="s">
        <v>1668</v>
      </c>
      <c r="F156" s="443" t="s">
        <v>1669</v>
      </c>
      <c r="I156" s="467"/>
      <c r="J156" s="444">
        <f>BK156</f>
        <v>0</v>
      </c>
      <c r="L156" s="433"/>
      <c r="M156" s="438"/>
      <c r="P156" s="439">
        <f>SUM(P157:P166)</f>
        <v>20531.819000000003</v>
      </c>
      <c r="R156" s="439">
        <f>SUM(R157:R166)</f>
        <v>0.29060000000000002</v>
      </c>
      <c r="T156" s="440">
        <f>SUM(T157:T166)</f>
        <v>0</v>
      </c>
      <c r="AR156" s="435" t="s">
        <v>119</v>
      </c>
      <c r="AT156" s="441" t="s">
        <v>216</v>
      </c>
      <c r="AU156" s="441" t="s">
        <v>109</v>
      </c>
      <c r="AY156" s="435" t="s">
        <v>217</v>
      </c>
      <c r="BK156" s="442">
        <f>SUM(BK157:BK166)</f>
        <v>0</v>
      </c>
    </row>
    <row r="157" spans="2:65" s="365" customFormat="1" ht="24.2" customHeight="1" x14ac:dyDescent="0.25">
      <c r="B157" s="364"/>
      <c r="C157" s="445" t="s">
        <v>234</v>
      </c>
      <c r="D157" s="445" t="s">
        <v>218</v>
      </c>
      <c r="E157" s="446" t="s">
        <v>1882</v>
      </c>
      <c r="F157" s="447" t="s">
        <v>1883</v>
      </c>
      <c r="G157" s="448" t="s">
        <v>123</v>
      </c>
      <c r="H157" s="449">
        <v>2</v>
      </c>
      <c r="I157" s="329">
        <v>0</v>
      </c>
      <c r="J157" s="450">
        <f t="shared" ref="J157:J166" si="10">ROUND(I157*H157,2)</f>
        <v>0</v>
      </c>
      <c r="K157" s="451"/>
      <c r="L157" s="364"/>
      <c r="M157" s="452" t="s">
        <v>171</v>
      </c>
      <c r="N157" s="415" t="s">
        <v>185</v>
      </c>
      <c r="O157" s="453">
        <v>1.151</v>
      </c>
      <c r="P157" s="453">
        <f t="shared" ref="P157:P166" si="11">O157*H157</f>
        <v>2.302</v>
      </c>
      <c r="Q157" s="453">
        <v>0</v>
      </c>
      <c r="R157" s="453">
        <f t="shared" ref="R157:R166" si="12">Q157*H157</f>
        <v>0</v>
      </c>
      <c r="S157" s="453">
        <v>0</v>
      </c>
      <c r="T157" s="454">
        <f t="shared" ref="T157:T166" si="13">S157*H157</f>
        <v>0</v>
      </c>
      <c r="AR157" s="455" t="s">
        <v>625</v>
      </c>
      <c r="AT157" s="455" t="s">
        <v>218</v>
      </c>
      <c r="AU157" s="455" t="s">
        <v>108</v>
      </c>
      <c r="AY157" s="357" t="s">
        <v>217</v>
      </c>
      <c r="BE157" s="456">
        <f t="shared" ref="BE157:BE166" si="14">IF(N157="základná",J157,0)</f>
        <v>0</v>
      </c>
      <c r="BF157" s="456">
        <f t="shared" ref="BF157:BF166" si="15">IF(N157="znížená",J157,0)</f>
        <v>0</v>
      </c>
      <c r="BG157" s="456">
        <f t="shared" ref="BG157:BG166" si="16">IF(N157="zákl. prenesená",J157,0)</f>
        <v>0</v>
      </c>
      <c r="BH157" s="456">
        <f t="shared" ref="BH157:BH166" si="17">IF(N157="zníž. prenesená",J157,0)</f>
        <v>0</v>
      </c>
      <c r="BI157" s="456">
        <f t="shared" ref="BI157:BI166" si="18">IF(N157="nulová",J157,0)</f>
        <v>0</v>
      </c>
      <c r="BJ157" s="357" t="s">
        <v>108</v>
      </c>
      <c r="BK157" s="456">
        <f t="shared" ref="BK157:BK166" si="19">ROUND(I157*H157,2)</f>
        <v>0</v>
      </c>
      <c r="BL157" s="357" t="s">
        <v>625</v>
      </c>
      <c r="BM157" s="455" t="s">
        <v>1884</v>
      </c>
    </row>
    <row r="158" spans="2:65" s="365" customFormat="1" ht="24.2" customHeight="1" x14ac:dyDescent="0.25">
      <c r="B158" s="364"/>
      <c r="C158" s="445" t="s">
        <v>235</v>
      </c>
      <c r="D158" s="445" t="s">
        <v>218</v>
      </c>
      <c r="E158" s="446" t="s">
        <v>1885</v>
      </c>
      <c r="F158" s="447" t="s">
        <v>1886</v>
      </c>
      <c r="G158" s="448" t="s">
        <v>123</v>
      </c>
      <c r="H158" s="449">
        <v>4</v>
      </c>
      <c r="I158" s="329">
        <v>0</v>
      </c>
      <c r="J158" s="450">
        <f t="shared" si="10"/>
        <v>0</v>
      </c>
      <c r="K158" s="451"/>
      <c r="L158" s="364"/>
      <c r="M158" s="452" t="s">
        <v>171</v>
      </c>
      <c r="N158" s="415" t="s">
        <v>185</v>
      </c>
      <c r="O158" s="453">
        <v>2.952</v>
      </c>
      <c r="P158" s="453">
        <f t="shared" si="11"/>
        <v>11.808</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1887</v>
      </c>
    </row>
    <row r="159" spans="2:65" s="365" customFormat="1" ht="24.2" customHeight="1" x14ac:dyDescent="0.25">
      <c r="B159" s="364"/>
      <c r="C159" s="445" t="s">
        <v>236</v>
      </c>
      <c r="D159" s="445" t="s">
        <v>218</v>
      </c>
      <c r="E159" s="446" t="s">
        <v>1740</v>
      </c>
      <c r="F159" s="447" t="s">
        <v>1741</v>
      </c>
      <c r="G159" s="448" t="s">
        <v>113</v>
      </c>
      <c r="H159" s="449">
        <v>3507</v>
      </c>
      <c r="I159" s="329">
        <v>0</v>
      </c>
      <c r="J159" s="450">
        <f t="shared" si="10"/>
        <v>0</v>
      </c>
      <c r="K159" s="451"/>
      <c r="L159" s="364"/>
      <c r="M159" s="452" t="s">
        <v>171</v>
      </c>
      <c r="N159" s="415" t="s">
        <v>185</v>
      </c>
      <c r="O159" s="453">
        <v>1.4999999999999999E-2</v>
      </c>
      <c r="P159" s="453">
        <f t="shared" si="11"/>
        <v>52.604999999999997</v>
      </c>
      <c r="Q159" s="453">
        <v>0</v>
      </c>
      <c r="R159" s="453">
        <f t="shared" si="12"/>
        <v>0</v>
      </c>
      <c r="S159" s="453">
        <v>0</v>
      </c>
      <c r="T159" s="454">
        <f t="shared" si="13"/>
        <v>0</v>
      </c>
      <c r="AR159" s="455" t="s">
        <v>625</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625</v>
      </c>
      <c r="BM159" s="455" t="s">
        <v>1742</v>
      </c>
    </row>
    <row r="160" spans="2:65" s="365" customFormat="1" ht="24.2" customHeight="1" x14ac:dyDescent="0.25">
      <c r="B160" s="364"/>
      <c r="C160" s="445" t="s">
        <v>237</v>
      </c>
      <c r="D160" s="445" t="s">
        <v>218</v>
      </c>
      <c r="E160" s="446" t="s">
        <v>1743</v>
      </c>
      <c r="F160" s="447" t="s">
        <v>1744</v>
      </c>
      <c r="G160" s="448" t="s">
        <v>113</v>
      </c>
      <c r="H160" s="449">
        <v>3600</v>
      </c>
      <c r="I160" s="329">
        <v>0</v>
      </c>
      <c r="J160" s="450">
        <f t="shared" si="10"/>
        <v>0</v>
      </c>
      <c r="K160" s="451"/>
      <c r="L160" s="364"/>
      <c r="M160" s="452" t="s">
        <v>171</v>
      </c>
      <c r="N160" s="415" t="s">
        <v>185</v>
      </c>
      <c r="O160" s="453">
        <v>1.7000000000000001E-2</v>
      </c>
      <c r="P160" s="453">
        <f t="shared" si="11"/>
        <v>61.2</v>
      </c>
      <c r="Q160" s="453">
        <v>0</v>
      </c>
      <c r="R160" s="453">
        <f t="shared" si="12"/>
        <v>0</v>
      </c>
      <c r="S160" s="453">
        <v>0</v>
      </c>
      <c r="T160" s="454">
        <f t="shared" si="13"/>
        <v>0</v>
      </c>
      <c r="AR160" s="455" t="s">
        <v>625</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625</v>
      </c>
      <c r="BM160" s="455" t="s">
        <v>1745</v>
      </c>
    </row>
    <row r="161" spans="2:65" s="365" customFormat="1" ht="16.5" customHeight="1" x14ac:dyDescent="0.25">
      <c r="B161" s="364"/>
      <c r="C161" s="457" t="s">
        <v>238</v>
      </c>
      <c r="D161" s="457" t="s">
        <v>259</v>
      </c>
      <c r="E161" s="458" t="s">
        <v>1888</v>
      </c>
      <c r="F161" s="459" t="s">
        <v>1889</v>
      </c>
      <c r="G161" s="460" t="s">
        <v>113</v>
      </c>
      <c r="H161" s="461">
        <v>3600</v>
      </c>
      <c r="I161" s="330">
        <v>0</v>
      </c>
      <c r="J161" s="462">
        <f t="shared" si="10"/>
        <v>0</v>
      </c>
      <c r="K161" s="463"/>
      <c r="L161" s="464"/>
      <c r="M161" s="465" t="s">
        <v>171</v>
      </c>
      <c r="N161" s="466" t="s">
        <v>185</v>
      </c>
      <c r="O161" s="453">
        <v>0</v>
      </c>
      <c r="P161" s="453">
        <f t="shared" si="11"/>
        <v>0</v>
      </c>
      <c r="Q161" s="453">
        <v>8.0000000000000007E-5</v>
      </c>
      <c r="R161" s="453">
        <f t="shared" si="12"/>
        <v>0.28800000000000003</v>
      </c>
      <c r="S161" s="453">
        <v>0</v>
      </c>
      <c r="T161" s="454">
        <f t="shared" si="13"/>
        <v>0</v>
      </c>
      <c r="AR161" s="455" t="s">
        <v>1631</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1631</v>
      </c>
      <c r="BM161" s="455" t="s">
        <v>1751</v>
      </c>
    </row>
    <row r="162" spans="2:65" s="365" customFormat="1" ht="24.2" customHeight="1" x14ac:dyDescent="0.25">
      <c r="B162" s="364"/>
      <c r="C162" s="445" t="s">
        <v>239</v>
      </c>
      <c r="D162" s="445" t="s">
        <v>218</v>
      </c>
      <c r="E162" s="446" t="s">
        <v>1890</v>
      </c>
      <c r="F162" s="447" t="s">
        <v>1891</v>
      </c>
      <c r="G162" s="448" t="s">
        <v>123</v>
      </c>
      <c r="H162" s="449">
        <v>4</v>
      </c>
      <c r="I162" s="329">
        <v>0</v>
      </c>
      <c r="J162" s="450">
        <f t="shared" si="10"/>
        <v>0</v>
      </c>
      <c r="K162" s="451"/>
      <c r="L162" s="364"/>
      <c r="M162" s="452" t="s">
        <v>171</v>
      </c>
      <c r="N162" s="415" t="s">
        <v>185</v>
      </c>
      <c r="O162" s="453">
        <v>2.302</v>
      </c>
      <c r="P162" s="453">
        <f t="shared" si="11"/>
        <v>9.2080000000000002</v>
      </c>
      <c r="Q162" s="453">
        <v>0</v>
      </c>
      <c r="R162" s="453">
        <f t="shared" si="12"/>
        <v>0</v>
      </c>
      <c r="S162" s="453">
        <v>0</v>
      </c>
      <c r="T162" s="454">
        <f t="shared" si="13"/>
        <v>0</v>
      </c>
      <c r="AR162" s="455" t="s">
        <v>625</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625</v>
      </c>
      <c r="BM162" s="455" t="s">
        <v>1892</v>
      </c>
    </row>
    <row r="163" spans="2:65" s="365" customFormat="1" ht="16.5" customHeight="1" x14ac:dyDescent="0.25">
      <c r="B163" s="364"/>
      <c r="C163" s="457" t="s">
        <v>240</v>
      </c>
      <c r="D163" s="457" t="s">
        <v>259</v>
      </c>
      <c r="E163" s="458" t="s">
        <v>1893</v>
      </c>
      <c r="F163" s="459" t="s">
        <v>1894</v>
      </c>
      <c r="G163" s="460" t="s">
        <v>123</v>
      </c>
      <c r="H163" s="461">
        <v>2</v>
      </c>
      <c r="I163" s="330">
        <v>0</v>
      </c>
      <c r="J163" s="462">
        <f t="shared" si="10"/>
        <v>0</v>
      </c>
      <c r="K163" s="463"/>
      <c r="L163" s="464"/>
      <c r="M163" s="465" t="s">
        <v>171</v>
      </c>
      <c r="N163" s="466" t="s">
        <v>185</v>
      </c>
      <c r="O163" s="453">
        <v>0</v>
      </c>
      <c r="P163" s="453">
        <f t="shared" si="11"/>
        <v>0</v>
      </c>
      <c r="Q163" s="453">
        <v>1.2999999999999999E-3</v>
      </c>
      <c r="R163" s="453">
        <f t="shared" si="12"/>
        <v>2.5999999999999999E-3</v>
      </c>
      <c r="S163" s="453">
        <v>0</v>
      </c>
      <c r="T163" s="454">
        <f t="shared" si="13"/>
        <v>0</v>
      </c>
      <c r="AR163" s="455" t="s">
        <v>115</v>
      </c>
      <c r="AT163" s="455" t="s">
        <v>259</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1895</v>
      </c>
    </row>
    <row r="164" spans="2:65" s="365" customFormat="1" ht="24.2" customHeight="1" x14ac:dyDescent="0.25">
      <c r="B164" s="364"/>
      <c r="C164" s="445" t="s">
        <v>241</v>
      </c>
      <c r="D164" s="445" t="s">
        <v>218</v>
      </c>
      <c r="E164" s="446" t="s">
        <v>1896</v>
      </c>
      <c r="F164" s="447" t="s">
        <v>1897</v>
      </c>
      <c r="G164" s="448" t="s">
        <v>123</v>
      </c>
      <c r="H164" s="449">
        <v>4</v>
      </c>
      <c r="I164" s="329">
        <v>0</v>
      </c>
      <c r="J164" s="450">
        <f t="shared" si="10"/>
        <v>0</v>
      </c>
      <c r="K164" s="451"/>
      <c r="L164" s="364"/>
      <c r="M164" s="452" t="s">
        <v>171</v>
      </c>
      <c r="N164" s="415" t="s">
        <v>185</v>
      </c>
      <c r="O164" s="453">
        <v>5.9039999999999999</v>
      </c>
      <c r="P164" s="453">
        <f t="shared" si="11"/>
        <v>23.616</v>
      </c>
      <c r="Q164" s="453">
        <v>0</v>
      </c>
      <c r="R164" s="453">
        <f t="shared" si="12"/>
        <v>0</v>
      </c>
      <c r="S164" s="453">
        <v>0</v>
      </c>
      <c r="T164" s="454">
        <f t="shared" si="13"/>
        <v>0</v>
      </c>
      <c r="AR164" s="455" t="s">
        <v>625</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625</v>
      </c>
      <c r="BM164" s="455" t="s">
        <v>1898</v>
      </c>
    </row>
    <row r="165" spans="2:65" s="365" customFormat="1" ht="21.75" customHeight="1" x14ac:dyDescent="0.25">
      <c r="B165" s="364"/>
      <c r="C165" s="445" t="s">
        <v>242</v>
      </c>
      <c r="D165" s="445" t="s">
        <v>218</v>
      </c>
      <c r="E165" s="446" t="s">
        <v>1761</v>
      </c>
      <c r="F165" s="447" t="s">
        <v>1762</v>
      </c>
      <c r="G165" s="448" t="s">
        <v>123</v>
      </c>
      <c r="H165" s="449">
        <v>424</v>
      </c>
      <c r="I165" s="329">
        <v>0</v>
      </c>
      <c r="J165" s="450">
        <f t="shared" si="10"/>
        <v>0</v>
      </c>
      <c r="K165" s="451"/>
      <c r="L165" s="364"/>
      <c r="M165" s="452" t="s">
        <v>171</v>
      </c>
      <c r="N165" s="415" t="s">
        <v>185</v>
      </c>
      <c r="O165" s="453">
        <v>0.375</v>
      </c>
      <c r="P165" s="453">
        <f t="shared" si="11"/>
        <v>159</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1763</v>
      </c>
    </row>
    <row r="166" spans="2:65" s="365" customFormat="1" ht="24.2" customHeight="1" x14ac:dyDescent="0.25">
      <c r="B166" s="364"/>
      <c r="C166" s="445" t="s">
        <v>243</v>
      </c>
      <c r="D166" s="445" t="s">
        <v>218</v>
      </c>
      <c r="E166" s="446" t="s">
        <v>1899</v>
      </c>
      <c r="F166" s="447" t="s">
        <v>1900</v>
      </c>
      <c r="G166" s="448" t="s">
        <v>123</v>
      </c>
      <c r="H166" s="449">
        <v>424</v>
      </c>
      <c r="I166" s="329">
        <v>0</v>
      </c>
      <c r="J166" s="450">
        <f t="shared" si="10"/>
        <v>0</v>
      </c>
      <c r="K166" s="451"/>
      <c r="L166" s="364"/>
      <c r="M166" s="452" t="s">
        <v>171</v>
      </c>
      <c r="N166" s="415" t="s">
        <v>185</v>
      </c>
      <c r="O166" s="453">
        <v>47.67</v>
      </c>
      <c r="P166" s="453">
        <f t="shared" si="11"/>
        <v>20212.080000000002</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1901</v>
      </c>
    </row>
    <row r="167" spans="2:65" s="434" customFormat="1" ht="22.9" customHeight="1" x14ac:dyDescent="0.2">
      <c r="B167" s="433"/>
      <c r="D167" s="435" t="s">
        <v>216</v>
      </c>
      <c r="E167" s="443" t="s">
        <v>1770</v>
      </c>
      <c r="F167" s="443" t="s">
        <v>1771</v>
      </c>
      <c r="I167" s="467"/>
      <c r="J167" s="444">
        <f>BK167</f>
        <v>0</v>
      </c>
      <c r="L167" s="433"/>
      <c r="M167" s="438"/>
      <c r="P167" s="439">
        <f>SUM(P168:P186)</f>
        <v>1035.3362500000001</v>
      </c>
      <c r="R167" s="439">
        <f>SUM(R168:R186)</f>
        <v>67.430429999999987</v>
      </c>
      <c r="T167" s="440">
        <f>SUM(T168:T186)</f>
        <v>0</v>
      </c>
      <c r="AR167" s="435" t="s">
        <v>119</v>
      </c>
      <c r="AT167" s="441" t="s">
        <v>216</v>
      </c>
      <c r="AU167" s="441" t="s">
        <v>109</v>
      </c>
      <c r="AY167" s="435" t="s">
        <v>217</v>
      </c>
      <c r="BK167" s="442">
        <f>SUM(BK168:BK186)</f>
        <v>0</v>
      </c>
    </row>
    <row r="168" spans="2:65" s="365" customFormat="1" ht="24.2" customHeight="1" x14ac:dyDescent="0.25">
      <c r="B168" s="364"/>
      <c r="C168" s="445" t="s">
        <v>244</v>
      </c>
      <c r="D168" s="445" t="s">
        <v>218</v>
      </c>
      <c r="E168" s="446" t="s">
        <v>1772</v>
      </c>
      <c r="F168" s="447" t="s">
        <v>1773</v>
      </c>
      <c r="G168" s="448" t="s">
        <v>113</v>
      </c>
      <c r="H168" s="449">
        <v>986</v>
      </c>
      <c r="I168" s="329">
        <v>0</v>
      </c>
      <c r="J168" s="450">
        <f t="shared" ref="J168:J186" si="20">ROUND(I168*H168,2)</f>
        <v>0</v>
      </c>
      <c r="K168" s="451"/>
      <c r="L168" s="364"/>
      <c r="M168" s="452" t="s">
        <v>171</v>
      </c>
      <c r="N168" s="415" t="s">
        <v>185</v>
      </c>
      <c r="O168" s="453">
        <v>0.38740000000000002</v>
      </c>
      <c r="P168" s="453">
        <f t="shared" ref="P168:P186" si="21">O168*H168</f>
        <v>381.97640000000001</v>
      </c>
      <c r="Q168" s="453">
        <v>0</v>
      </c>
      <c r="R168" s="453">
        <f t="shared" ref="R168:R186" si="22">Q168*H168</f>
        <v>0</v>
      </c>
      <c r="S168" s="453">
        <v>0</v>
      </c>
      <c r="T168" s="454">
        <f t="shared" ref="T168:T186" si="23">S168*H168</f>
        <v>0</v>
      </c>
      <c r="AR168" s="455" t="s">
        <v>625</v>
      </c>
      <c r="AT168" s="455" t="s">
        <v>218</v>
      </c>
      <c r="AU168" s="455" t="s">
        <v>108</v>
      </c>
      <c r="AY168" s="357" t="s">
        <v>217</v>
      </c>
      <c r="BE168" s="456">
        <f t="shared" ref="BE168:BE186" si="24">IF(N168="základná",J168,0)</f>
        <v>0</v>
      </c>
      <c r="BF168" s="456">
        <f t="shared" ref="BF168:BF186" si="25">IF(N168="znížená",J168,0)</f>
        <v>0</v>
      </c>
      <c r="BG168" s="456">
        <f t="shared" ref="BG168:BG186" si="26">IF(N168="zákl. prenesená",J168,0)</f>
        <v>0</v>
      </c>
      <c r="BH168" s="456">
        <f t="shared" ref="BH168:BH186" si="27">IF(N168="zníž. prenesená",J168,0)</f>
        <v>0</v>
      </c>
      <c r="BI168" s="456">
        <f t="shared" ref="BI168:BI186" si="28">IF(N168="nulová",J168,0)</f>
        <v>0</v>
      </c>
      <c r="BJ168" s="357" t="s">
        <v>108</v>
      </c>
      <c r="BK168" s="456">
        <f t="shared" ref="BK168:BK186" si="29">ROUND(I168*H168,2)</f>
        <v>0</v>
      </c>
      <c r="BL168" s="357" t="s">
        <v>625</v>
      </c>
      <c r="BM168" s="455" t="s">
        <v>1774</v>
      </c>
    </row>
    <row r="169" spans="2:65" s="365" customFormat="1" ht="24.2" customHeight="1" x14ac:dyDescent="0.25">
      <c r="B169" s="364"/>
      <c r="C169" s="445" t="s">
        <v>245</v>
      </c>
      <c r="D169" s="445" t="s">
        <v>218</v>
      </c>
      <c r="E169" s="446" t="s">
        <v>1775</v>
      </c>
      <c r="F169" s="447" t="s">
        <v>1776</v>
      </c>
      <c r="G169" s="448" t="s">
        <v>113</v>
      </c>
      <c r="H169" s="449">
        <v>35</v>
      </c>
      <c r="I169" s="329">
        <v>0</v>
      </c>
      <c r="J169" s="450">
        <f t="shared" si="20"/>
        <v>0</v>
      </c>
      <c r="K169" s="451"/>
      <c r="L169" s="364"/>
      <c r="M169" s="452" t="s">
        <v>171</v>
      </c>
      <c r="N169" s="415" t="s">
        <v>185</v>
      </c>
      <c r="O169" s="453">
        <v>0.52129999999999999</v>
      </c>
      <c r="P169" s="453">
        <f t="shared" si="21"/>
        <v>18.2455</v>
      </c>
      <c r="Q169" s="453">
        <v>0</v>
      </c>
      <c r="R169" s="453">
        <f t="shared" si="22"/>
        <v>0</v>
      </c>
      <c r="S169" s="453">
        <v>0</v>
      </c>
      <c r="T169" s="454">
        <f t="shared" si="23"/>
        <v>0</v>
      </c>
      <c r="AR169" s="455" t="s">
        <v>625</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625</v>
      </c>
      <c r="BM169" s="455" t="s">
        <v>1777</v>
      </c>
    </row>
    <row r="170" spans="2:65" s="365" customFormat="1" ht="24.2" customHeight="1" x14ac:dyDescent="0.25">
      <c r="B170" s="364"/>
      <c r="C170" s="445" t="s">
        <v>246</v>
      </c>
      <c r="D170" s="445" t="s">
        <v>218</v>
      </c>
      <c r="E170" s="446" t="s">
        <v>1902</v>
      </c>
      <c r="F170" s="447" t="s">
        <v>1903</v>
      </c>
      <c r="G170" s="448" t="s">
        <v>113</v>
      </c>
      <c r="H170" s="449">
        <v>6</v>
      </c>
      <c r="I170" s="329">
        <v>0</v>
      </c>
      <c r="J170" s="450">
        <f t="shared" si="20"/>
        <v>0</v>
      </c>
      <c r="K170" s="451"/>
      <c r="L170" s="364"/>
      <c r="M170" s="452" t="s">
        <v>171</v>
      </c>
      <c r="N170" s="415" t="s">
        <v>185</v>
      </c>
      <c r="O170" s="453">
        <v>1.0412999999999999</v>
      </c>
      <c r="P170" s="453">
        <f t="shared" si="21"/>
        <v>6.2477999999999998</v>
      </c>
      <c r="Q170" s="453">
        <v>0</v>
      </c>
      <c r="R170" s="453">
        <f t="shared" si="22"/>
        <v>0</v>
      </c>
      <c r="S170" s="453">
        <v>0</v>
      </c>
      <c r="T170" s="454">
        <f t="shared" si="23"/>
        <v>0</v>
      </c>
      <c r="AR170" s="455" t="s">
        <v>625</v>
      </c>
      <c r="AT170" s="455" t="s">
        <v>218</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625</v>
      </c>
      <c r="BM170" s="455" t="s">
        <v>1904</v>
      </c>
    </row>
    <row r="171" spans="2:65" s="365" customFormat="1" ht="24.2" customHeight="1" x14ac:dyDescent="0.25">
      <c r="B171" s="364"/>
      <c r="C171" s="445" t="s">
        <v>247</v>
      </c>
      <c r="D171" s="445" t="s">
        <v>218</v>
      </c>
      <c r="E171" s="446" t="s">
        <v>1787</v>
      </c>
      <c r="F171" s="447" t="s">
        <v>1788</v>
      </c>
      <c r="G171" s="448" t="s">
        <v>114</v>
      </c>
      <c r="H171" s="449">
        <v>13.5</v>
      </c>
      <c r="I171" s="329">
        <v>0</v>
      </c>
      <c r="J171" s="450">
        <f t="shared" si="20"/>
        <v>0</v>
      </c>
      <c r="K171" s="451"/>
      <c r="L171" s="364"/>
      <c r="M171" s="452" t="s">
        <v>171</v>
      </c>
      <c r="N171" s="415" t="s">
        <v>185</v>
      </c>
      <c r="O171" s="453">
        <v>2.9211</v>
      </c>
      <c r="P171" s="453">
        <f t="shared" si="21"/>
        <v>39.434849999999997</v>
      </c>
      <c r="Q171" s="453">
        <v>0</v>
      </c>
      <c r="R171" s="453">
        <f t="shared" si="22"/>
        <v>0</v>
      </c>
      <c r="S171" s="453">
        <v>0</v>
      </c>
      <c r="T171" s="454">
        <f t="shared" si="23"/>
        <v>0</v>
      </c>
      <c r="AR171" s="455" t="s">
        <v>625</v>
      </c>
      <c r="AT171" s="455" t="s">
        <v>218</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625</v>
      </c>
      <c r="BM171" s="455" t="s">
        <v>1789</v>
      </c>
    </row>
    <row r="172" spans="2:65" s="365" customFormat="1" ht="33" customHeight="1" x14ac:dyDescent="0.25">
      <c r="B172" s="364"/>
      <c r="C172" s="445" t="s">
        <v>248</v>
      </c>
      <c r="D172" s="445" t="s">
        <v>218</v>
      </c>
      <c r="E172" s="446" t="s">
        <v>1790</v>
      </c>
      <c r="F172" s="447" t="s">
        <v>1791</v>
      </c>
      <c r="G172" s="448" t="s">
        <v>113</v>
      </c>
      <c r="H172" s="449">
        <v>53</v>
      </c>
      <c r="I172" s="329">
        <v>0</v>
      </c>
      <c r="J172" s="450">
        <f t="shared" si="20"/>
        <v>0</v>
      </c>
      <c r="K172" s="451"/>
      <c r="L172" s="364"/>
      <c r="M172" s="452" t="s">
        <v>171</v>
      </c>
      <c r="N172" s="415" t="s">
        <v>185</v>
      </c>
      <c r="O172" s="453">
        <v>0.21970000000000001</v>
      </c>
      <c r="P172" s="453">
        <f t="shared" si="21"/>
        <v>11.6441</v>
      </c>
      <c r="Q172" s="453">
        <v>0</v>
      </c>
      <c r="R172" s="453">
        <f t="shared" si="22"/>
        <v>0</v>
      </c>
      <c r="S172" s="453">
        <v>0</v>
      </c>
      <c r="T172" s="454">
        <f t="shared" si="23"/>
        <v>0</v>
      </c>
      <c r="AR172" s="455" t="s">
        <v>625</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625</v>
      </c>
      <c r="BM172" s="455" t="s">
        <v>1792</v>
      </c>
    </row>
    <row r="173" spans="2:65" s="365" customFormat="1" ht="24.2" customHeight="1" x14ac:dyDescent="0.25">
      <c r="B173" s="364"/>
      <c r="C173" s="457" t="s">
        <v>249</v>
      </c>
      <c r="D173" s="457" t="s">
        <v>259</v>
      </c>
      <c r="E173" s="458" t="s">
        <v>1793</v>
      </c>
      <c r="F173" s="459" t="s">
        <v>1794</v>
      </c>
      <c r="G173" s="460" t="s">
        <v>113</v>
      </c>
      <c r="H173" s="461">
        <v>53</v>
      </c>
      <c r="I173" s="330">
        <v>0</v>
      </c>
      <c r="J173" s="462">
        <f t="shared" si="20"/>
        <v>0</v>
      </c>
      <c r="K173" s="463"/>
      <c r="L173" s="464"/>
      <c r="M173" s="465" t="s">
        <v>171</v>
      </c>
      <c r="N173" s="466" t="s">
        <v>185</v>
      </c>
      <c r="O173" s="453">
        <v>0</v>
      </c>
      <c r="P173" s="453">
        <f t="shared" si="21"/>
        <v>0</v>
      </c>
      <c r="Q173" s="453">
        <v>7.2000000000000005E-4</v>
      </c>
      <c r="R173" s="453">
        <f t="shared" si="22"/>
        <v>3.8159999999999999E-2</v>
      </c>
      <c r="S173" s="453">
        <v>0</v>
      </c>
      <c r="T173" s="454">
        <f t="shared" si="23"/>
        <v>0</v>
      </c>
      <c r="AR173" s="455" t="s">
        <v>1795</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625</v>
      </c>
      <c r="BM173" s="455" t="s">
        <v>1796</v>
      </c>
    </row>
    <row r="174" spans="2:65" s="365" customFormat="1" ht="24.2" customHeight="1" x14ac:dyDescent="0.25">
      <c r="B174" s="364"/>
      <c r="C174" s="445" t="s">
        <v>250</v>
      </c>
      <c r="D174" s="445" t="s">
        <v>218</v>
      </c>
      <c r="E174" s="446" t="s">
        <v>1800</v>
      </c>
      <c r="F174" s="447" t="s">
        <v>1801</v>
      </c>
      <c r="G174" s="448" t="s">
        <v>113</v>
      </c>
      <c r="H174" s="449">
        <v>1021</v>
      </c>
      <c r="I174" s="329">
        <v>0</v>
      </c>
      <c r="J174" s="450">
        <f t="shared" si="20"/>
        <v>0</v>
      </c>
      <c r="K174" s="451"/>
      <c r="L174" s="364"/>
      <c r="M174" s="452" t="s">
        <v>171</v>
      </c>
      <c r="N174" s="415" t="s">
        <v>185</v>
      </c>
      <c r="O174" s="453">
        <v>0.25219999999999998</v>
      </c>
      <c r="P174" s="453">
        <f t="shared" si="21"/>
        <v>257.49619999999999</v>
      </c>
      <c r="Q174" s="453">
        <v>0</v>
      </c>
      <c r="R174" s="453">
        <f t="shared" si="22"/>
        <v>0</v>
      </c>
      <c r="S174" s="453">
        <v>0</v>
      </c>
      <c r="T174" s="454">
        <f t="shared" si="23"/>
        <v>0</v>
      </c>
      <c r="AR174" s="455" t="s">
        <v>625</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625</v>
      </c>
      <c r="BM174" s="455" t="s">
        <v>1802</v>
      </c>
    </row>
    <row r="175" spans="2:65" s="365" customFormat="1" ht="37.9" customHeight="1" x14ac:dyDescent="0.25">
      <c r="B175" s="364"/>
      <c r="C175" s="457" t="s">
        <v>251</v>
      </c>
      <c r="D175" s="457" t="s">
        <v>259</v>
      </c>
      <c r="E175" s="458" t="s">
        <v>1803</v>
      </c>
      <c r="F175" s="459" t="s">
        <v>1804</v>
      </c>
      <c r="G175" s="460" t="s">
        <v>123</v>
      </c>
      <c r="H175" s="461">
        <v>1021</v>
      </c>
      <c r="I175" s="330">
        <v>0</v>
      </c>
      <c r="J175" s="462">
        <f t="shared" si="20"/>
        <v>0</v>
      </c>
      <c r="K175" s="463"/>
      <c r="L175" s="464"/>
      <c r="M175" s="465" t="s">
        <v>171</v>
      </c>
      <c r="N175" s="466" t="s">
        <v>185</v>
      </c>
      <c r="O175" s="453">
        <v>0</v>
      </c>
      <c r="P175" s="453">
        <f t="shared" si="21"/>
        <v>0</v>
      </c>
      <c r="Q175" s="453">
        <v>2.8000000000000001E-2</v>
      </c>
      <c r="R175" s="453">
        <f t="shared" si="22"/>
        <v>28.588000000000001</v>
      </c>
      <c r="S175" s="453">
        <v>0</v>
      </c>
      <c r="T175" s="454">
        <f t="shared" si="23"/>
        <v>0</v>
      </c>
      <c r="AR175" s="455" t="s">
        <v>1631</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1631</v>
      </c>
      <c r="BM175" s="455" t="s">
        <v>1805</v>
      </c>
    </row>
    <row r="176" spans="2:65" s="365" customFormat="1" ht="21.75" customHeight="1" x14ac:dyDescent="0.25">
      <c r="B176" s="364"/>
      <c r="C176" s="457" t="s">
        <v>252</v>
      </c>
      <c r="D176" s="457" t="s">
        <v>259</v>
      </c>
      <c r="E176" s="458" t="s">
        <v>1806</v>
      </c>
      <c r="F176" s="459" t="s">
        <v>1807</v>
      </c>
      <c r="G176" s="460" t="s">
        <v>123</v>
      </c>
      <c r="H176" s="461">
        <v>2042</v>
      </c>
      <c r="I176" s="330">
        <v>0</v>
      </c>
      <c r="J176" s="462">
        <f t="shared" si="20"/>
        <v>0</v>
      </c>
      <c r="K176" s="463"/>
      <c r="L176" s="464"/>
      <c r="M176" s="465" t="s">
        <v>171</v>
      </c>
      <c r="N176" s="466" t="s">
        <v>185</v>
      </c>
      <c r="O176" s="453">
        <v>0</v>
      </c>
      <c r="P176" s="453">
        <f t="shared" si="21"/>
        <v>0</v>
      </c>
      <c r="Q176" s="453">
        <v>6.0000000000000001E-3</v>
      </c>
      <c r="R176" s="453">
        <f t="shared" si="22"/>
        <v>12.252000000000001</v>
      </c>
      <c r="S176" s="453">
        <v>0</v>
      </c>
      <c r="T176" s="454">
        <f t="shared" si="23"/>
        <v>0</v>
      </c>
      <c r="AR176" s="455" t="s">
        <v>1631</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1631</v>
      </c>
      <c r="BM176" s="455" t="s">
        <v>1808</v>
      </c>
    </row>
    <row r="177" spans="2:65" s="365" customFormat="1" ht="33" customHeight="1" x14ac:dyDescent="0.25">
      <c r="B177" s="364"/>
      <c r="C177" s="445" t="s">
        <v>253</v>
      </c>
      <c r="D177" s="445" t="s">
        <v>218</v>
      </c>
      <c r="E177" s="446" t="s">
        <v>1809</v>
      </c>
      <c r="F177" s="447" t="s">
        <v>1810</v>
      </c>
      <c r="G177" s="448" t="s">
        <v>113</v>
      </c>
      <c r="H177" s="449">
        <v>493</v>
      </c>
      <c r="I177" s="329">
        <v>0</v>
      </c>
      <c r="J177" s="450">
        <f t="shared" si="20"/>
        <v>0</v>
      </c>
      <c r="K177" s="451"/>
      <c r="L177" s="364"/>
      <c r="M177" s="452" t="s">
        <v>171</v>
      </c>
      <c r="N177" s="415" t="s">
        <v>185</v>
      </c>
      <c r="O177" s="453">
        <v>0.12870000000000001</v>
      </c>
      <c r="P177" s="453">
        <f t="shared" si="21"/>
        <v>63.449100000000001</v>
      </c>
      <c r="Q177" s="453">
        <v>0</v>
      </c>
      <c r="R177" s="453">
        <f t="shared" si="22"/>
        <v>0</v>
      </c>
      <c r="S177" s="453">
        <v>0</v>
      </c>
      <c r="T177" s="454">
        <f t="shared" si="23"/>
        <v>0</v>
      </c>
      <c r="AR177" s="455" t="s">
        <v>625</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625</v>
      </c>
      <c r="BM177" s="455" t="s">
        <v>1905</v>
      </c>
    </row>
    <row r="178" spans="2:65" s="365" customFormat="1" ht="24.2" customHeight="1" x14ac:dyDescent="0.25">
      <c r="B178" s="364"/>
      <c r="C178" s="457" t="s">
        <v>254</v>
      </c>
      <c r="D178" s="457" t="s">
        <v>259</v>
      </c>
      <c r="E178" s="458" t="s">
        <v>1812</v>
      </c>
      <c r="F178" s="459" t="s">
        <v>1813</v>
      </c>
      <c r="G178" s="460" t="s">
        <v>112</v>
      </c>
      <c r="H178" s="461">
        <v>26.129000000000001</v>
      </c>
      <c r="I178" s="330">
        <v>0</v>
      </c>
      <c r="J178" s="462">
        <f t="shared" si="20"/>
        <v>0</v>
      </c>
      <c r="K178" s="463"/>
      <c r="L178" s="464"/>
      <c r="M178" s="465" t="s">
        <v>171</v>
      </c>
      <c r="N178" s="466" t="s">
        <v>185</v>
      </c>
      <c r="O178" s="453">
        <v>0</v>
      </c>
      <c r="P178" s="453">
        <f t="shared" si="21"/>
        <v>0</v>
      </c>
      <c r="Q178" s="453">
        <v>1</v>
      </c>
      <c r="R178" s="453">
        <f t="shared" si="22"/>
        <v>26.129000000000001</v>
      </c>
      <c r="S178" s="453">
        <v>0</v>
      </c>
      <c r="T178" s="454">
        <f t="shared" si="23"/>
        <v>0</v>
      </c>
      <c r="AR178" s="455" t="s">
        <v>1631</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1631</v>
      </c>
      <c r="BM178" s="455" t="s">
        <v>1906</v>
      </c>
    </row>
    <row r="179" spans="2:65" s="365" customFormat="1" ht="24.2" customHeight="1" x14ac:dyDescent="0.25">
      <c r="B179" s="364"/>
      <c r="C179" s="457" t="s">
        <v>255</v>
      </c>
      <c r="D179" s="457" t="s">
        <v>259</v>
      </c>
      <c r="E179" s="458" t="s">
        <v>1815</v>
      </c>
      <c r="F179" s="459" t="s">
        <v>1816</v>
      </c>
      <c r="G179" s="460" t="s">
        <v>113</v>
      </c>
      <c r="H179" s="461">
        <v>493</v>
      </c>
      <c r="I179" s="330">
        <v>0</v>
      </c>
      <c r="J179" s="462">
        <f t="shared" si="20"/>
        <v>0</v>
      </c>
      <c r="K179" s="463"/>
      <c r="L179" s="464"/>
      <c r="M179" s="465" t="s">
        <v>171</v>
      </c>
      <c r="N179" s="466" t="s">
        <v>185</v>
      </c>
      <c r="O179" s="453">
        <v>0</v>
      </c>
      <c r="P179" s="453">
        <f t="shared" si="21"/>
        <v>0</v>
      </c>
      <c r="Q179" s="453">
        <v>3.8999999999999999E-4</v>
      </c>
      <c r="R179" s="453">
        <f t="shared" si="22"/>
        <v>0.19227</v>
      </c>
      <c r="S179" s="453">
        <v>0</v>
      </c>
      <c r="T179" s="454">
        <f t="shared" si="23"/>
        <v>0</v>
      </c>
      <c r="AR179" s="455" t="s">
        <v>1631</v>
      </c>
      <c r="AT179" s="455" t="s">
        <v>259</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1631</v>
      </c>
      <c r="BM179" s="455" t="s">
        <v>1907</v>
      </c>
    </row>
    <row r="180" spans="2:65" s="365" customFormat="1" ht="24.2" customHeight="1" x14ac:dyDescent="0.25">
      <c r="B180" s="364"/>
      <c r="C180" s="445" t="s">
        <v>256</v>
      </c>
      <c r="D180" s="445" t="s">
        <v>218</v>
      </c>
      <c r="E180" s="446" t="s">
        <v>1818</v>
      </c>
      <c r="F180" s="447" t="s">
        <v>1819</v>
      </c>
      <c r="G180" s="448" t="s">
        <v>113</v>
      </c>
      <c r="H180" s="449">
        <v>1100</v>
      </c>
      <c r="I180" s="329">
        <v>0</v>
      </c>
      <c r="J180" s="450">
        <f t="shared" si="20"/>
        <v>0</v>
      </c>
      <c r="K180" s="451"/>
      <c r="L180" s="364"/>
      <c r="M180" s="452" t="s">
        <v>171</v>
      </c>
      <c r="N180" s="415" t="s">
        <v>185</v>
      </c>
      <c r="O180" s="453">
        <v>3.2500000000000001E-2</v>
      </c>
      <c r="P180" s="453">
        <f t="shared" si="21"/>
        <v>35.75</v>
      </c>
      <c r="Q180" s="453">
        <v>0</v>
      </c>
      <c r="R180" s="453">
        <f t="shared" si="22"/>
        <v>0</v>
      </c>
      <c r="S180" s="453">
        <v>0</v>
      </c>
      <c r="T180" s="454">
        <f t="shared" si="23"/>
        <v>0</v>
      </c>
      <c r="AR180" s="455" t="s">
        <v>625</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625</v>
      </c>
      <c r="BM180" s="455" t="s">
        <v>1820</v>
      </c>
    </row>
    <row r="181" spans="2:65" s="365" customFormat="1" ht="16.5" customHeight="1" x14ac:dyDescent="0.25">
      <c r="B181" s="364"/>
      <c r="C181" s="457" t="s">
        <v>257</v>
      </c>
      <c r="D181" s="457" t="s">
        <v>259</v>
      </c>
      <c r="E181" s="458" t="s">
        <v>1821</v>
      </c>
      <c r="F181" s="459" t="s">
        <v>1822</v>
      </c>
      <c r="G181" s="460" t="s">
        <v>113</v>
      </c>
      <c r="H181" s="461">
        <v>1100</v>
      </c>
      <c r="I181" s="330">
        <v>0</v>
      </c>
      <c r="J181" s="462">
        <f t="shared" si="20"/>
        <v>0</v>
      </c>
      <c r="K181" s="463"/>
      <c r="L181" s="464"/>
      <c r="M181" s="465" t="s">
        <v>171</v>
      </c>
      <c r="N181" s="466" t="s">
        <v>185</v>
      </c>
      <c r="O181" s="453">
        <v>0</v>
      </c>
      <c r="P181" s="453">
        <f t="shared" si="21"/>
        <v>0</v>
      </c>
      <c r="Q181" s="453">
        <v>2.1000000000000001E-4</v>
      </c>
      <c r="R181" s="453">
        <f t="shared" si="22"/>
        <v>0.23100000000000001</v>
      </c>
      <c r="S181" s="453">
        <v>0</v>
      </c>
      <c r="T181" s="454">
        <f t="shared" si="23"/>
        <v>0</v>
      </c>
      <c r="AR181" s="455" t="s">
        <v>1631</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1631</v>
      </c>
      <c r="BM181" s="455" t="s">
        <v>1823</v>
      </c>
    </row>
    <row r="182" spans="2:65" s="365" customFormat="1" ht="24.2" customHeight="1" x14ac:dyDescent="0.25">
      <c r="B182" s="364"/>
      <c r="C182" s="445" t="s">
        <v>258</v>
      </c>
      <c r="D182" s="445" t="s">
        <v>218</v>
      </c>
      <c r="E182" s="446" t="s">
        <v>1824</v>
      </c>
      <c r="F182" s="447" t="s">
        <v>1825</v>
      </c>
      <c r="G182" s="448" t="s">
        <v>114</v>
      </c>
      <c r="H182" s="449">
        <v>13.5</v>
      </c>
      <c r="I182" s="329">
        <v>0</v>
      </c>
      <c r="J182" s="450">
        <f t="shared" si="20"/>
        <v>0</v>
      </c>
      <c r="K182" s="451"/>
      <c r="L182" s="364"/>
      <c r="M182" s="452" t="s">
        <v>171</v>
      </c>
      <c r="N182" s="415" t="s">
        <v>185</v>
      </c>
      <c r="O182" s="453">
        <v>0.79559999999999997</v>
      </c>
      <c r="P182" s="453">
        <f t="shared" si="21"/>
        <v>10.740599999999999</v>
      </c>
      <c r="Q182" s="453">
        <v>0</v>
      </c>
      <c r="R182" s="453">
        <f t="shared" si="22"/>
        <v>0</v>
      </c>
      <c r="S182" s="453">
        <v>0</v>
      </c>
      <c r="T182" s="454">
        <f t="shared" si="23"/>
        <v>0</v>
      </c>
      <c r="AR182" s="455" t="s">
        <v>625</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625</v>
      </c>
      <c r="BM182" s="455" t="s">
        <v>1826</v>
      </c>
    </row>
    <row r="183" spans="2:65" s="365" customFormat="1" ht="33" customHeight="1" x14ac:dyDescent="0.25">
      <c r="B183" s="364"/>
      <c r="C183" s="445" t="s">
        <v>260</v>
      </c>
      <c r="D183" s="445" t="s">
        <v>218</v>
      </c>
      <c r="E183" s="446" t="s">
        <v>1827</v>
      </c>
      <c r="F183" s="447" t="s">
        <v>1828</v>
      </c>
      <c r="G183" s="448" t="s">
        <v>113</v>
      </c>
      <c r="H183" s="449">
        <v>986</v>
      </c>
      <c r="I183" s="329">
        <v>0</v>
      </c>
      <c r="J183" s="450">
        <f t="shared" si="20"/>
        <v>0</v>
      </c>
      <c r="K183" s="451"/>
      <c r="L183" s="364"/>
      <c r="M183" s="452" t="s">
        <v>171</v>
      </c>
      <c r="N183" s="415" t="s">
        <v>185</v>
      </c>
      <c r="O183" s="453">
        <v>0.1482</v>
      </c>
      <c r="P183" s="453">
        <f t="shared" si="21"/>
        <v>146.12520000000001</v>
      </c>
      <c r="Q183" s="453">
        <v>0</v>
      </c>
      <c r="R183" s="453">
        <f t="shared" si="22"/>
        <v>0</v>
      </c>
      <c r="S183" s="453">
        <v>0</v>
      </c>
      <c r="T183" s="454">
        <f t="shared" si="23"/>
        <v>0</v>
      </c>
      <c r="AR183" s="455" t="s">
        <v>625</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625</v>
      </c>
      <c r="BM183" s="455" t="s">
        <v>1829</v>
      </c>
    </row>
    <row r="184" spans="2:65" s="365" customFormat="1" ht="33" customHeight="1" x14ac:dyDescent="0.25">
      <c r="B184" s="364"/>
      <c r="C184" s="445" t="s">
        <v>262</v>
      </c>
      <c r="D184" s="445" t="s">
        <v>218</v>
      </c>
      <c r="E184" s="446" t="s">
        <v>1830</v>
      </c>
      <c r="F184" s="447" t="s">
        <v>1831</v>
      </c>
      <c r="G184" s="448" t="s">
        <v>113</v>
      </c>
      <c r="H184" s="449">
        <v>35</v>
      </c>
      <c r="I184" s="329">
        <v>0</v>
      </c>
      <c r="J184" s="450">
        <f t="shared" si="20"/>
        <v>0</v>
      </c>
      <c r="K184" s="451"/>
      <c r="L184" s="364"/>
      <c r="M184" s="452" t="s">
        <v>171</v>
      </c>
      <c r="N184" s="415" t="s">
        <v>185</v>
      </c>
      <c r="O184" s="453">
        <v>0.24310000000000001</v>
      </c>
      <c r="P184" s="453">
        <f t="shared" si="21"/>
        <v>8.5084999999999997</v>
      </c>
      <c r="Q184" s="453">
        <v>0</v>
      </c>
      <c r="R184" s="453">
        <f t="shared" si="22"/>
        <v>0</v>
      </c>
      <c r="S184" s="453">
        <v>0</v>
      </c>
      <c r="T184" s="454">
        <f t="shared" si="23"/>
        <v>0</v>
      </c>
      <c r="AR184" s="455" t="s">
        <v>625</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625</v>
      </c>
      <c r="BM184" s="455" t="s">
        <v>1832</v>
      </c>
    </row>
    <row r="185" spans="2:65" s="365" customFormat="1" ht="33" customHeight="1" x14ac:dyDescent="0.25">
      <c r="B185" s="364"/>
      <c r="C185" s="445" t="s">
        <v>263</v>
      </c>
      <c r="D185" s="445" t="s">
        <v>218</v>
      </c>
      <c r="E185" s="446" t="s">
        <v>1908</v>
      </c>
      <c r="F185" s="447" t="s">
        <v>1909</v>
      </c>
      <c r="G185" s="448" t="s">
        <v>113</v>
      </c>
      <c r="H185" s="449">
        <v>6</v>
      </c>
      <c r="I185" s="329">
        <v>0</v>
      </c>
      <c r="J185" s="450">
        <f t="shared" si="20"/>
        <v>0</v>
      </c>
      <c r="K185" s="451"/>
      <c r="L185" s="364"/>
      <c r="M185" s="452" t="s">
        <v>171</v>
      </c>
      <c r="N185" s="415" t="s">
        <v>185</v>
      </c>
      <c r="O185" s="453">
        <v>0.46800000000000003</v>
      </c>
      <c r="P185" s="453">
        <f t="shared" si="21"/>
        <v>2.8080000000000003</v>
      </c>
      <c r="Q185" s="453">
        <v>0</v>
      </c>
      <c r="R185" s="453">
        <f t="shared" si="22"/>
        <v>0</v>
      </c>
      <c r="S185" s="453">
        <v>0</v>
      </c>
      <c r="T185" s="454">
        <f t="shared" si="23"/>
        <v>0</v>
      </c>
      <c r="AR185" s="455" t="s">
        <v>625</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625</v>
      </c>
      <c r="BM185" s="455" t="s">
        <v>1910</v>
      </c>
    </row>
    <row r="186" spans="2:65" s="365" customFormat="1" ht="33" customHeight="1" x14ac:dyDescent="0.25">
      <c r="B186" s="364"/>
      <c r="C186" s="445" t="s">
        <v>264</v>
      </c>
      <c r="D186" s="445" t="s">
        <v>218</v>
      </c>
      <c r="E186" s="446" t="s">
        <v>1839</v>
      </c>
      <c r="F186" s="447" t="s">
        <v>1840</v>
      </c>
      <c r="G186" s="448" t="s">
        <v>111</v>
      </c>
      <c r="H186" s="449">
        <v>370</v>
      </c>
      <c r="I186" s="329">
        <v>0</v>
      </c>
      <c r="J186" s="450">
        <f t="shared" si="20"/>
        <v>0</v>
      </c>
      <c r="K186" s="451"/>
      <c r="L186" s="364"/>
      <c r="M186" s="452" t="s">
        <v>171</v>
      </c>
      <c r="N186" s="415" t="s">
        <v>185</v>
      </c>
      <c r="O186" s="453">
        <v>0.14299999999999999</v>
      </c>
      <c r="P186" s="453">
        <f t="shared" si="21"/>
        <v>52.91</v>
      </c>
      <c r="Q186" s="453">
        <v>0</v>
      </c>
      <c r="R186" s="453">
        <f t="shared" si="22"/>
        <v>0</v>
      </c>
      <c r="S186" s="453">
        <v>0</v>
      </c>
      <c r="T186" s="454">
        <f t="shared" si="23"/>
        <v>0</v>
      </c>
      <c r="AR186" s="455" t="s">
        <v>625</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625</v>
      </c>
      <c r="BM186" s="455" t="s">
        <v>1841</v>
      </c>
    </row>
    <row r="187" spans="2:65" s="434" customFormat="1" ht="22.9" customHeight="1" x14ac:dyDescent="0.2">
      <c r="B187" s="433"/>
      <c r="D187" s="435" t="s">
        <v>216</v>
      </c>
      <c r="E187" s="443" t="s">
        <v>1842</v>
      </c>
      <c r="F187" s="443" t="s">
        <v>1843</v>
      </c>
      <c r="I187" s="467"/>
      <c r="J187" s="444">
        <f>BK187</f>
        <v>0</v>
      </c>
      <c r="L187" s="433"/>
      <c r="M187" s="438"/>
      <c r="P187" s="439">
        <f>SUM(P188:P189)</f>
        <v>0</v>
      </c>
      <c r="R187" s="439">
        <f>SUM(R188:R189)</f>
        <v>0</v>
      </c>
      <c r="T187" s="440">
        <f>SUM(T188:T189)</f>
        <v>0</v>
      </c>
      <c r="AR187" s="435" t="s">
        <v>119</v>
      </c>
      <c r="AT187" s="441" t="s">
        <v>216</v>
      </c>
      <c r="AU187" s="441" t="s">
        <v>109</v>
      </c>
      <c r="AY187" s="435" t="s">
        <v>217</v>
      </c>
      <c r="BK187" s="442">
        <f>SUM(BK188:BK189)</f>
        <v>0</v>
      </c>
    </row>
    <row r="188" spans="2:65" s="365" customFormat="1" ht="49.15" customHeight="1" x14ac:dyDescent="0.25">
      <c r="B188" s="364"/>
      <c r="C188" s="445" t="s">
        <v>265</v>
      </c>
      <c r="D188" s="445" t="s">
        <v>218</v>
      </c>
      <c r="E188" s="446" t="s">
        <v>1844</v>
      </c>
      <c r="F188" s="447" t="s">
        <v>1845</v>
      </c>
      <c r="G188" s="448" t="s">
        <v>1846</v>
      </c>
      <c r="H188" s="449">
        <v>11</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625</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625</v>
      </c>
      <c r="BM188" s="455" t="s">
        <v>1847</v>
      </c>
    </row>
    <row r="189" spans="2:65" s="365" customFormat="1" ht="66.75" customHeight="1" x14ac:dyDescent="0.25">
      <c r="B189" s="364"/>
      <c r="C189" s="445" t="s">
        <v>266</v>
      </c>
      <c r="D189" s="445" t="s">
        <v>218</v>
      </c>
      <c r="E189" s="446" t="s">
        <v>1848</v>
      </c>
      <c r="F189" s="447" t="s">
        <v>1849</v>
      </c>
      <c r="G189" s="448" t="s">
        <v>1846</v>
      </c>
      <c r="H189" s="449">
        <v>11</v>
      </c>
      <c r="I189" s="329">
        <v>0</v>
      </c>
      <c r="J189" s="450">
        <f>ROUND(I189*H189,2)</f>
        <v>0</v>
      </c>
      <c r="K189" s="451"/>
      <c r="L189" s="364"/>
      <c r="M189" s="468" t="s">
        <v>171</v>
      </c>
      <c r="N189" s="469" t="s">
        <v>185</v>
      </c>
      <c r="O189" s="470">
        <v>0</v>
      </c>
      <c r="P189" s="470">
        <f>O189*H189</f>
        <v>0</v>
      </c>
      <c r="Q189" s="470">
        <v>0</v>
      </c>
      <c r="R189" s="470">
        <f>Q189*H189</f>
        <v>0</v>
      </c>
      <c r="S189" s="470">
        <v>0</v>
      </c>
      <c r="T189" s="471">
        <f>S189*H189</f>
        <v>0</v>
      </c>
      <c r="AR189" s="455" t="s">
        <v>625</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625</v>
      </c>
      <c r="BM189" s="455" t="s">
        <v>1850</v>
      </c>
    </row>
    <row r="190" spans="2:65" s="365" customFormat="1" ht="6.95" customHeight="1" x14ac:dyDescent="0.25">
      <c r="B190" s="397"/>
      <c r="C190" s="398"/>
      <c r="D190" s="398"/>
      <c r="E190" s="398"/>
      <c r="F190" s="398"/>
      <c r="G190" s="398"/>
      <c r="H190" s="398"/>
      <c r="I190" s="398"/>
      <c r="J190" s="398"/>
      <c r="K190" s="398"/>
      <c r="L190" s="364"/>
    </row>
  </sheetData>
  <sheetProtection algorithmName="SHA-512" hashValue="xjG4pS0KauwUY7RzlWtXD/NSsAVcic+HlMNg5800U0mDZq6B8BEf/hTXQ/PPQGngnncCGanC7rEuPw4H2hMpzg==" saltValue="77/XJJXkIKNEhdAEgj7D6Q==" spinCount="100000" sheet="1" objects="1" scenarios="1"/>
  <autoFilter ref="C129:K189" xr:uid="{00000000-0009-0000-0000-000011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106A4-81FC-4A02-9CAF-77CE64AEA605}">
  <sheetPr codeName="Hárok25">
    <pageSetUpPr fitToPage="1"/>
  </sheetPr>
  <dimension ref="B2:BM199"/>
  <sheetViews>
    <sheetView topLeftCell="A200" workbookViewId="0">
      <selection activeCell="I243" sqref="I243"/>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386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1911</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ROUND((SUM(BE108:BE109) + SUM(BE129:BE198)),  2)</f>
        <v>0</v>
      </c>
      <c r="G35" s="380"/>
      <c r="H35" s="380"/>
      <c r="I35" s="381">
        <v>0.23</v>
      </c>
      <c r="J35" s="379">
        <f>ROUND(((SUM(BE108:BE109) + SUM(BE129:BE198))*I35),  2)</f>
        <v>0</v>
      </c>
      <c r="L35" s="364"/>
    </row>
    <row r="36" spans="2:12" s="365" customFormat="1" ht="14.45" customHeight="1" x14ac:dyDescent="0.25">
      <c r="B36" s="364"/>
      <c r="E36" s="378" t="s">
        <v>185</v>
      </c>
      <c r="F36" s="382">
        <f>ROUND((SUM(BF108:BF109) + SUM(BF129:BF198)),  2)</f>
        <v>0</v>
      </c>
      <c r="I36" s="383">
        <v>0.23</v>
      </c>
      <c r="J36" s="382">
        <f>ROUND(((SUM(BF108:BF109) + SUM(BF129:BF198))*I36),  2)</f>
        <v>0</v>
      </c>
      <c r="L36" s="364"/>
    </row>
    <row r="37" spans="2:12" s="365" customFormat="1" ht="14.45" hidden="1" customHeight="1" x14ac:dyDescent="0.25">
      <c r="B37" s="364"/>
      <c r="E37" s="363" t="s">
        <v>186</v>
      </c>
      <c r="F37" s="382">
        <f>ROUND((SUM(BG108:BG109) + SUM(BG129:BG198)),  2)</f>
        <v>0</v>
      </c>
      <c r="I37" s="383">
        <v>0.23</v>
      </c>
      <c r="J37" s="382">
        <f>0</f>
        <v>0</v>
      </c>
      <c r="L37" s="364"/>
    </row>
    <row r="38" spans="2:12" s="365" customFormat="1" ht="14.45" hidden="1" customHeight="1" x14ac:dyDescent="0.25">
      <c r="B38" s="364"/>
      <c r="E38" s="363" t="s">
        <v>187</v>
      </c>
      <c r="F38" s="382">
        <f>ROUND((SUM(BH108:BH109) + SUM(BH129:BH198)),  2)</f>
        <v>0</v>
      </c>
      <c r="I38" s="383">
        <v>0.23</v>
      </c>
      <c r="J38" s="382">
        <f>0</f>
        <v>0</v>
      </c>
      <c r="L38" s="364"/>
    </row>
    <row r="39" spans="2:12" s="365" customFormat="1" ht="14.45" hidden="1" customHeight="1" x14ac:dyDescent="0.25">
      <c r="B39" s="364"/>
      <c r="E39" s="378" t="s">
        <v>188</v>
      </c>
      <c r="F39" s="379">
        <f>ROUND((SUM(BI108:BI109) + SUM(BI129:BI198)),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300 - SO 300</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J129</f>
        <v>0</v>
      </c>
      <c r="L96" s="364"/>
      <c r="AU96" s="357" t="s">
        <v>202</v>
      </c>
    </row>
    <row r="97" spans="2:14" s="405" customFormat="1" ht="24.95" customHeight="1" x14ac:dyDescent="0.25">
      <c r="B97" s="404"/>
      <c r="D97" s="406" t="s">
        <v>1912</v>
      </c>
      <c r="E97" s="407"/>
      <c r="F97" s="407"/>
      <c r="G97" s="407"/>
      <c r="H97" s="407"/>
      <c r="I97" s="407"/>
      <c r="J97" s="408">
        <f>J130</f>
        <v>0</v>
      </c>
      <c r="L97" s="404"/>
    </row>
    <row r="98" spans="2:14" s="405" customFormat="1" ht="24.95" customHeight="1" x14ac:dyDescent="0.25">
      <c r="B98" s="404"/>
      <c r="D98" s="406" t="s">
        <v>1913</v>
      </c>
      <c r="E98" s="407"/>
      <c r="F98" s="407"/>
      <c r="G98" s="407"/>
      <c r="H98" s="407"/>
      <c r="I98" s="407"/>
      <c r="J98" s="408">
        <f>J146</f>
        <v>0</v>
      </c>
      <c r="L98" s="404"/>
    </row>
    <row r="99" spans="2:14" s="405" customFormat="1" ht="24.95" customHeight="1" x14ac:dyDescent="0.25">
      <c r="B99" s="404"/>
      <c r="D99" s="406" t="s">
        <v>1914</v>
      </c>
      <c r="E99" s="407"/>
      <c r="F99" s="407"/>
      <c r="G99" s="407"/>
      <c r="H99" s="407"/>
      <c r="I99" s="407"/>
      <c r="J99" s="408">
        <f>J161</f>
        <v>0</v>
      </c>
      <c r="L99" s="404"/>
    </row>
    <row r="100" spans="2:14" s="405" customFormat="1" ht="24.95" customHeight="1" x14ac:dyDescent="0.25">
      <c r="B100" s="404"/>
      <c r="D100" s="406" t="s">
        <v>1915</v>
      </c>
      <c r="E100" s="407"/>
      <c r="F100" s="407"/>
      <c r="G100" s="407"/>
      <c r="H100" s="407"/>
      <c r="I100" s="407"/>
      <c r="J100" s="408">
        <f>J178</f>
        <v>0</v>
      </c>
      <c r="L100" s="404"/>
    </row>
    <row r="101" spans="2:14" s="405" customFormat="1" ht="24.95" customHeight="1" x14ac:dyDescent="0.25">
      <c r="B101" s="404"/>
      <c r="D101" s="406" t="s">
        <v>1916</v>
      </c>
      <c r="E101" s="407"/>
      <c r="F101" s="407"/>
      <c r="G101" s="407"/>
      <c r="H101" s="407"/>
      <c r="I101" s="407"/>
      <c r="J101" s="408">
        <f>J180</f>
        <v>0</v>
      </c>
      <c r="L101" s="404"/>
    </row>
    <row r="102" spans="2:14" s="405" customFormat="1" ht="24.95" customHeight="1" x14ac:dyDescent="0.25">
      <c r="B102" s="404"/>
      <c r="D102" s="406" t="s">
        <v>1917</v>
      </c>
      <c r="E102" s="407"/>
      <c r="F102" s="407"/>
      <c r="G102" s="407"/>
      <c r="H102" s="407"/>
      <c r="I102" s="407"/>
      <c r="J102" s="408">
        <f>J185</f>
        <v>0</v>
      </c>
      <c r="L102" s="404"/>
    </row>
    <row r="103" spans="2:14" s="410" customFormat="1" ht="19.899999999999999" customHeight="1" x14ac:dyDescent="0.25">
      <c r="B103" s="409"/>
      <c r="D103" s="411" t="s">
        <v>411</v>
      </c>
      <c r="E103" s="412"/>
      <c r="F103" s="412"/>
      <c r="G103" s="412"/>
      <c r="H103" s="412"/>
      <c r="I103" s="412"/>
      <c r="J103" s="413">
        <f>J186</f>
        <v>0</v>
      </c>
      <c r="L103" s="409"/>
    </row>
    <row r="104" spans="2:14" s="410" customFormat="1" ht="19.899999999999999" customHeight="1" x14ac:dyDescent="0.25">
      <c r="B104" s="409"/>
      <c r="D104" s="411" t="s">
        <v>414</v>
      </c>
      <c r="E104" s="412"/>
      <c r="F104" s="412"/>
      <c r="G104" s="412"/>
      <c r="H104" s="412"/>
      <c r="I104" s="412"/>
      <c r="J104" s="413">
        <f>J191</f>
        <v>0</v>
      </c>
      <c r="L104" s="409"/>
    </row>
    <row r="105" spans="2:14" s="410" customFormat="1" ht="19.899999999999999" customHeight="1" x14ac:dyDescent="0.25">
      <c r="B105" s="409"/>
      <c r="D105" s="411" t="s">
        <v>415</v>
      </c>
      <c r="E105" s="412"/>
      <c r="F105" s="412"/>
      <c r="G105" s="412"/>
      <c r="H105" s="412"/>
      <c r="I105" s="412"/>
      <c r="J105" s="413">
        <f>J195</f>
        <v>0</v>
      </c>
      <c r="L105" s="409"/>
    </row>
    <row r="106" spans="2:14" s="365" customFormat="1" ht="21.75" customHeight="1" x14ac:dyDescent="0.25">
      <c r="B106" s="364"/>
      <c r="L106" s="364"/>
    </row>
    <row r="107" spans="2:14" s="365" customFormat="1" ht="6.95" customHeight="1" x14ac:dyDescent="0.25">
      <c r="B107" s="364"/>
      <c r="L107" s="364"/>
    </row>
    <row r="108" spans="2:14" s="365" customFormat="1" ht="29.25" customHeight="1" x14ac:dyDescent="0.25">
      <c r="B108" s="364"/>
      <c r="C108" s="403" t="s">
        <v>3066</v>
      </c>
      <c r="J108" s="414">
        <v>0</v>
      </c>
      <c r="L108" s="364"/>
      <c r="N108" s="415" t="s">
        <v>183</v>
      </c>
    </row>
    <row r="109" spans="2:14" s="365" customFormat="1" ht="18" customHeight="1" x14ac:dyDescent="0.25">
      <c r="B109" s="364"/>
      <c r="L109" s="364"/>
    </row>
    <row r="110" spans="2:14" s="365" customFormat="1" ht="29.25" customHeight="1" x14ac:dyDescent="0.25">
      <c r="B110" s="364"/>
      <c r="C110" s="416" t="s">
        <v>3063</v>
      </c>
      <c r="D110" s="384"/>
      <c r="E110" s="384"/>
      <c r="F110" s="384"/>
      <c r="G110" s="384"/>
      <c r="H110" s="384"/>
      <c r="I110" s="384"/>
      <c r="J110" s="417">
        <f>ROUND(J96+J108,2)</f>
        <v>0</v>
      </c>
      <c r="K110" s="384"/>
      <c r="L110" s="364"/>
    </row>
    <row r="111" spans="2:14" s="365" customFormat="1" ht="6.95" customHeight="1" x14ac:dyDescent="0.25">
      <c r="B111" s="397"/>
      <c r="C111" s="398"/>
      <c r="D111" s="398"/>
      <c r="E111" s="398"/>
      <c r="F111" s="398"/>
      <c r="G111" s="398"/>
      <c r="H111" s="398"/>
      <c r="I111" s="398"/>
      <c r="J111" s="398"/>
      <c r="K111" s="398"/>
      <c r="L111" s="364"/>
    </row>
    <row r="115" spans="2:20" s="365" customFormat="1" ht="6.95" customHeight="1" x14ac:dyDescent="0.25">
      <c r="B115" s="399"/>
      <c r="C115" s="400"/>
      <c r="D115" s="400"/>
      <c r="E115" s="400"/>
      <c r="F115" s="400"/>
      <c r="G115" s="400"/>
      <c r="H115" s="400"/>
      <c r="I115" s="400"/>
      <c r="J115" s="400"/>
      <c r="K115" s="400"/>
      <c r="L115" s="364"/>
    </row>
    <row r="116" spans="2:20" s="365" customFormat="1" ht="24.95" customHeight="1" x14ac:dyDescent="0.25">
      <c r="B116" s="364"/>
      <c r="C116" s="361" t="s">
        <v>203</v>
      </c>
      <c r="L116" s="364"/>
    </row>
    <row r="117" spans="2:20" s="365" customFormat="1" ht="6.95" customHeight="1" x14ac:dyDescent="0.25">
      <c r="B117" s="364"/>
      <c r="L117" s="364"/>
    </row>
    <row r="118" spans="2:20" s="365" customFormat="1" ht="12" customHeight="1" x14ac:dyDescent="0.25">
      <c r="B118" s="364"/>
      <c r="C118" s="363" t="s">
        <v>169</v>
      </c>
      <c r="L118" s="364"/>
    </row>
    <row r="119" spans="2:20" s="365" customFormat="1" ht="16.5" customHeight="1" x14ac:dyDescent="0.25">
      <c r="B119" s="364"/>
      <c r="E119" s="859" t="str">
        <f>E7</f>
        <v>Cyklotrasa - Devín_RP1</v>
      </c>
      <c r="F119" s="860"/>
      <c r="G119" s="860"/>
      <c r="H119" s="860"/>
      <c r="L119" s="364"/>
    </row>
    <row r="120" spans="2:20" s="365" customFormat="1" ht="12" customHeight="1" x14ac:dyDescent="0.25">
      <c r="B120" s="364"/>
      <c r="C120" s="363" t="s">
        <v>408</v>
      </c>
      <c r="L120" s="364"/>
    </row>
    <row r="121" spans="2:20" s="365" customFormat="1" ht="16.5" customHeight="1" x14ac:dyDescent="0.25">
      <c r="B121" s="364"/>
      <c r="E121" s="857" t="str">
        <f>E9</f>
        <v>300 - SO 300</v>
      </c>
      <c r="F121" s="858"/>
      <c r="G121" s="858"/>
      <c r="H121" s="858"/>
      <c r="L121" s="364"/>
    </row>
    <row r="122" spans="2:20" s="365" customFormat="1" ht="6.95" customHeight="1" x14ac:dyDescent="0.25">
      <c r="B122" s="364"/>
      <c r="L122" s="364"/>
    </row>
    <row r="123" spans="2:20" s="365" customFormat="1" ht="12" customHeight="1" x14ac:dyDescent="0.25">
      <c r="B123" s="364"/>
      <c r="C123" s="363" t="s">
        <v>172</v>
      </c>
      <c r="F123" s="366" t="str">
        <f>F12</f>
        <v xml:space="preserve"> </v>
      </c>
      <c r="I123" s="363" t="s">
        <v>174</v>
      </c>
      <c r="J123" s="367">
        <f>IF(J12="","",J12)</f>
        <v>45908</v>
      </c>
      <c r="L123" s="364"/>
    </row>
    <row r="124" spans="2:20" s="365" customFormat="1" ht="6.95" customHeight="1" x14ac:dyDescent="0.25">
      <c r="B124" s="364"/>
      <c r="L124" s="364"/>
    </row>
    <row r="125" spans="2:20" s="365" customFormat="1" ht="15.2" customHeight="1" x14ac:dyDescent="0.25">
      <c r="B125" s="364"/>
      <c r="C125" s="363" t="s">
        <v>122</v>
      </c>
      <c r="F125" s="366" t="str">
        <f>E15</f>
        <v>Hlavné mesto SR Bratislava</v>
      </c>
      <c r="I125" s="363" t="s">
        <v>176</v>
      </c>
      <c r="J125" s="370" t="str">
        <f>E21</f>
        <v>PROKOS s.r.o.</v>
      </c>
      <c r="L125" s="364"/>
    </row>
    <row r="126" spans="2:20" s="365" customFormat="1" ht="15.2" customHeight="1" x14ac:dyDescent="0.25">
      <c r="B126" s="364"/>
      <c r="C126" s="363" t="s">
        <v>175</v>
      </c>
      <c r="F126" s="366" t="str">
        <f>IF(E18="","",E18)</f>
        <v>Údaj sa automaticky zobrazí aj vo Výkaze výmer</v>
      </c>
      <c r="I126" s="363" t="s">
        <v>177</v>
      </c>
      <c r="J126" s="370" t="str">
        <f>E24</f>
        <v>Ing. Ondrej Májek</v>
      </c>
      <c r="L126" s="364"/>
    </row>
    <row r="127" spans="2:20" s="365" customFormat="1" ht="10.35" customHeight="1" x14ac:dyDescent="0.25">
      <c r="B127" s="364"/>
      <c r="L127" s="364"/>
    </row>
    <row r="128" spans="2:20" s="426" customFormat="1" ht="29.25" customHeight="1" x14ac:dyDescent="0.25">
      <c r="B128" s="418"/>
      <c r="C128" s="419" t="s">
        <v>204</v>
      </c>
      <c r="D128" s="420" t="s">
        <v>205</v>
      </c>
      <c r="E128" s="420" t="s">
        <v>206</v>
      </c>
      <c r="F128" s="420" t="s">
        <v>121</v>
      </c>
      <c r="G128" s="420" t="s">
        <v>120</v>
      </c>
      <c r="H128" s="420" t="s">
        <v>207</v>
      </c>
      <c r="I128" s="420" t="s">
        <v>208</v>
      </c>
      <c r="J128" s="421" t="s">
        <v>200</v>
      </c>
      <c r="K128" s="422" t="s">
        <v>209</v>
      </c>
      <c r="L128" s="418"/>
      <c r="M128" s="423" t="s">
        <v>171</v>
      </c>
      <c r="N128" s="424" t="s">
        <v>183</v>
      </c>
      <c r="O128" s="424" t="s">
        <v>210</v>
      </c>
      <c r="P128" s="424" t="s">
        <v>211</v>
      </c>
      <c r="Q128" s="424" t="s">
        <v>212</v>
      </c>
      <c r="R128" s="424" t="s">
        <v>213</v>
      </c>
      <c r="S128" s="424" t="s">
        <v>214</v>
      </c>
      <c r="T128" s="425" t="s">
        <v>215</v>
      </c>
    </row>
    <row r="129" spans="2:65" s="365" customFormat="1" ht="22.9" customHeight="1" x14ac:dyDescent="0.25">
      <c r="B129" s="364"/>
      <c r="C129" s="427" t="s">
        <v>201</v>
      </c>
      <c r="J129" s="428">
        <f>BK129</f>
        <v>0</v>
      </c>
      <c r="L129" s="364"/>
      <c r="M129" s="429"/>
      <c r="N129" s="371"/>
      <c r="O129" s="371"/>
      <c r="P129" s="430">
        <f>P130+P146+P161+P178+P180+P185</f>
        <v>0.72617100000000012</v>
      </c>
      <c r="Q129" s="371"/>
      <c r="R129" s="430">
        <f>R130+R146+R161+R178+R180+R185</f>
        <v>0</v>
      </c>
      <c r="S129" s="371"/>
      <c r="T129" s="431">
        <f>T130+T146+T161+T178+T180+T185</f>
        <v>0</v>
      </c>
      <c r="AT129" s="357" t="s">
        <v>216</v>
      </c>
      <c r="AU129" s="357" t="s">
        <v>202</v>
      </c>
      <c r="BK129" s="432">
        <f>BK130+BK146+BK161+BK178+BK180+BK185</f>
        <v>0</v>
      </c>
    </row>
    <row r="130" spans="2:65" s="434" customFormat="1" ht="25.9" customHeight="1" x14ac:dyDescent="0.2">
      <c r="B130" s="433"/>
      <c r="D130" s="435" t="s">
        <v>216</v>
      </c>
      <c r="E130" s="436" t="s">
        <v>1918</v>
      </c>
      <c r="F130" s="436" t="s">
        <v>1919</v>
      </c>
      <c r="J130" s="437">
        <f>BK130</f>
        <v>0</v>
      </c>
      <c r="L130" s="433"/>
      <c r="M130" s="438"/>
      <c r="P130" s="439">
        <f>SUM(P131:P145)</f>
        <v>0</v>
      </c>
      <c r="R130" s="439">
        <f>SUM(R131:R145)</f>
        <v>0</v>
      </c>
      <c r="T130" s="440">
        <f>SUM(T131:T145)</f>
        <v>0</v>
      </c>
      <c r="AR130" s="435" t="s">
        <v>109</v>
      </c>
      <c r="AT130" s="441" t="s">
        <v>216</v>
      </c>
      <c r="AU130" s="441" t="s">
        <v>165</v>
      </c>
      <c r="AY130" s="435" t="s">
        <v>217</v>
      </c>
      <c r="BK130" s="442">
        <f>SUM(BK131:BK145)</f>
        <v>0</v>
      </c>
    </row>
    <row r="131" spans="2:65" s="365" customFormat="1" ht="16.5" customHeight="1" x14ac:dyDescent="0.25">
      <c r="B131" s="364"/>
      <c r="C131" s="445" t="s">
        <v>109</v>
      </c>
      <c r="D131" s="445" t="s">
        <v>218</v>
      </c>
      <c r="E131" s="446" t="s">
        <v>1920</v>
      </c>
      <c r="F131" s="447" t="s">
        <v>1921</v>
      </c>
      <c r="G131" s="448" t="s">
        <v>113</v>
      </c>
      <c r="H131" s="449">
        <v>30</v>
      </c>
      <c r="I131" s="329">
        <v>0</v>
      </c>
      <c r="J131" s="450">
        <f t="shared" ref="J131:J145" si="0">ROUND(I131*H131,2)</f>
        <v>0</v>
      </c>
      <c r="K131" s="451"/>
      <c r="L131" s="364"/>
      <c r="M131" s="452" t="s">
        <v>171</v>
      </c>
      <c r="N131" s="415" t="s">
        <v>185</v>
      </c>
      <c r="O131" s="453">
        <v>0</v>
      </c>
      <c r="P131" s="453">
        <f t="shared" ref="P131:P145" si="1">O131*H131</f>
        <v>0</v>
      </c>
      <c r="Q131" s="453">
        <v>0</v>
      </c>
      <c r="R131" s="453">
        <f t="shared" ref="R131:R145" si="2">Q131*H131</f>
        <v>0</v>
      </c>
      <c r="S131" s="453">
        <v>0</v>
      </c>
      <c r="T131" s="454">
        <f t="shared" ref="T131:T145" si="3">S131*H131</f>
        <v>0</v>
      </c>
      <c r="AR131" s="455" t="s">
        <v>110</v>
      </c>
      <c r="AT131" s="455" t="s">
        <v>218</v>
      </c>
      <c r="AU131" s="455" t="s">
        <v>109</v>
      </c>
      <c r="AY131" s="357" t="s">
        <v>217</v>
      </c>
      <c r="BE131" s="456">
        <f t="shared" ref="BE131:BE145" si="4">IF(N131="základná",J131,0)</f>
        <v>0</v>
      </c>
      <c r="BF131" s="456">
        <f t="shared" ref="BF131:BF145" si="5">IF(N131="znížená",J131,0)</f>
        <v>0</v>
      </c>
      <c r="BG131" s="456">
        <f t="shared" ref="BG131:BG145" si="6">IF(N131="zákl. prenesená",J131,0)</f>
        <v>0</v>
      </c>
      <c r="BH131" s="456">
        <f t="shared" ref="BH131:BH145" si="7">IF(N131="zníž. prenesená",J131,0)</f>
        <v>0</v>
      </c>
      <c r="BI131" s="456">
        <f t="shared" ref="BI131:BI145" si="8">IF(N131="nulová",J131,0)</f>
        <v>0</v>
      </c>
      <c r="BJ131" s="357" t="s">
        <v>108</v>
      </c>
      <c r="BK131" s="456">
        <f t="shared" ref="BK131:BK145" si="9">ROUND(I131*H131,2)</f>
        <v>0</v>
      </c>
      <c r="BL131" s="357" t="s">
        <v>110</v>
      </c>
      <c r="BM131" s="455" t="s">
        <v>108</v>
      </c>
    </row>
    <row r="132" spans="2:65" s="365" customFormat="1" ht="16.5" customHeight="1" x14ac:dyDescent="0.25">
      <c r="B132" s="364"/>
      <c r="C132" s="445" t="s">
        <v>108</v>
      </c>
      <c r="D132" s="445" t="s">
        <v>218</v>
      </c>
      <c r="E132" s="446" t="s">
        <v>1922</v>
      </c>
      <c r="F132" s="447" t="s">
        <v>1923</v>
      </c>
      <c r="G132" s="448" t="s">
        <v>123</v>
      </c>
      <c r="H132" s="449">
        <v>6</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110</v>
      </c>
    </row>
    <row r="133" spans="2:65" s="365" customFormat="1" ht="16.5" customHeight="1" x14ac:dyDescent="0.25">
      <c r="B133" s="364"/>
      <c r="C133" s="445" t="s">
        <v>119</v>
      </c>
      <c r="D133" s="445" t="s">
        <v>218</v>
      </c>
      <c r="E133" s="446" t="s">
        <v>1924</v>
      </c>
      <c r="F133" s="447" t="s">
        <v>1925</v>
      </c>
      <c r="G133" s="448" t="s">
        <v>123</v>
      </c>
      <c r="H133" s="449">
        <v>6</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117</v>
      </c>
    </row>
    <row r="134" spans="2:65" s="365" customFormat="1" ht="16.5" customHeight="1" x14ac:dyDescent="0.25">
      <c r="B134" s="364"/>
      <c r="C134" s="445" t="s">
        <v>110</v>
      </c>
      <c r="D134" s="445" t="s">
        <v>218</v>
      </c>
      <c r="E134" s="446" t="s">
        <v>1926</v>
      </c>
      <c r="F134" s="447" t="s">
        <v>1927</v>
      </c>
      <c r="G134" s="448" t="s">
        <v>123</v>
      </c>
      <c r="H134" s="449">
        <v>12</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115</v>
      </c>
    </row>
    <row r="135" spans="2:65" s="365" customFormat="1" ht="16.5" customHeight="1" x14ac:dyDescent="0.25">
      <c r="B135" s="364"/>
      <c r="C135" s="445" t="s">
        <v>118</v>
      </c>
      <c r="D135" s="445" t="s">
        <v>218</v>
      </c>
      <c r="E135" s="446" t="s">
        <v>1928</v>
      </c>
      <c r="F135" s="447" t="s">
        <v>1929</v>
      </c>
      <c r="G135" s="448" t="s">
        <v>123</v>
      </c>
      <c r="H135" s="449">
        <v>3</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221</v>
      </c>
    </row>
    <row r="136" spans="2:65" s="365" customFormat="1" ht="16.5" customHeight="1" x14ac:dyDescent="0.25">
      <c r="B136" s="364"/>
      <c r="C136" s="445" t="s">
        <v>117</v>
      </c>
      <c r="D136" s="445" t="s">
        <v>218</v>
      </c>
      <c r="E136" s="446" t="s">
        <v>1930</v>
      </c>
      <c r="F136" s="447" t="s">
        <v>1931</v>
      </c>
      <c r="G136" s="448" t="s">
        <v>123</v>
      </c>
      <c r="H136" s="449">
        <v>3</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223</v>
      </c>
    </row>
    <row r="137" spans="2:65" s="365" customFormat="1" ht="16.5" customHeight="1" x14ac:dyDescent="0.25">
      <c r="B137" s="364"/>
      <c r="C137" s="445" t="s">
        <v>116</v>
      </c>
      <c r="D137" s="445" t="s">
        <v>218</v>
      </c>
      <c r="E137" s="446" t="s">
        <v>1932</v>
      </c>
      <c r="F137" s="447" t="s">
        <v>1933</v>
      </c>
      <c r="G137" s="448" t="s">
        <v>123</v>
      </c>
      <c r="H137" s="449">
        <v>2</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226</v>
      </c>
    </row>
    <row r="138" spans="2:65" s="365" customFormat="1" ht="16.5" customHeight="1" x14ac:dyDescent="0.25">
      <c r="B138" s="364"/>
      <c r="C138" s="445" t="s">
        <v>115</v>
      </c>
      <c r="D138" s="445" t="s">
        <v>218</v>
      </c>
      <c r="E138" s="446" t="s">
        <v>1934</v>
      </c>
      <c r="F138" s="447" t="s">
        <v>1935</v>
      </c>
      <c r="G138" s="448" t="s">
        <v>113</v>
      </c>
      <c r="H138" s="449">
        <v>20</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228</v>
      </c>
    </row>
    <row r="139" spans="2:65" s="365" customFormat="1" ht="16.5" customHeight="1" x14ac:dyDescent="0.25">
      <c r="B139" s="364"/>
      <c r="C139" s="445" t="s">
        <v>162</v>
      </c>
      <c r="D139" s="445" t="s">
        <v>218</v>
      </c>
      <c r="E139" s="446" t="s">
        <v>1936</v>
      </c>
      <c r="F139" s="447" t="s">
        <v>1937</v>
      </c>
      <c r="G139" s="448" t="s">
        <v>123</v>
      </c>
      <c r="H139" s="449">
        <v>2</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109</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231</v>
      </c>
    </row>
    <row r="140" spans="2:65" s="365" customFormat="1" ht="16.5" customHeight="1" x14ac:dyDescent="0.25">
      <c r="B140" s="364"/>
      <c r="C140" s="445" t="s">
        <v>221</v>
      </c>
      <c r="D140" s="445" t="s">
        <v>218</v>
      </c>
      <c r="E140" s="446" t="s">
        <v>1938</v>
      </c>
      <c r="F140" s="447" t="s">
        <v>1939</v>
      </c>
      <c r="G140" s="448" t="s">
        <v>123</v>
      </c>
      <c r="H140" s="449">
        <v>8</v>
      </c>
      <c r="I140" s="329">
        <v>0</v>
      </c>
      <c r="J140" s="450">
        <f t="shared" si="0"/>
        <v>0</v>
      </c>
      <c r="K140" s="451"/>
      <c r="L140" s="364"/>
      <c r="M140" s="452" t="s">
        <v>171</v>
      </c>
      <c r="N140" s="415" t="s">
        <v>185</v>
      </c>
      <c r="O140" s="453">
        <v>0</v>
      </c>
      <c r="P140" s="453">
        <f t="shared" si="1"/>
        <v>0</v>
      </c>
      <c r="Q140" s="453">
        <v>0</v>
      </c>
      <c r="R140" s="453">
        <f t="shared" si="2"/>
        <v>0</v>
      </c>
      <c r="S140" s="453">
        <v>0</v>
      </c>
      <c r="T140" s="454">
        <f t="shared" si="3"/>
        <v>0</v>
      </c>
      <c r="AR140" s="455" t="s">
        <v>110</v>
      </c>
      <c r="AT140" s="455" t="s">
        <v>218</v>
      </c>
      <c r="AU140" s="455" t="s">
        <v>109</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234</v>
      </c>
    </row>
    <row r="141" spans="2:65" s="365" customFormat="1" ht="16.5" customHeight="1" x14ac:dyDescent="0.25">
      <c r="B141" s="364"/>
      <c r="C141" s="445" t="s">
        <v>222</v>
      </c>
      <c r="D141" s="445" t="s">
        <v>218</v>
      </c>
      <c r="E141" s="446" t="s">
        <v>1940</v>
      </c>
      <c r="F141" s="447" t="s">
        <v>1941</v>
      </c>
      <c r="G141" s="448" t="s">
        <v>123</v>
      </c>
      <c r="H141" s="449">
        <v>4</v>
      </c>
      <c r="I141" s="329">
        <v>0</v>
      </c>
      <c r="J141" s="450">
        <f t="shared" si="0"/>
        <v>0</v>
      </c>
      <c r="K141" s="451"/>
      <c r="L141" s="364"/>
      <c r="M141" s="452" t="s">
        <v>171</v>
      </c>
      <c r="N141" s="415" t="s">
        <v>185</v>
      </c>
      <c r="O141" s="453">
        <v>0</v>
      </c>
      <c r="P141" s="453">
        <f t="shared" si="1"/>
        <v>0</v>
      </c>
      <c r="Q141" s="453">
        <v>0</v>
      </c>
      <c r="R141" s="453">
        <f t="shared" si="2"/>
        <v>0</v>
      </c>
      <c r="S141" s="453">
        <v>0</v>
      </c>
      <c r="T141" s="454">
        <f t="shared" si="3"/>
        <v>0</v>
      </c>
      <c r="AR141" s="455" t="s">
        <v>110</v>
      </c>
      <c r="AT141" s="455" t="s">
        <v>218</v>
      </c>
      <c r="AU141" s="455" t="s">
        <v>109</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236</v>
      </c>
    </row>
    <row r="142" spans="2:65" s="365" customFormat="1" ht="16.5" customHeight="1" x14ac:dyDescent="0.25">
      <c r="B142" s="364"/>
      <c r="C142" s="445" t="s">
        <v>223</v>
      </c>
      <c r="D142" s="445" t="s">
        <v>218</v>
      </c>
      <c r="E142" s="446" t="s">
        <v>1942</v>
      </c>
      <c r="F142" s="447" t="s">
        <v>1943</v>
      </c>
      <c r="G142" s="448" t="s">
        <v>123</v>
      </c>
      <c r="H142" s="449">
        <v>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109</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238</v>
      </c>
    </row>
    <row r="143" spans="2:65" s="365" customFormat="1" ht="16.5" customHeight="1" x14ac:dyDescent="0.25">
      <c r="B143" s="364"/>
      <c r="C143" s="445" t="s">
        <v>225</v>
      </c>
      <c r="D143" s="445" t="s">
        <v>218</v>
      </c>
      <c r="E143" s="446" t="s">
        <v>1944</v>
      </c>
      <c r="F143" s="447" t="s">
        <v>1945</v>
      </c>
      <c r="G143" s="448" t="s">
        <v>123</v>
      </c>
      <c r="H143" s="449">
        <v>22</v>
      </c>
      <c r="I143" s="329">
        <v>0</v>
      </c>
      <c r="J143" s="450">
        <f t="shared" si="0"/>
        <v>0</v>
      </c>
      <c r="K143" s="451"/>
      <c r="L143" s="364"/>
      <c r="M143" s="452" t="s">
        <v>171</v>
      </c>
      <c r="N143" s="415" t="s">
        <v>185</v>
      </c>
      <c r="O143" s="453">
        <v>0</v>
      </c>
      <c r="P143" s="453">
        <f t="shared" si="1"/>
        <v>0</v>
      </c>
      <c r="Q143" s="453">
        <v>0</v>
      </c>
      <c r="R143" s="453">
        <f t="shared" si="2"/>
        <v>0</v>
      </c>
      <c r="S143" s="453">
        <v>0</v>
      </c>
      <c r="T143" s="454">
        <f t="shared" si="3"/>
        <v>0</v>
      </c>
      <c r="AR143" s="455" t="s">
        <v>110</v>
      </c>
      <c r="AT143" s="455" t="s">
        <v>218</v>
      </c>
      <c r="AU143" s="455" t="s">
        <v>109</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240</v>
      </c>
    </row>
    <row r="144" spans="2:65" s="365" customFormat="1" ht="16.5" customHeight="1" x14ac:dyDescent="0.25">
      <c r="B144" s="364"/>
      <c r="C144" s="445" t="s">
        <v>226</v>
      </c>
      <c r="D144" s="445" t="s">
        <v>218</v>
      </c>
      <c r="E144" s="446" t="s">
        <v>1946</v>
      </c>
      <c r="F144" s="447" t="s">
        <v>1947</v>
      </c>
      <c r="G144" s="448" t="s">
        <v>171</v>
      </c>
      <c r="H144" s="449">
        <v>1</v>
      </c>
      <c r="I144" s="329">
        <v>0</v>
      </c>
      <c r="J144" s="450">
        <f t="shared" si="0"/>
        <v>0</v>
      </c>
      <c r="K144" s="451"/>
      <c r="L144" s="364"/>
      <c r="M144" s="452" t="s">
        <v>171</v>
      </c>
      <c r="N144" s="415" t="s">
        <v>185</v>
      </c>
      <c r="O144" s="453">
        <v>0</v>
      </c>
      <c r="P144" s="453">
        <f t="shared" si="1"/>
        <v>0</v>
      </c>
      <c r="Q144" s="453">
        <v>0</v>
      </c>
      <c r="R144" s="453">
        <f t="shared" si="2"/>
        <v>0</v>
      </c>
      <c r="S144" s="453">
        <v>0</v>
      </c>
      <c r="T144" s="454">
        <f t="shared" si="3"/>
        <v>0</v>
      </c>
      <c r="AR144" s="455" t="s">
        <v>110</v>
      </c>
      <c r="AT144" s="455" t="s">
        <v>218</v>
      </c>
      <c r="AU144" s="455" t="s">
        <v>109</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242</v>
      </c>
    </row>
    <row r="145" spans="2:65" s="365" customFormat="1" ht="16.5" customHeight="1" x14ac:dyDescent="0.25">
      <c r="B145" s="364"/>
      <c r="C145" s="445" t="s">
        <v>227</v>
      </c>
      <c r="D145" s="445" t="s">
        <v>218</v>
      </c>
      <c r="E145" s="446" t="s">
        <v>1946</v>
      </c>
      <c r="F145" s="447" t="s">
        <v>1947</v>
      </c>
      <c r="G145" s="448" t="s">
        <v>171</v>
      </c>
      <c r="H145" s="449">
        <v>0</v>
      </c>
      <c r="I145" s="329">
        <v>0</v>
      </c>
      <c r="J145" s="450">
        <f t="shared" si="0"/>
        <v>0</v>
      </c>
      <c r="K145" s="451"/>
      <c r="L145" s="364"/>
      <c r="M145" s="452" t="s">
        <v>171</v>
      </c>
      <c r="N145" s="415" t="s">
        <v>185</v>
      </c>
      <c r="O145" s="453">
        <v>0</v>
      </c>
      <c r="P145" s="453">
        <f t="shared" si="1"/>
        <v>0</v>
      </c>
      <c r="Q145" s="453">
        <v>0</v>
      </c>
      <c r="R145" s="453">
        <f t="shared" si="2"/>
        <v>0</v>
      </c>
      <c r="S145" s="453">
        <v>0</v>
      </c>
      <c r="T145" s="454">
        <f t="shared" si="3"/>
        <v>0</v>
      </c>
      <c r="AR145" s="455" t="s">
        <v>110</v>
      </c>
      <c r="AT145" s="455" t="s">
        <v>218</v>
      </c>
      <c r="AU145" s="455" t="s">
        <v>109</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244</v>
      </c>
    </row>
    <row r="146" spans="2:65" s="434" customFormat="1" ht="25.9" customHeight="1" x14ac:dyDescent="0.2">
      <c r="B146" s="433"/>
      <c r="D146" s="435" t="s">
        <v>216</v>
      </c>
      <c r="E146" s="436" t="s">
        <v>1948</v>
      </c>
      <c r="F146" s="436" t="s">
        <v>1949</v>
      </c>
      <c r="I146" s="467"/>
      <c r="J146" s="437">
        <f>BK146</f>
        <v>0</v>
      </c>
      <c r="L146" s="433"/>
      <c r="M146" s="438"/>
      <c r="P146" s="439">
        <f>SUM(P147:P160)</f>
        <v>0</v>
      </c>
      <c r="R146" s="439">
        <f>SUM(R147:R160)</f>
        <v>0</v>
      </c>
      <c r="T146" s="440">
        <f>SUM(T147:T160)</f>
        <v>0</v>
      </c>
      <c r="AR146" s="435" t="s">
        <v>109</v>
      </c>
      <c r="AT146" s="441" t="s">
        <v>216</v>
      </c>
      <c r="AU146" s="441" t="s">
        <v>165</v>
      </c>
      <c r="AY146" s="435" t="s">
        <v>217</v>
      </c>
      <c r="BK146" s="442">
        <f>SUM(BK147:BK160)</f>
        <v>0</v>
      </c>
    </row>
    <row r="147" spans="2:65" s="365" customFormat="1" ht="16.5" customHeight="1" x14ac:dyDescent="0.25">
      <c r="B147" s="364"/>
      <c r="C147" s="457" t="s">
        <v>228</v>
      </c>
      <c r="D147" s="457" t="s">
        <v>259</v>
      </c>
      <c r="E147" s="458" t="s">
        <v>1950</v>
      </c>
      <c r="F147" s="459" t="s">
        <v>1951</v>
      </c>
      <c r="G147" s="460" t="s">
        <v>113</v>
      </c>
      <c r="H147" s="461">
        <v>65</v>
      </c>
      <c r="I147" s="330">
        <v>0</v>
      </c>
      <c r="J147" s="462">
        <f t="shared" ref="J147:J160" si="10">ROUND(I147*H147,2)</f>
        <v>0</v>
      </c>
      <c r="K147" s="463"/>
      <c r="L147" s="464"/>
      <c r="M147" s="465" t="s">
        <v>171</v>
      </c>
      <c r="N147" s="466" t="s">
        <v>185</v>
      </c>
      <c r="O147" s="453">
        <v>0</v>
      </c>
      <c r="P147" s="453">
        <f t="shared" ref="P147:P160" si="11">O147*H147</f>
        <v>0</v>
      </c>
      <c r="Q147" s="453">
        <v>0</v>
      </c>
      <c r="R147" s="453">
        <f t="shared" ref="R147:R160" si="12">Q147*H147</f>
        <v>0</v>
      </c>
      <c r="S147" s="453">
        <v>0</v>
      </c>
      <c r="T147" s="454">
        <f t="shared" ref="T147:T160" si="13">S147*H147</f>
        <v>0</v>
      </c>
      <c r="AR147" s="455" t="s">
        <v>115</v>
      </c>
      <c r="AT147" s="455" t="s">
        <v>259</v>
      </c>
      <c r="AU147" s="455" t="s">
        <v>109</v>
      </c>
      <c r="AY147" s="357" t="s">
        <v>217</v>
      </c>
      <c r="BE147" s="456">
        <f t="shared" ref="BE147:BE160" si="14">IF(N147="základná",J147,0)</f>
        <v>0</v>
      </c>
      <c r="BF147" s="456">
        <f t="shared" ref="BF147:BF160" si="15">IF(N147="znížená",J147,0)</f>
        <v>0</v>
      </c>
      <c r="BG147" s="456">
        <f t="shared" ref="BG147:BG160" si="16">IF(N147="zákl. prenesená",J147,0)</f>
        <v>0</v>
      </c>
      <c r="BH147" s="456">
        <f t="shared" ref="BH147:BH160" si="17">IF(N147="zníž. prenesená",J147,0)</f>
        <v>0</v>
      </c>
      <c r="BI147" s="456">
        <f t="shared" ref="BI147:BI160" si="18">IF(N147="nulová",J147,0)</f>
        <v>0</v>
      </c>
      <c r="BJ147" s="357" t="s">
        <v>108</v>
      </c>
      <c r="BK147" s="456">
        <f t="shared" ref="BK147:BK160" si="19">ROUND(I147*H147,2)</f>
        <v>0</v>
      </c>
      <c r="BL147" s="357" t="s">
        <v>110</v>
      </c>
      <c r="BM147" s="455" t="s">
        <v>246</v>
      </c>
    </row>
    <row r="148" spans="2:65" s="365" customFormat="1" ht="16.5" customHeight="1" x14ac:dyDescent="0.25">
      <c r="B148" s="364"/>
      <c r="C148" s="457" t="s">
        <v>229</v>
      </c>
      <c r="D148" s="457" t="s">
        <v>259</v>
      </c>
      <c r="E148" s="458" t="s">
        <v>1952</v>
      </c>
      <c r="F148" s="459" t="s">
        <v>1923</v>
      </c>
      <c r="G148" s="460" t="s">
        <v>123</v>
      </c>
      <c r="H148" s="461">
        <v>8</v>
      </c>
      <c r="I148" s="330">
        <v>0</v>
      </c>
      <c r="J148" s="462">
        <f t="shared" si="10"/>
        <v>0</v>
      </c>
      <c r="K148" s="463"/>
      <c r="L148" s="464"/>
      <c r="M148" s="465" t="s">
        <v>171</v>
      </c>
      <c r="N148" s="466" t="s">
        <v>185</v>
      </c>
      <c r="O148" s="453">
        <v>0</v>
      </c>
      <c r="P148" s="453">
        <f t="shared" si="11"/>
        <v>0</v>
      </c>
      <c r="Q148" s="453">
        <v>0</v>
      </c>
      <c r="R148" s="453">
        <f t="shared" si="12"/>
        <v>0</v>
      </c>
      <c r="S148" s="453">
        <v>0</v>
      </c>
      <c r="T148" s="454">
        <f t="shared" si="13"/>
        <v>0</v>
      </c>
      <c r="AR148" s="455" t="s">
        <v>115</v>
      </c>
      <c r="AT148" s="455" t="s">
        <v>259</v>
      </c>
      <c r="AU148" s="455" t="s">
        <v>109</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248</v>
      </c>
    </row>
    <row r="149" spans="2:65" s="365" customFormat="1" ht="16.5" customHeight="1" x14ac:dyDescent="0.25">
      <c r="B149" s="364"/>
      <c r="C149" s="457" t="s">
        <v>231</v>
      </c>
      <c r="D149" s="457" t="s">
        <v>259</v>
      </c>
      <c r="E149" s="458" t="s">
        <v>1953</v>
      </c>
      <c r="F149" s="459" t="s">
        <v>1954</v>
      </c>
      <c r="G149" s="460" t="s">
        <v>123</v>
      </c>
      <c r="H149" s="461">
        <v>5</v>
      </c>
      <c r="I149" s="330">
        <v>0</v>
      </c>
      <c r="J149" s="462">
        <f t="shared" si="10"/>
        <v>0</v>
      </c>
      <c r="K149" s="463"/>
      <c r="L149" s="464"/>
      <c r="M149" s="465" t="s">
        <v>171</v>
      </c>
      <c r="N149" s="466" t="s">
        <v>185</v>
      </c>
      <c r="O149" s="453">
        <v>0</v>
      </c>
      <c r="P149" s="453">
        <f t="shared" si="11"/>
        <v>0</v>
      </c>
      <c r="Q149" s="453">
        <v>0</v>
      </c>
      <c r="R149" s="453">
        <f t="shared" si="12"/>
        <v>0</v>
      </c>
      <c r="S149" s="453">
        <v>0</v>
      </c>
      <c r="T149" s="454">
        <f t="shared" si="13"/>
        <v>0</v>
      </c>
      <c r="AR149" s="455" t="s">
        <v>115</v>
      </c>
      <c r="AT149" s="455" t="s">
        <v>259</v>
      </c>
      <c r="AU149" s="455" t="s">
        <v>109</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250</v>
      </c>
    </row>
    <row r="150" spans="2:65" s="365" customFormat="1" ht="16.5" customHeight="1" x14ac:dyDescent="0.25">
      <c r="B150" s="364"/>
      <c r="C150" s="457" t="s">
        <v>232</v>
      </c>
      <c r="D150" s="457" t="s">
        <v>259</v>
      </c>
      <c r="E150" s="458" t="s">
        <v>1955</v>
      </c>
      <c r="F150" s="459" t="s">
        <v>1956</v>
      </c>
      <c r="G150" s="460" t="s">
        <v>1957</v>
      </c>
      <c r="H150" s="461">
        <v>5</v>
      </c>
      <c r="I150" s="330">
        <v>0</v>
      </c>
      <c r="J150" s="462">
        <f t="shared" si="10"/>
        <v>0</v>
      </c>
      <c r="K150" s="463"/>
      <c r="L150" s="464"/>
      <c r="M150" s="465" t="s">
        <v>171</v>
      </c>
      <c r="N150" s="466" t="s">
        <v>185</v>
      </c>
      <c r="O150" s="453">
        <v>0</v>
      </c>
      <c r="P150" s="453">
        <f t="shared" si="11"/>
        <v>0</v>
      </c>
      <c r="Q150" s="453">
        <v>0</v>
      </c>
      <c r="R150" s="453">
        <f t="shared" si="12"/>
        <v>0</v>
      </c>
      <c r="S150" s="453">
        <v>0</v>
      </c>
      <c r="T150" s="454">
        <f t="shared" si="13"/>
        <v>0</v>
      </c>
      <c r="AR150" s="455" t="s">
        <v>115</v>
      </c>
      <c r="AT150" s="455" t="s">
        <v>259</v>
      </c>
      <c r="AU150" s="455" t="s">
        <v>109</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252</v>
      </c>
    </row>
    <row r="151" spans="2:65" s="365" customFormat="1" ht="16.5" customHeight="1" x14ac:dyDescent="0.25">
      <c r="B151" s="364"/>
      <c r="C151" s="457" t="s">
        <v>234</v>
      </c>
      <c r="D151" s="457" t="s">
        <v>259</v>
      </c>
      <c r="E151" s="458" t="s">
        <v>1958</v>
      </c>
      <c r="F151" s="459" t="s">
        <v>1959</v>
      </c>
      <c r="G151" s="460" t="s">
        <v>123</v>
      </c>
      <c r="H151" s="461">
        <v>24</v>
      </c>
      <c r="I151" s="330">
        <v>0</v>
      </c>
      <c r="J151" s="462">
        <f t="shared" si="10"/>
        <v>0</v>
      </c>
      <c r="K151" s="463"/>
      <c r="L151" s="464"/>
      <c r="M151" s="465" t="s">
        <v>171</v>
      </c>
      <c r="N151" s="466" t="s">
        <v>185</v>
      </c>
      <c r="O151" s="453">
        <v>0</v>
      </c>
      <c r="P151" s="453">
        <f t="shared" si="11"/>
        <v>0</v>
      </c>
      <c r="Q151" s="453">
        <v>0</v>
      </c>
      <c r="R151" s="453">
        <f t="shared" si="12"/>
        <v>0</v>
      </c>
      <c r="S151" s="453">
        <v>0</v>
      </c>
      <c r="T151" s="454">
        <f t="shared" si="13"/>
        <v>0</v>
      </c>
      <c r="AR151" s="455" t="s">
        <v>115</v>
      </c>
      <c r="AT151" s="455" t="s">
        <v>259</v>
      </c>
      <c r="AU151" s="455" t="s">
        <v>109</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254</v>
      </c>
    </row>
    <row r="152" spans="2:65" s="365" customFormat="1" ht="16.5" customHeight="1" x14ac:dyDescent="0.25">
      <c r="B152" s="364"/>
      <c r="C152" s="457" t="s">
        <v>235</v>
      </c>
      <c r="D152" s="457" t="s">
        <v>259</v>
      </c>
      <c r="E152" s="458" t="s">
        <v>1960</v>
      </c>
      <c r="F152" s="459" t="s">
        <v>1961</v>
      </c>
      <c r="G152" s="460" t="s">
        <v>123</v>
      </c>
      <c r="H152" s="461">
        <v>6</v>
      </c>
      <c r="I152" s="330">
        <v>0</v>
      </c>
      <c r="J152" s="462">
        <f t="shared" si="10"/>
        <v>0</v>
      </c>
      <c r="K152" s="463"/>
      <c r="L152" s="464"/>
      <c r="M152" s="465" t="s">
        <v>171</v>
      </c>
      <c r="N152" s="466" t="s">
        <v>185</v>
      </c>
      <c r="O152" s="453">
        <v>0</v>
      </c>
      <c r="P152" s="453">
        <f t="shared" si="11"/>
        <v>0</v>
      </c>
      <c r="Q152" s="453">
        <v>0</v>
      </c>
      <c r="R152" s="453">
        <f t="shared" si="12"/>
        <v>0</v>
      </c>
      <c r="S152" s="453">
        <v>0</v>
      </c>
      <c r="T152" s="454">
        <f t="shared" si="13"/>
        <v>0</v>
      </c>
      <c r="AR152" s="455" t="s">
        <v>115</v>
      </c>
      <c r="AT152" s="455" t="s">
        <v>259</v>
      </c>
      <c r="AU152" s="455" t="s">
        <v>109</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256</v>
      </c>
    </row>
    <row r="153" spans="2:65" s="365" customFormat="1" ht="16.5" customHeight="1" x14ac:dyDescent="0.25">
      <c r="B153" s="364"/>
      <c r="C153" s="457" t="s">
        <v>236</v>
      </c>
      <c r="D153" s="457" t="s">
        <v>259</v>
      </c>
      <c r="E153" s="458" t="s">
        <v>1962</v>
      </c>
      <c r="F153" s="459" t="s">
        <v>1963</v>
      </c>
      <c r="G153" s="460" t="s">
        <v>123</v>
      </c>
      <c r="H153" s="461">
        <v>6</v>
      </c>
      <c r="I153" s="330">
        <v>0</v>
      </c>
      <c r="J153" s="462">
        <f t="shared" si="10"/>
        <v>0</v>
      </c>
      <c r="K153" s="463"/>
      <c r="L153" s="464"/>
      <c r="M153" s="465" t="s">
        <v>171</v>
      </c>
      <c r="N153" s="466" t="s">
        <v>185</v>
      </c>
      <c r="O153" s="453">
        <v>0</v>
      </c>
      <c r="P153" s="453">
        <f t="shared" si="11"/>
        <v>0</v>
      </c>
      <c r="Q153" s="453">
        <v>0</v>
      </c>
      <c r="R153" s="453">
        <f t="shared" si="12"/>
        <v>0</v>
      </c>
      <c r="S153" s="453">
        <v>0</v>
      </c>
      <c r="T153" s="454">
        <f t="shared" si="13"/>
        <v>0</v>
      </c>
      <c r="AR153" s="455" t="s">
        <v>115</v>
      </c>
      <c r="AT153" s="455" t="s">
        <v>259</v>
      </c>
      <c r="AU153" s="455" t="s">
        <v>109</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258</v>
      </c>
    </row>
    <row r="154" spans="2:65" s="365" customFormat="1" ht="16.5" customHeight="1" x14ac:dyDescent="0.25">
      <c r="B154" s="364"/>
      <c r="C154" s="457" t="s">
        <v>237</v>
      </c>
      <c r="D154" s="457" t="s">
        <v>259</v>
      </c>
      <c r="E154" s="458" t="s">
        <v>1964</v>
      </c>
      <c r="F154" s="459" t="s">
        <v>1965</v>
      </c>
      <c r="G154" s="460" t="s">
        <v>123</v>
      </c>
      <c r="H154" s="461">
        <v>2</v>
      </c>
      <c r="I154" s="330">
        <v>0</v>
      </c>
      <c r="J154" s="462">
        <f t="shared" si="10"/>
        <v>0</v>
      </c>
      <c r="K154" s="463"/>
      <c r="L154" s="464"/>
      <c r="M154" s="465" t="s">
        <v>171</v>
      </c>
      <c r="N154" s="466" t="s">
        <v>185</v>
      </c>
      <c r="O154" s="453">
        <v>0</v>
      </c>
      <c r="P154" s="453">
        <f t="shared" si="11"/>
        <v>0</v>
      </c>
      <c r="Q154" s="453">
        <v>0</v>
      </c>
      <c r="R154" s="453">
        <f t="shared" si="12"/>
        <v>0</v>
      </c>
      <c r="S154" s="453">
        <v>0</v>
      </c>
      <c r="T154" s="454">
        <f t="shared" si="13"/>
        <v>0</v>
      </c>
      <c r="AR154" s="455" t="s">
        <v>115</v>
      </c>
      <c r="AT154" s="455" t="s">
        <v>259</v>
      </c>
      <c r="AU154" s="455" t="s">
        <v>109</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262</v>
      </c>
    </row>
    <row r="155" spans="2:65" s="365" customFormat="1" ht="16.5" customHeight="1" x14ac:dyDescent="0.25">
      <c r="B155" s="364"/>
      <c r="C155" s="457" t="s">
        <v>238</v>
      </c>
      <c r="D155" s="457" t="s">
        <v>259</v>
      </c>
      <c r="E155" s="458" t="s">
        <v>1966</v>
      </c>
      <c r="F155" s="459" t="s">
        <v>1967</v>
      </c>
      <c r="G155" s="460" t="s">
        <v>536</v>
      </c>
      <c r="H155" s="461">
        <v>20</v>
      </c>
      <c r="I155" s="330">
        <v>0</v>
      </c>
      <c r="J155" s="462">
        <f t="shared" si="10"/>
        <v>0</v>
      </c>
      <c r="K155" s="463"/>
      <c r="L155" s="464"/>
      <c r="M155" s="465" t="s">
        <v>171</v>
      </c>
      <c r="N155" s="466" t="s">
        <v>185</v>
      </c>
      <c r="O155" s="453">
        <v>0</v>
      </c>
      <c r="P155" s="453">
        <f t="shared" si="11"/>
        <v>0</v>
      </c>
      <c r="Q155" s="453">
        <v>0</v>
      </c>
      <c r="R155" s="453">
        <f t="shared" si="12"/>
        <v>0</v>
      </c>
      <c r="S155" s="453">
        <v>0</v>
      </c>
      <c r="T155" s="454">
        <f t="shared" si="13"/>
        <v>0</v>
      </c>
      <c r="AR155" s="455" t="s">
        <v>115</v>
      </c>
      <c r="AT155" s="455" t="s">
        <v>259</v>
      </c>
      <c r="AU155" s="455" t="s">
        <v>109</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264</v>
      </c>
    </row>
    <row r="156" spans="2:65" s="365" customFormat="1" ht="16.5" customHeight="1" x14ac:dyDescent="0.25">
      <c r="B156" s="364"/>
      <c r="C156" s="457" t="s">
        <v>239</v>
      </c>
      <c r="D156" s="457" t="s">
        <v>259</v>
      </c>
      <c r="E156" s="458" t="s">
        <v>1968</v>
      </c>
      <c r="F156" s="459" t="s">
        <v>1937</v>
      </c>
      <c r="G156" s="460" t="s">
        <v>123</v>
      </c>
      <c r="H156" s="461">
        <v>2</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115</v>
      </c>
      <c r="AT156" s="455" t="s">
        <v>259</v>
      </c>
      <c r="AU156" s="455" t="s">
        <v>109</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266</v>
      </c>
    </row>
    <row r="157" spans="2:65" s="365" customFormat="1" ht="16.5" customHeight="1" x14ac:dyDescent="0.25">
      <c r="B157" s="364"/>
      <c r="C157" s="457" t="s">
        <v>240</v>
      </c>
      <c r="D157" s="457" t="s">
        <v>259</v>
      </c>
      <c r="E157" s="458" t="s">
        <v>1969</v>
      </c>
      <c r="F157" s="459" t="s">
        <v>1939</v>
      </c>
      <c r="G157" s="460" t="s">
        <v>123</v>
      </c>
      <c r="H157" s="461">
        <v>8</v>
      </c>
      <c r="I157" s="330">
        <v>0</v>
      </c>
      <c r="J157" s="462">
        <f t="shared" si="10"/>
        <v>0</v>
      </c>
      <c r="K157" s="463"/>
      <c r="L157" s="464"/>
      <c r="M157" s="465" t="s">
        <v>171</v>
      </c>
      <c r="N157" s="466" t="s">
        <v>185</v>
      </c>
      <c r="O157" s="453">
        <v>0</v>
      </c>
      <c r="P157" s="453">
        <f t="shared" si="11"/>
        <v>0</v>
      </c>
      <c r="Q157" s="453">
        <v>0</v>
      </c>
      <c r="R157" s="453">
        <f t="shared" si="12"/>
        <v>0</v>
      </c>
      <c r="S157" s="453">
        <v>0</v>
      </c>
      <c r="T157" s="454">
        <f t="shared" si="13"/>
        <v>0</v>
      </c>
      <c r="AR157" s="455" t="s">
        <v>115</v>
      </c>
      <c r="AT157" s="455" t="s">
        <v>259</v>
      </c>
      <c r="AU157" s="455" t="s">
        <v>109</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577</v>
      </c>
    </row>
    <row r="158" spans="2:65" s="365" customFormat="1" ht="16.5" customHeight="1" x14ac:dyDescent="0.25">
      <c r="B158" s="364"/>
      <c r="C158" s="457" t="s">
        <v>241</v>
      </c>
      <c r="D158" s="457" t="s">
        <v>259</v>
      </c>
      <c r="E158" s="458" t="s">
        <v>1970</v>
      </c>
      <c r="F158" s="459" t="s">
        <v>1971</v>
      </c>
      <c r="G158" s="460" t="s">
        <v>123</v>
      </c>
      <c r="H158" s="461">
        <v>4</v>
      </c>
      <c r="I158" s="330">
        <v>0</v>
      </c>
      <c r="J158" s="462">
        <f t="shared" si="10"/>
        <v>0</v>
      </c>
      <c r="K158" s="463"/>
      <c r="L158" s="464"/>
      <c r="M158" s="465" t="s">
        <v>171</v>
      </c>
      <c r="N158" s="466" t="s">
        <v>185</v>
      </c>
      <c r="O158" s="453">
        <v>0</v>
      </c>
      <c r="P158" s="453">
        <f t="shared" si="11"/>
        <v>0</v>
      </c>
      <c r="Q158" s="453">
        <v>0</v>
      </c>
      <c r="R158" s="453">
        <f t="shared" si="12"/>
        <v>0</v>
      </c>
      <c r="S158" s="453">
        <v>0</v>
      </c>
      <c r="T158" s="454">
        <f t="shared" si="13"/>
        <v>0</v>
      </c>
      <c r="AR158" s="455" t="s">
        <v>115</v>
      </c>
      <c r="AT158" s="455" t="s">
        <v>259</v>
      </c>
      <c r="AU158" s="455" t="s">
        <v>109</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585</v>
      </c>
    </row>
    <row r="159" spans="2:65" s="365" customFormat="1" ht="16.5" customHeight="1" x14ac:dyDescent="0.25">
      <c r="B159" s="364"/>
      <c r="C159" s="445" t="s">
        <v>242</v>
      </c>
      <c r="D159" s="445" t="s">
        <v>218</v>
      </c>
      <c r="E159" s="446" t="s">
        <v>1972</v>
      </c>
      <c r="F159" s="447" t="s">
        <v>1973</v>
      </c>
      <c r="G159" s="448" t="s">
        <v>171</v>
      </c>
      <c r="H159" s="449">
        <v>1</v>
      </c>
      <c r="I159" s="329">
        <v>0</v>
      </c>
      <c r="J159" s="450">
        <f t="shared" si="10"/>
        <v>0</v>
      </c>
      <c r="K159" s="451"/>
      <c r="L159" s="364"/>
      <c r="M159" s="452" t="s">
        <v>171</v>
      </c>
      <c r="N159" s="415" t="s">
        <v>185</v>
      </c>
      <c r="O159" s="453">
        <v>0</v>
      </c>
      <c r="P159" s="453">
        <f t="shared" si="11"/>
        <v>0</v>
      </c>
      <c r="Q159" s="453">
        <v>0</v>
      </c>
      <c r="R159" s="453">
        <f t="shared" si="12"/>
        <v>0</v>
      </c>
      <c r="S159" s="453">
        <v>0</v>
      </c>
      <c r="T159" s="454">
        <f t="shared" si="13"/>
        <v>0</v>
      </c>
      <c r="AR159" s="455" t="s">
        <v>110</v>
      </c>
      <c r="AT159" s="455" t="s">
        <v>218</v>
      </c>
      <c r="AU159" s="455" t="s">
        <v>109</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593</v>
      </c>
    </row>
    <row r="160" spans="2:65" s="365" customFormat="1" ht="16.5" customHeight="1" x14ac:dyDescent="0.25">
      <c r="B160" s="364"/>
      <c r="C160" s="445" t="s">
        <v>243</v>
      </c>
      <c r="D160" s="445" t="s">
        <v>218</v>
      </c>
      <c r="E160" s="446" t="s">
        <v>1946</v>
      </c>
      <c r="F160" s="447" t="s">
        <v>1947</v>
      </c>
      <c r="G160" s="448" t="s">
        <v>171</v>
      </c>
      <c r="H160" s="449">
        <v>1</v>
      </c>
      <c r="I160" s="329">
        <v>0</v>
      </c>
      <c r="J160" s="450">
        <f t="shared" si="10"/>
        <v>0</v>
      </c>
      <c r="K160" s="451"/>
      <c r="L160" s="364"/>
      <c r="M160" s="452" t="s">
        <v>171</v>
      </c>
      <c r="N160" s="415" t="s">
        <v>185</v>
      </c>
      <c r="O160" s="453">
        <v>0</v>
      </c>
      <c r="P160" s="453">
        <f t="shared" si="11"/>
        <v>0</v>
      </c>
      <c r="Q160" s="453">
        <v>0</v>
      </c>
      <c r="R160" s="453">
        <f t="shared" si="12"/>
        <v>0</v>
      </c>
      <c r="S160" s="453">
        <v>0</v>
      </c>
      <c r="T160" s="454">
        <f t="shared" si="13"/>
        <v>0</v>
      </c>
      <c r="AR160" s="455" t="s">
        <v>110</v>
      </c>
      <c r="AT160" s="455" t="s">
        <v>218</v>
      </c>
      <c r="AU160" s="455" t="s">
        <v>109</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601</v>
      </c>
    </row>
    <row r="161" spans="2:65" s="434" customFormat="1" ht="25.9" customHeight="1" x14ac:dyDescent="0.2">
      <c r="B161" s="433"/>
      <c r="D161" s="435" t="s">
        <v>216</v>
      </c>
      <c r="E161" s="436" t="s">
        <v>1974</v>
      </c>
      <c r="F161" s="436" t="s">
        <v>1975</v>
      </c>
      <c r="I161" s="467"/>
      <c r="J161" s="437">
        <f>BK161</f>
        <v>0</v>
      </c>
      <c r="L161" s="433"/>
      <c r="M161" s="438"/>
      <c r="P161" s="439">
        <f>SUM(P162:P177)</f>
        <v>0</v>
      </c>
      <c r="R161" s="439">
        <f>SUM(R162:R177)</f>
        <v>0</v>
      </c>
      <c r="T161" s="440">
        <f>SUM(T162:T177)</f>
        <v>0</v>
      </c>
      <c r="AR161" s="435" t="s">
        <v>109</v>
      </c>
      <c r="AT161" s="441" t="s">
        <v>216</v>
      </c>
      <c r="AU161" s="441" t="s">
        <v>165</v>
      </c>
      <c r="AY161" s="435" t="s">
        <v>217</v>
      </c>
      <c r="BK161" s="442">
        <f>SUM(BK162:BK177)</f>
        <v>0</v>
      </c>
    </row>
    <row r="162" spans="2:65" s="365" customFormat="1" ht="16.5" customHeight="1" x14ac:dyDescent="0.25">
      <c r="B162" s="364"/>
      <c r="C162" s="445" t="s">
        <v>244</v>
      </c>
      <c r="D162" s="445" t="s">
        <v>218</v>
      </c>
      <c r="E162" s="446" t="s">
        <v>1976</v>
      </c>
      <c r="F162" s="447" t="s">
        <v>1977</v>
      </c>
      <c r="G162" s="448" t="s">
        <v>113</v>
      </c>
      <c r="H162" s="449">
        <v>20</v>
      </c>
      <c r="I162" s="329">
        <v>0</v>
      </c>
      <c r="J162" s="450">
        <f t="shared" ref="J162:J177" si="20">ROUND(I162*H162,2)</f>
        <v>0</v>
      </c>
      <c r="K162" s="451"/>
      <c r="L162" s="364"/>
      <c r="M162" s="452" t="s">
        <v>171</v>
      </c>
      <c r="N162" s="415" t="s">
        <v>185</v>
      </c>
      <c r="O162" s="453">
        <v>0</v>
      </c>
      <c r="P162" s="453">
        <f t="shared" ref="P162:P177" si="21">O162*H162</f>
        <v>0</v>
      </c>
      <c r="Q162" s="453">
        <v>0</v>
      </c>
      <c r="R162" s="453">
        <f t="shared" ref="R162:R177" si="22">Q162*H162</f>
        <v>0</v>
      </c>
      <c r="S162" s="453">
        <v>0</v>
      </c>
      <c r="T162" s="454">
        <f t="shared" ref="T162:T177" si="23">S162*H162</f>
        <v>0</v>
      </c>
      <c r="AR162" s="455" t="s">
        <v>110</v>
      </c>
      <c r="AT162" s="455" t="s">
        <v>218</v>
      </c>
      <c r="AU162" s="455" t="s">
        <v>109</v>
      </c>
      <c r="AY162" s="357" t="s">
        <v>217</v>
      </c>
      <c r="BE162" s="456">
        <f t="shared" ref="BE162:BE177" si="24">IF(N162="základná",J162,0)</f>
        <v>0</v>
      </c>
      <c r="BF162" s="456">
        <f t="shared" ref="BF162:BF177" si="25">IF(N162="znížená",J162,0)</f>
        <v>0</v>
      </c>
      <c r="BG162" s="456">
        <f t="shared" ref="BG162:BG177" si="26">IF(N162="zákl. prenesená",J162,0)</f>
        <v>0</v>
      </c>
      <c r="BH162" s="456">
        <f t="shared" ref="BH162:BH177" si="27">IF(N162="zníž. prenesená",J162,0)</f>
        <v>0</v>
      </c>
      <c r="BI162" s="456">
        <f t="shared" ref="BI162:BI177" si="28">IF(N162="nulová",J162,0)</f>
        <v>0</v>
      </c>
      <c r="BJ162" s="357" t="s">
        <v>108</v>
      </c>
      <c r="BK162" s="456">
        <f t="shared" ref="BK162:BK177" si="29">ROUND(I162*H162,2)</f>
        <v>0</v>
      </c>
      <c r="BL162" s="357" t="s">
        <v>110</v>
      </c>
      <c r="BM162" s="455" t="s">
        <v>609</v>
      </c>
    </row>
    <row r="163" spans="2:65" s="365" customFormat="1" ht="16.5" customHeight="1" x14ac:dyDescent="0.25">
      <c r="B163" s="364"/>
      <c r="C163" s="445" t="s">
        <v>245</v>
      </c>
      <c r="D163" s="445" t="s">
        <v>218</v>
      </c>
      <c r="E163" s="446" t="s">
        <v>1978</v>
      </c>
      <c r="F163" s="447" t="s">
        <v>1979</v>
      </c>
      <c r="G163" s="448" t="s">
        <v>114</v>
      </c>
      <c r="H163" s="449">
        <v>1</v>
      </c>
      <c r="I163" s="329">
        <v>0</v>
      </c>
      <c r="J163" s="450">
        <f t="shared" si="20"/>
        <v>0</v>
      </c>
      <c r="K163" s="451"/>
      <c r="L163" s="364"/>
      <c r="M163" s="452" t="s">
        <v>171</v>
      </c>
      <c r="N163" s="415" t="s">
        <v>185</v>
      </c>
      <c r="O163" s="453">
        <v>0</v>
      </c>
      <c r="P163" s="453">
        <f t="shared" si="21"/>
        <v>0</v>
      </c>
      <c r="Q163" s="453">
        <v>0</v>
      </c>
      <c r="R163" s="453">
        <f t="shared" si="22"/>
        <v>0</v>
      </c>
      <c r="S163" s="453">
        <v>0</v>
      </c>
      <c r="T163" s="454">
        <f t="shared" si="23"/>
        <v>0</v>
      </c>
      <c r="AR163" s="455" t="s">
        <v>110</v>
      </c>
      <c r="AT163" s="455" t="s">
        <v>218</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617</v>
      </c>
    </row>
    <row r="164" spans="2:65" s="365" customFormat="1" ht="16.5" customHeight="1" x14ac:dyDescent="0.25">
      <c r="B164" s="364"/>
      <c r="C164" s="445" t="s">
        <v>246</v>
      </c>
      <c r="D164" s="445" t="s">
        <v>218</v>
      </c>
      <c r="E164" s="446" t="s">
        <v>1980</v>
      </c>
      <c r="F164" s="447" t="s">
        <v>1981</v>
      </c>
      <c r="G164" s="448" t="s">
        <v>113</v>
      </c>
      <c r="H164" s="449">
        <v>20</v>
      </c>
      <c r="I164" s="329">
        <v>0</v>
      </c>
      <c r="J164" s="450">
        <f t="shared" si="20"/>
        <v>0</v>
      </c>
      <c r="K164" s="451"/>
      <c r="L164" s="364"/>
      <c r="M164" s="452" t="s">
        <v>171</v>
      </c>
      <c r="N164" s="415" t="s">
        <v>185</v>
      </c>
      <c r="O164" s="453">
        <v>0</v>
      </c>
      <c r="P164" s="453">
        <f t="shared" si="21"/>
        <v>0</v>
      </c>
      <c r="Q164" s="453">
        <v>0</v>
      </c>
      <c r="R164" s="453">
        <f t="shared" si="22"/>
        <v>0</v>
      </c>
      <c r="S164" s="453">
        <v>0</v>
      </c>
      <c r="T164" s="454">
        <f t="shared" si="23"/>
        <v>0</v>
      </c>
      <c r="AR164" s="455" t="s">
        <v>110</v>
      </c>
      <c r="AT164" s="455" t="s">
        <v>218</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625</v>
      </c>
    </row>
    <row r="165" spans="2:65" s="365" customFormat="1" ht="16.5" customHeight="1" x14ac:dyDescent="0.25">
      <c r="B165" s="364"/>
      <c r="C165" s="445" t="s">
        <v>247</v>
      </c>
      <c r="D165" s="445" t="s">
        <v>218</v>
      </c>
      <c r="E165" s="446" t="s">
        <v>1982</v>
      </c>
      <c r="F165" s="447" t="s">
        <v>1983</v>
      </c>
      <c r="G165" s="448" t="s">
        <v>123</v>
      </c>
      <c r="H165" s="449">
        <v>5</v>
      </c>
      <c r="I165" s="329">
        <v>0</v>
      </c>
      <c r="J165" s="450">
        <f t="shared" si="20"/>
        <v>0</v>
      </c>
      <c r="K165" s="451"/>
      <c r="L165" s="364"/>
      <c r="M165" s="452" t="s">
        <v>171</v>
      </c>
      <c r="N165" s="415" t="s">
        <v>185</v>
      </c>
      <c r="O165" s="453">
        <v>0</v>
      </c>
      <c r="P165" s="453">
        <f t="shared" si="21"/>
        <v>0</v>
      </c>
      <c r="Q165" s="453">
        <v>0</v>
      </c>
      <c r="R165" s="453">
        <f t="shared" si="22"/>
        <v>0</v>
      </c>
      <c r="S165" s="453">
        <v>0</v>
      </c>
      <c r="T165" s="454">
        <f t="shared" si="23"/>
        <v>0</v>
      </c>
      <c r="AR165" s="455" t="s">
        <v>110</v>
      </c>
      <c r="AT165" s="455" t="s">
        <v>218</v>
      </c>
      <c r="AU165" s="455" t="s">
        <v>109</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634</v>
      </c>
    </row>
    <row r="166" spans="2:65" s="365" customFormat="1" ht="16.5" customHeight="1" x14ac:dyDescent="0.25">
      <c r="B166" s="364"/>
      <c r="C166" s="445" t="s">
        <v>248</v>
      </c>
      <c r="D166" s="445" t="s">
        <v>218</v>
      </c>
      <c r="E166" s="446" t="s">
        <v>1984</v>
      </c>
      <c r="F166" s="447" t="s">
        <v>1985</v>
      </c>
      <c r="G166" s="448" t="s">
        <v>123</v>
      </c>
      <c r="H166" s="449">
        <v>2</v>
      </c>
      <c r="I166" s="329">
        <v>0</v>
      </c>
      <c r="J166" s="450">
        <f t="shared" si="20"/>
        <v>0</v>
      </c>
      <c r="K166" s="451"/>
      <c r="L166" s="364"/>
      <c r="M166" s="452" t="s">
        <v>171</v>
      </c>
      <c r="N166" s="415" t="s">
        <v>185</v>
      </c>
      <c r="O166" s="453">
        <v>0</v>
      </c>
      <c r="P166" s="453">
        <f t="shared" si="21"/>
        <v>0</v>
      </c>
      <c r="Q166" s="453">
        <v>0</v>
      </c>
      <c r="R166" s="453">
        <f t="shared" si="22"/>
        <v>0</v>
      </c>
      <c r="S166" s="453">
        <v>0</v>
      </c>
      <c r="T166" s="454">
        <f t="shared" si="23"/>
        <v>0</v>
      </c>
      <c r="AR166" s="455" t="s">
        <v>110</v>
      </c>
      <c r="AT166" s="455" t="s">
        <v>218</v>
      </c>
      <c r="AU166" s="455" t="s">
        <v>109</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640</v>
      </c>
    </row>
    <row r="167" spans="2:65" s="365" customFormat="1" ht="16.5" customHeight="1" x14ac:dyDescent="0.25">
      <c r="B167" s="364"/>
      <c r="C167" s="445" t="s">
        <v>249</v>
      </c>
      <c r="D167" s="445" t="s">
        <v>218</v>
      </c>
      <c r="E167" s="446" t="s">
        <v>1986</v>
      </c>
      <c r="F167" s="447" t="s">
        <v>1987</v>
      </c>
      <c r="G167" s="448" t="s">
        <v>123</v>
      </c>
      <c r="H167" s="449">
        <v>2</v>
      </c>
      <c r="I167" s="329">
        <v>0</v>
      </c>
      <c r="J167" s="450">
        <f t="shared" si="20"/>
        <v>0</v>
      </c>
      <c r="K167" s="451"/>
      <c r="L167" s="364"/>
      <c r="M167" s="452" t="s">
        <v>171</v>
      </c>
      <c r="N167" s="415" t="s">
        <v>185</v>
      </c>
      <c r="O167" s="453">
        <v>0</v>
      </c>
      <c r="P167" s="453">
        <f t="shared" si="21"/>
        <v>0</v>
      </c>
      <c r="Q167" s="453">
        <v>0</v>
      </c>
      <c r="R167" s="453">
        <f t="shared" si="22"/>
        <v>0</v>
      </c>
      <c r="S167" s="453">
        <v>0</v>
      </c>
      <c r="T167" s="454">
        <f t="shared" si="23"/>
        <v>0</v>
      </c>
      <c r="AR167" s="455" t="s">
        <v>110</v>
      </c>
      <c r="AT167" s="455" t="s">
        <v>218</v>
      </c>
      <c r="AU167" s="455" t="s">
        <v>109</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645</v>
      </c>
    </row>
    <row r="168" spans="2:65" s="365" customFormat="1" ht="24.2" customHeight="1" x14ac:dyDescent="0.25">
      <c r="B168" s="364"/>
      <c r="C168" s="445" t="s">
        <v>250</v>
      </c>
      <c r="D168" s="445" t="s">
        <v>218</v>
      </c>
      <c r="E168" s="446" t="s">
        <v>1988</v>
      </c>
      <c r="F168" s="447" t="s">
        <v>1989</v>
      </c>
      <c r="G168" s="448" t="s">
        <v>113</v>
      </c>
      <c r="H168" s="449">
        <v>20</v>
      </c>
      <c r="I168" s="329">
        <v>0</v>
      </c>
      <c r="J168" s="450">
        <f t="shared" si="20"/>
        <v>0</v>
      </c>
      <c r="K168" s="451"/>
      <c r="L168" s="364"/>
      <c r="M168" s="452" t="s">
        <v>171</v>
      </c>
      <c r="N168" s="415" t="s">
        <v>185</v>
      </c>
      <c r="O168" s="453">
        <v>0</v>
      </c>
      <c r="P168" s="453">
        <f t="shared" si="21"/>
        <v>0</v>
      </c>
      <c r="Q168" s="453">
        <v>0</v>
      </c>
      <c r="R168" s="453">
        <f t="shared" si="22"/>
        <v>0</v>
      </c>
      <c r="S168" s="453">
        <v>0</v>
      </c>
      <c r="T168" s="454">
        <f t="shared" si="23"/>
        <v>0</v>
      </c>
      <c r="AR168" s="455" t="s">
        <v>110</v>
      </c>
      <c r="AT168" s="455" t="s">
        <v>218</v>
      </c>
      <c r="AU168" s="455" t="s">
        <v>109</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655</v>
      </c>
    </row>
    <row r="169" spans="2:65" s="365" customFormat="1" ht="16.5" customHeight="1" x14ac:dyDescent="0.25">
      <c r="B169" s="364"/>
      <c r="C169" s="445" t="s">
        <v>251</v>
      </c>
      <c r="D169" s="445" t="s">
        <v>218</v>
      </c>
      <c r="E169" s="446" t="s">
        <v>1990</v>
      </c>
      <c r="F169" s="447" t="s">
        <v>1991</v>
      </c>
      <c r="G169" s="448" t="s">
        <v>113</v>
      </c>
      <c r="H169" s="449">
        <v>20</v>
      </c>
      <c r="I169" s="329">
        <v>0</v>
      </c>
      <c r="J169" s="450">
        <f t="shared" si="20"/>
        <v>0</v>
      </c>
      <c r="K169" s="451"/>
      <c r="L169" s="364"/>
      <c r="M169" s="452" t="s">
        <v>171</v>
      </c>
      <c r="N169" s="415" t="s">
        <v>185</v>
      </c>
      <c r="O169" s="453">
        <v>0</v>
      </c>
      <c r="P169" s="453">
        <f t="shared" si="21"/>
        <v>0</v>
      </c>
      <c r="Q169" s="453">
        <v>0</v>
      </c>
      <c r="R169" s="453">
        <f t="shared" si="22"/>
        <v>0</v>
      </c>
      <c r="S169" s="453">
        <v>0</v>
      </c>
      <c r="T169" s="454">
        <f t="shared" si="23"/>
        <v>0</v>
      </c>
      <c r="AR169" s="455" t="s">
        <v>110</v>
      </c>
      <c r="AT169" s="455" t="s">
        <v>218</v>
      </c>
      <c r="AU169" s="455" t="s">
        <v>109</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664</v>
      </c>
    </row>
    <row r="170" spans="2:65" s="365" customFormat="1" ht="16.5" customHeight="1" x14ac:dyDescent="0.25">
      <c r="B170" s="364"/>
      <c r="C170" s="457" t="s">
        <v>252</v>
      </c>
      <c r="D170" s="457" t="s">
        <v>259</v>
      </c>
      <c r="E170" s="458" t="s">
        <v>1992</v>
      </c>
      <c r="F170" s="459" t="s">
        <v>1993</v>
      </c>
      <c r="G170" s="460" t="s">
        <v>113</v>
      </c>
      <c r="H170" s="461">
        <v>20</v>
      </c>
      <c r="I170" s="330">
        <v>0</v>
      </c>
      <c r="J170" s="462">
        <f t="shared" si="20"/>
        <v>0</v>
      </c>
      <c r="K170" s="463"/>
      <c r="L170" s="464"/>
      <c r="M170" s="465" t="s">
        <v>171</v>
      </c>
      <c r="N170" s="466" t="s">
        <v>185</v>
      </c>
      <c r="O170" s="453">
        <v>0</v>
      </c>
      <c r="P170" s="453">
        <f t="shared" si="21"/>
        <v>0</v>
      </c>
      <c r="Q170" s="453">
        <v>0</v>
      </c>
      <c r="R170" s="453">
        <f t="shared" si="22"/>
        <v>0</v>
      </c>
      <c r="S170" s="453">
        <v>0</v>
      </c>
      <c r="T170" s="454">
        <f t="shared" si="23"/>
        <v>0</v>
      </c>
      <c r="AR170" s="455" t="s">
        <v>115</v>
      </c>
      <c r="AT170" s="455" t="s">
        <v>259</v>
      </c>
      <c r="AU170" s="455" t="s">
        <v>109</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674</v>
      </c>
    </row>
    <row r="171" spans="2:65" s="365" customFormat="1" ht="21.75" customHeight="1" x14ac:dyDescent="0.25">
      <c r="B171" s="364"/>
      <c r="C171" s="445" t="s">
        <v>253</v>
      </c>
      <c r="D171" s="445" t="s">
        <v>218</v>
      </c>
      <c r="E171" s="446" t="s">
        <v>1994</v>
      </c>
      <c r="F171" s="447" t="s">
        <v>1995</v>
      </c>
      <c r="G171" s="448" t="s">
        <v>123</v>
      </c>
      <c r="H171" s="449">
        <v>3</v>
      </c>
      <c r="I171" s="329">
        <v>0</v>
      </c>
      <c r="J171" s="450">
        <f t="shared" si="20"/>
        <v>0</v>
      </c>
      <c r="K171" s="451"/>
      <c r="L171" s="364"/>
      <c r="M171" s="452" t="s">
        <v>171</v>
      </c>
      <c r="N171" s="415" t="s">
        <v>185</v>
      </c>
      <c r="O171" s="453">
        <v>0</v>
      </c>
      <c r="P171" s="453">
        <f t="shared" si="21"/>
        <v>0</v>
      </c>
      <c r="Q171" s="453">
        <v>0</v>
      </c>
      <c r="R171" s="453">
        <f t="shared" si="22"/>
        <v>0</v>
      </c>
      <c r="S171" s="453">
        <v>0</v>
      </c>
      <c r="T171" s="454">
        <f t="shared" si="23"/>
        <v>0</v>
      </c>
      <c r="AR171" s="455" t="s">
        <v>110</v>
      </c>
      <c r="AT171" s="455" t="s">
        <v>218</v>
      </c>
      <c r="AU171" s="455" t="s">
        <v>109</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903</v>
      </c>
    </row>
    <row r="172" spans="2:65" s="365" customFormat="1" ht="16.5" customHeight="1" x14ac:dyDescent="0.25">
      <c r="B172" s="364"/>
      <c r="C172" s="445" t="s">
        <v>254</v>
      </c>
      <c r="D172" s="445" t="s">
        <v>218</v>
      </c>
      <c r="E172" s="446" t="s">
        <v>1996</v>
      </c>
      <c r="F172" s="447" t="s">
        <v>1997</v>
      </c>
      <c r="G172" s="448" t="s">
        <v>113</v>
      </c>
      <c r="H172" s="449">
        <v>20</v>
      </c>
      <c r="I172" s="329">
        <v>0</v>
      </c>
      <c r="J172" s="450">
        <f t="shared" si="20"/>
        <v>0</v>
      </c>
      <c r="K172" s="451"/>
      <c r="L172" s="364"/>
      <c r="M172" s="452" t="s">
        <v>171</v>
      </c>
      <c r="N172" s="415" t="s">
        <v>185</v>
      </c>
      <c r="O172" s="453">
        <v>0</v>
      </c>
      <c r="P172" s="453">
        <f t="shared" si="21"/>
        <v>0</v>
      </c>
      <c r="Q172" s="453">
        <v>0</v>
      </c>
      <c r="R172" s="453">
        <f t="shared" si="22"/>
        <v>0</v>
      </c>
      <c r="S172" s="453">
        <v>0</v>
      </c>
      <c r="T172" s="454">
        <f t="shared" si="23"/>
        <v>0</v>
      </c>
      <c r="AR172" s="455" t="s">
        <v>110</v>
      </c>
      <c r="AT172" s="455" t="s">
        <v>218</v>
      </c>
      <c r="AU172" s="455" t="s">
        <v>109</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911</v>
      </c>
    </row>
    <row r="173" spans="2:65" s="365" customFormat="1" ht="16.5" customHeight="1" x14ac:dyDescent="0.25">
      <c r="B173" s="364"/>
      <c r="C173" s="445" t="s">
        <v>255</v>
      </c>
      <c r="D173" s="445" t="s">
        <v>218</v>
      </c>
      <c r="E173" s="446" t="s">
        <v>1998</v>
      </c>
      <c r="F173" s="447" t="s">
        <v>1999</v>
      </c>
      <c r="G173" s="448" t="s">
        <v>111</v>
      </c>
      <c r="H173" s="449">
        <v>8</v>
      </c>
      <c r="I173" s="329">
        <v>0</v>
      </c>
      <c r="J173" s="450">
        <f t="shared" si="20"/>
        <v>0</v>
      </c>
      <c r="K173" s="451"/>
      <c r="L173" s="364"/>
      <c r="M173" s="452" t="s">
        <v>171</v>
      </c>
      <c r="N173" s="415" t="s">
        <v>185</v>
      </c>
      <c r="O173" s="453">
        <v>0</v>
      </c>
      <c r="P173" s="453">
        <f t="shared" si="21"/>
        <v>0</v>
      </c>
      <c r="Q173" s="453">
        <v>0</v>
      </c>
      <c r="R173" s="453">
        <f t="shared" si="22"/>
        <v>0</v>
      </c>
      <c r="S173" s="453">
        <v>0</v>
      </c>
      <c r="T173" s="454">
        <f t="shared" si="23"/>
        <v>0</v>
      </c>
      <c r="AR173" s="455" t="s">
        <v>110</v>
      </c>
      <c r="AT173" s="455" t="s">
        <v>218</v>
      </c>
      <c r="AU173" s="455" t="s">
        <v>109</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919</v>
      </c>
    </row>
    <row r="174" spans="2:65" s="365" customFormat="1" ht="16.5" customHeight="1" x14ac:dyDescent="0.25">
      <c r="B174" s="364"/>
      <c r="C174" s="457" t="s">
        <v>256</v>
      </c>
      <c r="D174" s="457" t="s">
        <v>259</v>
      </c>
      <c r="E174" s="458" t="s">
        <v>2000</v>
      </c>
      <c r="F174" s="459" t="s">
        <v>2001</v>
      </c>
      <c r="G174" s="460" t="s">
        <v>123</v>
      </c>
      <c r="H174" s="461">
        <v>20</v>
      </c>
      <c r="I174" s="330">
        <v>0</v>
      </c>
      <c r="J174" s="462">
        <f t="shared" si="20"/>
        <v>0</v>
      </c>
      <c r="K174" s="463"/>
      <c r="L174" s="464"/>
      <c r="M174" s="465" t="s">
        <v>171</v>
      </c>
      <c r="N174" s="466" t="s">
        <v>185</v>
      </c>
      <c r="O174" s="453">
        <v>0</v>
      </c>
      <c r="P174" s="453">
        <f t="shared" si="21"/>
        <v>0</v>
      </c>
      <c r="Q174" s="453">
        <v>0</v>
      </c>
      <c r="R174" s="453">
        <f t="shared" si="22"/>
        <v>0</v>
      </c>
      <c r="S174" s="453">
        <v>0</v>
      </c>
      <c r="T174" s="454">
        <f t="shared" si="23"/>
        <v>0</v>
      </c>
      <c r="AR174" s="455" t="s">
        <v>115</v>
      </c>
      <c r="AT174" s="455" t="s">
        <v>259</v>
      </c>
      <c r="AU174" s="455" t="s">
        <v>109</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925</v>
      </c>
    </row>
    <row r="175" spans="2:65" s="365" customFormat="1" ht="16.5" customHeight="1" x14ac:dyDescent="0.25">
      <c r="B175" s="364"/>
      <c r="C175" s="457" t="s">
        <v>257</v>
      </c>
      <c r="D175" s="457" t="s">
        <v>259</v>
      </c>
      <c r="E175" s="458" t="s">
        <v>2002</v>
      </c>
      <c r="F175" s="459" t="s">
        <v>2003</v>
      </c>
      <c r="G175" s="460" t="s">
        <v>114</v>
      </c>
      <c r="H175" s="461">
        <v>1</v>
      </c>
      <c r="I175" s="330">
        <v>0</v>
      </c>
      <c r="J175" s="462">
        <f t="shared" si="20"/>
        <v>0</v>
      </c>
      <c r="K175" s="463"/>
      <c r="L175" s="464"/>
      <c r="M175" s="465" t="s">
        <v>171</v>
      </c>
      <c r="N175" s="466" t="s">
        <v>185</v>
      </c>
      <c r="O175" s="453">
        <v>0</v>
      </c>
      <c r="P175" s="453">
        <f t="shared" si="21"/>
        <v>0</v>
      </c>
      <c r="Q175" s="453">
        <v>0</v>
      </c>
      <c r="R175" s="453">
        <f t="shared" si="22"/>
        <v>0</v>
      </c>
      <c r="S175" s="453">
        <v>0</v>
      </c>
      <c r="T175" s="454">
        <f t="shared" si="23"/>
        <v>0</v>
      </c>
      <c r="AR175" s="455" t="s">
        <v>115</v>
      </c>
      <c r="AT175" s="455" t="s">
        <v>259</v>
      </c>
      <c r="AU175" s="455" t="s">
        <v>109</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931</v>
      </c>
    </row>
    <row r="176" spans="2:65" s="365" customFormat="1" ht="16.5" customHeight="1" x14ac:dyDescent="0.25">
      <c r="B176" s="364"/>
      <c r="C176" s="457" t="s">
        <v>258</v>
      </c>
      <c r="D176" s="457" t="s">
        <v>259</v>
      </c>
      <c r="E176" s="458" t="s">
        <v>2004</v>
      </c>
      <c r="F176" s="459" t="s">
        <v>2005</v>
      </c>
      <c r="G176" s="460" t="s">
        <v>114</v>
      </c>
      <c r="H176" s="461">
        <v>0.6</v>
      </c>
      <c r="I176" s="330">
        <v>0</v>
      </c>
      <c r="J176" s="462">
        <f t="shared" si="20"/>
        <v>0</v>
      </c>
      <c r="K176" s="463"/>
      <c r="L176" s="464"/>
      <c r="M176" s="465" t="s">
        <v>171</v>
      </c>
      <c r="N176" s="466" t="s">
        <v>185</v>
      </c>
      <c r="O176" s="453">
        <v>0</v>
      </c>
      <c r="P176" s="453">
        <f t="shared" si="21"/>
        <v>0</v>
      </c>
      <c r="Q176" s="453">
        <v>0</v>
      </c>
      <c r="R176" s="453">
        <f t="shared" si="22"/>
        <v>0</v>
      </c>
      <c r="S176" s="453">
        <v>0</v>
      </c>
      <c r="T176" s="454">
        <f t="shared" si="23"/>
        <v>0</v>
      </c>
      <c r="AR176" s="455" t="s">
        <v>115</v>
      </c>
      <c r="AT176" s="455" t="s">
        <v>259</v>
      </c>
      <c r="AU176" s="455" t="s">
        <v>109</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935</v>
      </c>
    </row>
    <row r="177" spans="2:65" s="365" customFormat="1" ht="16.5" customHeight="1" x14ac:dyDescent="0.25">
      <c r="B177" s="364"/>
      <c r="C177" s="445" t="s">
        <v>260</v>
      </c>
      <c r="D177" s="445" t="s">
        <v>218</v>
      </c>
      <c r="E177" s="446" t="s">
        <v>1946</v>
      </c>
      <c r="F177" s="447" t="s">
        <v>1947</v>
      </c>
      <c r="G177" s="448" t="s">
        <v>171</v>
      </c>
      <c r="H177" s="449">
        <v>1</v>
      </c>
      <c r="I177" s="329">
        <v>0</v>
      </c>
      <c r="J177" s="450">
        <f t="shared" si="20"/>
        <v>0</v>
      </c>
      <c r="K177" s="451"/>
      <c r="L177" s="364"/>
      <c r="M177" s="452" t="s">
        <v>171</v>
      </c>
      <c r="N177" s="415" t="s">
        <v>185</v>
      </c>
      <c r="O177" s="453">
        <v>0</v>
      </c>
      <c r="P177" s="453">
        <f t="shared" si="21"/>
        <v>0</v>
      </c>
      <c r="Q177" s="453">
        <v>0</v>
      </c>
      <c r="R177" s="453">
        <f t="shared" si="22"/>
        <v>0</v>
      </c>
      <c r="S177" s="453">
        <v>0</v>
      </c>
      <c r="T177" s="454">
        <f t="shared" si="23"/>
        <v>0</v>
      </c>
      <c r="AR177" s="455" t="s">
        <v>110</v>
      </c>
      <c r="AT177" s="455" t="s">
        <v>218</v>
      </c>
      <c r="AU177" s="455" t="s">
        <v>109</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941</v>
      </c>
    </row>
    <row r="178" spans="2:65" s="434" customFormat="1" ht="25.9" customHeight="1" x14ac:dyDescent="0.2">
      <c r="B178" s="433"/>
      <c r="D178" s="435" t="s">
        <v>216</v>
      </c>
      <c r="E178" s="436" t="s">
        <v>2006</v>
      </c>
      <c r="F178" s="436" t="s">
        <v>2007</v>
      </c>
      <c r="I178" s="467"/>
      <c r="J178" s="437">
        <f>BK178</f>
        <v>0</v>
      </c>
      <c r="L178" s="433"/>
      <c r="M178" s="438"/>
      <c r="P178" s="439">
        <f>P179</f>
        <v>0</v>
      </c>
      <c r="R178" s="439">
        <f>R179</f>
        <v>0</v>
      </c>
      <c r="T178" s="440">
        <f>T179</f>
        <v>0</v>
      </c>
      <c r="AR178" s="435" t="s">
        <v>109</v>
      </c>
      <c r="AT178" s="441" t="s">
        <v>216</v>
      </c>
      <c r="AU178" s="441" t="s">
        <v>165</v>
      </c>
      <c r="AY178" s="435" t="s">
        <v>217</v>
      </c>
      <c r="BK178" s="442">
        <f>BK179</f>
        <v>0</v>
      </c>
    </row>
    <row r="179" spans="2:65" s="365" customFormat="1" ht="16.5" customHeight="1" x14ac:dyDescent="0.25">
      <c r="B179" s="364"/>
      <c r="C179" s="445" t="s">
        <v>262</v>
      </c>
      <c r="D179" s="445" t="s">
        <v>218</v>
      </c>
      <c r="E179" s="446" t="s">
        <v>2008</v>
      </c>
      <c r="F179" s="447" t="s">
        <v>2009</v>
      </c>
      <c r="G179" s="448" t="s">
        <v>2010</v>
      </c>
      <c r="H179" s="449">
        <v>16</v>
      </c>
      <c r="I179" s="329">
        <v>0</v>
      </c>
      <c r="J179" s="450">
        <f>ROUND(I179*H179,2)</f>
        <v>0</v>
      </c>
      <c r="K179" s="451"/>
      <c r="L179" s="364"/>
      <c r="M179" s="452" t="s">
        <v>171</v>
      </c>
      <c r="N179" s="415" t="s">
        <v>185</v>
      </c>
      <c r="O179" s="453">
        <v>0</v>
      </c>
      <c r="P179" s="453">
        <f>O179*H179</f>
        <v>0</v>
      </c>
      <c r="Q179" s="453">
        <v>0</v>
      </c>
      <c r="R179" s="453">
        <f>Q179*H179</f>
        <v>0</v>
      </c>
      <c r="S179" s="453">
        <v>0</v>
      </c>
      <c r="T179" s="454">
        <f>S179*H179</f>
        <v>0</v>
      </c>
      <c r="AR179" s="455" t="s">
        <v>110</v>
      </c>
      <c r="AT179" s="455" t="s">
        <v>218</v>
      </c>
      <c r="AU179" s="455" t="s">
        <v>109</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948</v>
      </c>
    </row>
    <row r="180" spans="2:65" s="434" customFormat="1" ht="25.9" customHeight="1" x14ac:dyDescent="0.2">
      <c r="B180" s="433"/>
      <c r="D180" s="435" t="s">
        <v>216</v>
      </c>
      <c r="E180" s="436" t="s">
        <v>2011</v>
      </c>
      <c r="F180" s="436" t="s">
        <v>2012</v>
      </c>
      <c r="I180" s="467"/>
      <c r="J180" s="437">
        <f>BK180</f>
        <v>0</v>
      </c>
      <c r="L180" s="433"/>
      <c r="M180" s="438"/>
      <c r="P180" s="439">
        <f>SUM(P181:P184)</f>
        <v>0</v>
      </c>
      <c r="R180" s="439">
        <f>SUM(R181:R184)</f>
        <v>0</v>
      </c>
      <c r="T180" s="440">
        <f>SUM(T181:T184)</f>
        <v>0</v>
      </c>
      <c r="AR180" s="435" t="s">
        <v>109</v>
      </c>
      <c r="AT180" s="441" t="s">
        <v>216</v>
      </c>
      <c r="AU180" s="441" t="s">
        <v>165</v>
      </c>
      <c r="AY180" s="435" t="s">
        <v>217</v>
      </c>
      <c r="BK180" s="442">
        <f>SUM(BK181:BK184)</f>
        <v>0</v>
      </c>
    </row>
    <row r="181" spans="2:65" s="365" customFormat="1" ht="16.5" customHeight="1" x14ac:dyDescent="0.25">
      <c r="B181" s="364"/>
      <c r="C181" s="445" t="s">
        <v>263</v>
      </c>
      <c r="D181" s="445" t="s">
        <v>218</v>
      </c>
      <c r="E181" s="446" t="s">
        <v>2013</v>
      </c>
      <c r="F181" s="447" t="s">
        <v>2014</v>
      </c>
      <c r="G181" s="448" t="s">
        <v>2010</v>
      </c>
      <c r="H181" s="449">
        <v>8</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109</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1203</v>
      </c>
    </row>
    <row r="182" spans="2:65" s="365" customFormat="1" ht="16.5" customHeight="1" x14ac:dyDescent="0.25">
      <c r="B182" s="364"/>
      <c r="C182" s="445" t="s">
        <v>264</v>
      </c>
      <c r="D182" s="445" t="s">
        <v>218</v>
      </c>
      <c r="E182" s="446" t="s">
        <v>2015</v>
      </c>
      <c r="F182" s="447" t="s">
        <v>2016</v>
      </c>
      <c r="G182" s="448" t="s">
        <v>2010</v>
      </c>
      <c r="H182" s="449">
        <v>8</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110</v>
      </c>
      <c r="AT182" s="455" t="s">
        <v>218</v>
      </c>
      <c r="AU182" s="455" t="s">
        <v>109</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1208</v>
      </c>
    </row>
    <row r="183" spans="2:65" s="365" customFormat="1" ht="16.5" customHeight="1" x14ac:dyDescent="0.25">
      <c r="B183" s="364"/>
      <c r="C183" s="445" t="s">
        <v>265</v>
      </c>
      <c r="D183" s="445" t="s">
        <v>218</v>
      </c>
      <c r="E183" s="446" t="s">
        <v>2017</v>
      </c>
      <c r="F183" s="447" t="s">
        <v>2018</v>
      </c>
      <c r="G183" s="448" t="s">
        <v>2010</v>
      </c>
      <c r="H183" s="449">
        <v>8</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110</v>
      </c>
      <c r="AT183" s="455" t="s">
        <v>218</v>
      </c>
      <c r="AU183" s="455" t="s">
        <v>109</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110</v>
      </c>
      <c r="BM183" s="455" t="s">
        <v>1211</v>
      </c>
    </row>
    <row r="184" spans="2:65" s="365" customFormat="1" ht="16.5" customHeight="1" x14ac:dyDescent="0.25">
      <c r="B184" s="364"/>
      <c r="C184" s="445" t="s">
        <v>266</v>
      </c>
      <c r="D184" s="445" t="s">
        <v>218</v>
      </c>
      <c r="E184" s="446" t="s">
        <v>2019</v>
      </c>
      <c r="F184" s="447" t="s">
        <v>2020</v>
      </c>
      <c r="G184" s="448" t="s">
        <v>2010</v>
      </c>
      <c r="H184" s="449">
        <v>8</v>
      </c>
      <c r="I184" s="329">
        <v>0</v>
      </c>
      <c r="J184" s="450">
        <f>ROUND(I184*H184,2)</f>
        <v>0</v>
      </c>
      <c r="K184" s="451"/>
      <c r="L184" s="364"/>
      <c r="M184" s="452" t="s">
        <v>171</v>
      </c>
      <c r="N184" s="415" t="s">
        <v>185</v>
      </c>
      <c r="O184" s="453">
        <v>0</v>
      </c>
      <c r="P184" s="453">
        <f>O184*H184</f>
        <v>0</v>
      </c>
      <c r="Q184" s="453">
        <v>0</v>
      </c>
      <c r="R184" s="453">
        <f>Q184*H184</f>
        <v>0</v>
      </c>
      <c r="S184" s="453">
        <v>0</v>
      </c>
      <c r="T184" s="454">
        <f>S184*H184</f>
        <v>0</v>
      </c>
      <c r="AR184" s="455" t="s">
        <v>110</v>
      </c>
      <c r="AT184" s="455" t="s">
        <v>218</v>
      </c>
      <c r="AU184" s="455" t="s">
        <v>109</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110</v>
      </c>
      <c r="BM184" s="455" t="s">
        <v>1215</v>
      </c>
    </row>
    <row r="185" spans="2:65" s="434" customFormat="1" ht="25.9" customHeight="1" x14ac:dyDescent="0.2">
      <c r="B185" s="433"/>
      <c r="D185" s="435" t="s">
        <v>216</v>
      </c>
      <c r="E185" s="436" t="s">
        <v>418</v>
      </c>
      <c r="F185" s="436" t="s">
        <v>2021</v>
      </c>
      <c r="I185" s="467"/>
      <c r="J185" s="437">
        <f>BK185</f>
        <v>0</v>
      </c>
      <c r="L185" s="433"/>
      <c r="M185" s="438"/>
      <c r="P185" s="439">
        <f>P186+P191+P195</f>
        <v>0.72617100000000012</v>
      </c>
      <c r="R185" s="439">
        <f>R186+R191+R195</f>
        <v>0</v>
      </c>
      <c r="T185" s="440">
        <f>T186+T191+T195</f>
        <v>0</v>
      </c>
      <c r="AR185" s="435" t="s">
        <v>109</v>
      </c>
      <c r="AT185" s="441" t="s">
        <v>216</v>
      </c>
      <c r="AU185" s="441" t="s">
        <v>165</v>
      </c>
      <c r="AY185" s="435" t="s">
        <v>217</v>
      </c>
      <c r="BK185" s="442">
        <f>BK186+BK191+BK195</f>
        <v>0</v>
      </c>
    </row>
    <row r="186" spans="2:65" s="434" customFormat="1" ht="22.9" customHeight="1" x14ac:dyDescent="0.2">
      <c r="B186" s="433"/>
      <c r="D186" s="435" t="s">
        <v>216</v>
      </c>
      <c r="E186" s="443" t="s">
        <v>109</v>
      </c>
      <c r="F186" s="443" t="s">
        <v>220</v>
      </c>
      <c r="I186" s="467"/>
      <c r="J186" s="444">
        <f>BK186</f>
        <v>0</v>
      </c>
      <c r="L186" s="433"/>
      <c r="M186" s="438"/>
      <c r="P186" s="439">
        <f>SUM(P187:P190)</f>
        <v>0.43055099999999996</v>
      </c>
      <c r="R186" s="439">
        <f>SUM(R187:R190)</f>
        <v>0</v>
      </c>
      <c r="T186" s="440">
        <f>SUM(T187:T190)</f>
        <v>0</v>
      </c>
      <c r="AR186" s="435" t="s">
        <v>109</v>
      </c>
      <c r="AT186" s="441" t="s">
        <v>216</v>
      </c>
      <c r="AU186" s="441" t="s">
        <v>109</v>
      </c>
      <c r="AY186" s="435" t="s">
        <v>217</v>
      </c>
      <c r="BK186" s="442">
        <f>SUM(BK187:BK190)</f>
        <v>0</v>
      </c>
    </row>
    <row r="187" spans="2:65" s="365" customFormat="1" ht="37.9" customHeight="1" x14ac:dyDescent="0.25">
      <c r="B187" s="364"/>
      <c r="C187" s="445" t="s">
        <v>573</v>
      </c>
      <c r="D187" s="445" t="s">
        <v>218</v>
      </c>
      <c r="E187" s="446" t="s">
        <v>712</v>
      </c>
      <c r="F187" s="447" t="s">
        <v>3131</v>
      </c>
      <c r="G187" s="448" t="s">
        <v>114</v>
      </c>
      <c r="H187" s="449">
        <v>0.99</v>
      </c>
      <c r="I187" s="329">
        <v>0</v>
      </c>
      <c r="J187" s="450">
        <f>ROUND(I187*H187,2)</f>
        <v>0</v>
      </c>
      <c r="K187" s="451"/>
      <c r="L187" s="364"/>
      <c r="M187" s="452" t="s">
        <v>171</v>
      </c>
      <c r="N187" s="415" t="s">
        <v>185</v>
      </c>
      <c r="O187" s="453">
        <v>4.8899999999999999E-2</v>
      </c>
      <c r="P187" s="453">
        <f>O187*H187</f>
        <v>4.8410999999999996E-2</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2022</v>
      </c>
    </row>
    <row r="188" spans="2:65" s="365" customFormat="1" ht="44.25" customHeight="1" x14ac:dyDescent="0.25">
      <c r="B188" s="364"/>
      <c r="C188" s="445" t="s">
        <v>577</v>
      </c>
      <c r="D188" s="445" t="s">
        <v>218</v>
      </c>
      <c r="E188" s="446" t="s">
        <v>714</v>
      </c>
      <c r="F188" s="447" t="s">
        <v>2023</v>
      </c>
      <c r="G188" s="448" t="s">
        <v>114</v>
      </c>
      <c r="H188" s="449">
        <v>66</v>
      </c>
      <c r="I188" s="329">
        <v>0</v>
      </c>
      <c r="J188" s="450">
        <f>ROUND(I188*H188,2)</f>
        <v>0</v>
      </c>
      <c r="K188" s="451"/>
      <c r="L188" s="364"/>
      <c r="M188" s="452" t="s">
        <v>171</v>
      </c>
      <c r="N188" s="415" t="s">
        <v>185</v>
      </c>
      <c r="O188" s="453">
        <v>5.3899999999999998E-3</v>
      </c>
      <c r="P188" s="453">
        <f>O188*H188</f>
        <v>0.35574</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2024</v>
      </c>
    </row>
    <row r="189" spans="2:65" s="365" customFormat="1" ht="21.75" customHeight="1" x14ac:dyDescent="0.25">
      <c r="B189" s="364"/>
      <c r="C189" s="445" t="s">
        <v>581</v>
      </c>
      <c r="D189" s="445" t="s">
        <v>218</v>
      </c>
      <c r="E189" s="446" t="s">
        <v>717</v>
      </c>
      <c r="F189" s="447" t="s">
        <v>224</v>
      </c>
      <c r="G189" s="448" t="s">
        <v>114</v>
      </c>
      <c r="H189" s="449">
        <v>3.3</v>
      </c>
      <c r="I189" s="329">
        <v>0</v>
      </c>
      <c r="J189" s="450">
        <f>ROUND(I189*H189,2)</f>
        <v>0</v>
      </c>
      <c r="K189" s="451"/>
      <c r="L189" s="364"/>
      <c r="M189" s="452" t="s">
        <v>171</v>
      </c>
      <c r="N189" s="415" t="s">
        <v>185</v>
      </c>
      <c r="O189" s="453">
        <v>8.0000000000000002E-3</v>
      </c>
      <c r="P189" s="453">
        <f>O189*H189</f>
        <v>2.64E-2</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2025</v>
      </c>
    </row>
    <row r="190" spans="2:65" s="365" customFormat="1" ht="21.75" customHeight="1" x14ac:dyDescent="0.25">
      <c r="B190" s="364"/>
      <c r="C190" s="445" t="s">
        <v>585</v>
      </c>
      <c r="D190" s="445" t="s">
        <v>218</v>
      </c>
      <c r="E190" s="446" t="s">
        <v>1101</v>
      </c>
      <c r="F190" s="447" t="s">
        <v>3132</v>
      </c>
      <c r="G190" s="448" t="s">
        <v>112</v>
      </c>
      <c r="H190" s="449">
        <f>Ponuka!S129</f>
        <v>1.83</v>
      </c>
      <c r="I190" s="329">
        <v>0</v>
      </c>
      <c r="J190" s="450">
        <f>ROUND(I190*H190,2)</f>
        <v>0</v>
      </c>
      <c r="K190" s="451"/>
      <c r="L190" s="364"/>
      <c r="M190" s="452" t="s">
        <v>171</v>
      </c>
      <c r="N190" s="415" t="s">
        <v>185</v>
      </c>
      <c r="O190" s="453">
        <v>0</v>
      </c>
      <c r="P190" s="453">
        <f>O190*H190</f>
        <v>0</v>
      </c>
      <c r="Q190" s="453">
        <v>0</v>
      </c>
      <c r="R190" s="453">
        <f>Q190*H190</f>
        <v>0</v>
      </c>
      <c r="S190" s="453">
        <v>0</v>
      </c>
      <c r="T190" s="454">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2026</v>
      </c>
    </row>
    <row r="191" spans="2:65" s="434" customFormat="1" ht="22.9" customHeight="1" x14ac:dyDescent="0.2">
      <c r="B191" s="433"/>
      <c r="D191" s="435" t="s">
        <v>216</v>
      </c>
      <c r="E191" s="443" t="s">
        <v>162</v>
      </c>
      <c r="F191" s="443" t="s">
        <v>633</v>
      </c>
      <c r="I191" s="467"/>
      <c r="J191" s="444">
        <f>BK191</f>
        <v>0</v>
      </c>
      <c r="L191" s="433"/>
      <c r="M191" s="438"/>
      <c r="P191" s="439">
        <f>SUM(P192:P194)</f>
        <v>2.3400000000000009E-3</v>
      </c>
      <c r="R191" s="439">
        <f>SUM(R192:R194)</f>
        <v>0</v>
      </c>
      <c r="T191" s="440">
        <f>SUM(T192:T194)</f>
        <v>0</v>
      </c>
      <c r="AR191" s="435" t="s">
        <v>109</v>
      </c>
      <c r="AT191" s="441" t="s">
        <v>216</v>
      </c>
      <c r="AU191" s="441" t="s">
        <v>109</v>
      </c>
      <c r="AY191" s="435" t="s">
        <v>217</v>
      </c>
      <c r="BK191" s="442">
        <f>SUM(BK192:BK194)</f>
        <v>0</v>
      </c>
    </row>
    <row r="192" spans="2:65" s="365" customFormat="1" ht="62.65" customHeight="1" x14ac:dyDescent="0.25">
      <c r="B192" s="364"/>
      <c r="C192" s="445" t="s">
        <v>589</v>
      </c>
      <c r="D192" s="445" t="s">
        <v>218</v>
      </c>
      <c r="E192" s="446" t="s">
        <v>635</v>
      </c>
      <c r="F192" s="447" t="s">
        <v>3133</v>
      </c>
      <c r="G192" s="448" t="s">
        <v>112</v>
      </c>
      <c r="H192" s="449">
        <f>Ponuka!L129</f>
        <v>0.90999999999999992</v>
      </c>
      <c r="I192" s="329">
        <v>0</v>
      </c>
      <c r="J192" s="450">
        <f>ROUND(I192*H192,2)</f>
        <v>0</v>
      </c>
      <c r="K192" s="451"/>
      <c r="L192" s="364"/>
      <c r="M192" s="452" t="s">
        <v>171</v>
      </c>
      <c r="N192" s="415" t="s">
        <v>185</v>
      </c>
      <c r="O192" s="453">
        <v>0</v>
      </c>
      <c r="P192" s="453">
        <f>O192*H192</f>
        <v>0</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2027</v>
      </c>
    </row>
    <row r="193" spans="2:65" s="365" customFormat="1" ht="55.5" customHeight="1" x14ac:dyDescent="0.25">
      <c r="B193" s="364"/>
      <c r="C193" s="445" t="s">
        <v>609</v>
      </c>
      <c r="D193" s="445" t="s">
        <v>218</v>
      </c>
      <c r="E193" s="446" t="s">
        <v>929</v>
      </c>
      <c r="F193" s="447" t="s">
        <v>2028</v>
      </c>
      <c r="G193" s="448" t="s">
        <v>112</v>
      </c>
      <c r="H193" s="449">
        <f>Ponuka!R129</f>
        <v>4.2699999999999996</v>
      </c>
      <c r="I193" s="329">
        <v>0</v>
      </c>
      <c r="J193" s="450">
        <f>ROUND(I193*H193,2)</f>
        <v>0</v>
      </c>
      <c r="K193" s="451"/>
      <c r="L193" s="364"/>
      <c r="M193" s="452" t="s">
        <v>171</v>
      </c>
      <c r="N193" s="415" t="s">
        <v>185</v>
      </c>
      <c r="O193" s="453">
        <v>0</v>
      </c>
      <c r="P193" s="453">
        <f>O193*H193</f>
        <v>0</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2029</v>
      </c>
    </row>
    <row r="194" spans="2:65" s="365" customFormat="1" ht="24.2" customHeight="1" x14ac:dyDescent="0.25">
      <c r="B194" s="364"/>
      <c r="C194" s="445" t="s">
        <v>593</v>
      </c>
      <c r="D194" s="445" t="s">
        <v>218</v>
      </c>
      <c r="E194" s="446" t="s">
        <v>641</v>
      </c>
      <c r="F194" s="447" t="s">
        <v>642</v>
      </c>
      <c r="G194" s="448" t="s">
        <v>112</v>
      </c>
      <c r="H194" s="449">
        <f>H198</f>
        <v>0.39000000000000012</v>
      </c>
      <c r="I194" s="329">
        <v>0</v>
      </c>
      <c r="J194" s="450">
        <f>ROUND(I194*H194,2)</f>
        <v>0</v>
      </c>
      <c r="K194" s="451"/>
      <c r="L194" s="364"/>
      <c r="M194" s="452" t="s">
        <v>171</v>
      </c>
      <c r="N194" s="415" t="s">
        <v>185</v>
      </c>
      <c r="O194" s="453">
        <v>6.0000000000000001E-3</v>
      </c>
      <c r="P194" s="453">
        <f>O194*H194</f>
        <v>2.3400000000000009E-3</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2030</v>
      </c>
    </row>
    <row r="195" spans="2:65" s="434" customFormat="1" ht="22.9" customHeight="1" x14ac:dyDescent="0.2">
      <c r="B195" s="433"/>
      <c r="D195" s="435" t="s">
        <v>216</v>
      </c>
      <c r="E195" s="443" t="s">
        <v>649</v>
      </c>
      <c r="F195" s="443" t="s">
        <v>650</v>
      </c>
      <c r="I195" s="467"/>
      <c r="J195" s="444">
        <f>BK195</f>
        <v>0</v>
      </c>
      <c r="L195" s="433"/>
      <c r="M195" s="438"/>
      <c r="P195" s="439">
        <f>SUM(P196:P198)</f>
        <v>0.2932800000000001</v>
      </c>
      <c r="R195" s="439">
        <f>SUM(R196:R198)</f>
        <v>0</v>
      </c>
      <c r="T195" s="440">
        <f>SUM(T196:T198)</f>
        <v>0</v>
      </c>
      <c r="AR195" s="435" t="s">
        <v>109</v>
      </c>
      <c r="AT195" s="441" t="s">
        <v>216</v>
      </c>
      <c r="AU195" s="441" t="s">
        <v>109</v>
      </c>
      <c r="AY195" s="435" t="s">
        <v>217</v>
      </c>
      <c r="BK195" s="442">
        <f>SUM(BK196:BK198)</f>
        <v>0</v>
      </c>
    </row>
    <row r="196" spans="2:65" s="365" customFormat="1" ht="24.2" customHeight="1" x14ac:dyDescent="0.25">
      <c r="B196" s="364"/>
      <c r="C196" s="445" t="s">
        <v>597</v>
      </c>
      <c r="D196" s="445" t="s">
        <v>218</v>
      </c>
      <c r="E196" s="446" t="s">
        <v>652</v>
      </c>
      <c r="F196" s="447" t="s">
        <v>2031</v>
      </c>
      <c r="G196" s="448" t="s">
        <v>112</v>
      </c>
      <c r="H196" s="449">
        <f>H198</f>
        <v>0.39000000000000012</v>
      </c>
      <c r="I196" s="329">
        <v>0</v>
      </c>
      <c r="J196" s="450">
        <f>ROUND(I196*H196,2)</f>
        <v>0</v>
      </c>
      <c r="K196" s="451"/>
      <c r="L196" s="364"/>
      <c r="M196" s="452" t="s">
        <v>171</v>
      </c>
      <c r="N196" s="415" t="s">
        <v>185</v>
      </c>
      <c r="O196" s="453">
        <v>0.59799999999999998</v>
      </c>
      <c r="P196" s="453">
        <f>O196*H196</f>
        <v>0.23322000000000007</v>
      </c>
      <c r="Q196" s="453">
        <v>0</v>
      </c>
      <c r="R196" s="453">
        <f>Q196*H196</f>
        <v>0</v>
      </c>
      <c r="S196" s="453">
        <v>0</v>
      </c>
      <c r="T196" s="454">
        <f>S196*H196</f>
        <v>0</v>
      </c>
      <c r="AR196" s="455" t="s">
        <v>110</v>
      </c>
      <c r="AT196" s="455" t="s">
        <v>218</v>
      </c>
      <c r="AU196" s="455" t="s">
        <v>108</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110</v>
      </c>
      <c r="BM196" s="455" t="s">
        <v>2032</v>
      </c>
    </row>
    <row r="197" spans="2:65" s="365" customFormat="1" ht="24.2" customHeight="1" x14ac:dyDescent="0.25">
      <c r="B197" s="364"/>
      <c r="C197" s="445" t="s">
        <v>601</v>
      </c>
      <c r="D197" s="445" t="s">
        <v>218</v>
      </c>
      <c r="E197" s="446" t="s">
        <v>942</v>
      </c>
      <c r="F197" s="447" t="s">
        <v>2033</v>
      </c>
      <c r="G197" s="448" t="s">
        <v>112</v>
      </c>
      <c r="H197" s="449">
        <f>H196*22</f>
        <v>8.5800000000000018</v>
      </c>
      <c r="I197" s="329">
        <v>0</v>
      </c>
      <c r="J197" s="450">
        <f>ROUND(I197*H197,2)</f>
        <v>0</v>
      </c>
      <c r="K197" s="451"/>
      <c r="L197" s="364"/>
      <c r="M197" s="452" t="s">
        <v>171</v>
      </c>
      <c r="N197" s="415" t="s">
        <v>185</v>
      </c>
      <c r="O197" s="453">
        <v>7.0000000000000001E-3</v>
      </c>
      <c r="P197" s="453">
        <f>O197*H197</f>
        <v>6.0060000000000016E-2</v>
      </c>
      <c r="Q197" s="453">
        <v>0</v>
      </c>
      <c r="R197" s="453">
        <f>Q197*H197</f>
        <v>0</v>
      </c>
      <c r="S197" s="453">
        <v>0</v>
      </c>
      <c r="T197" s="454">
        <f>S197*H197</f>
        <v>0</v>
      </c>
      <c r="AR197" s="455" t="s">
        <v>110</v>
      </c>
      <c r="AT197" s="455" t="s">
        <v>218</v>
      </c>
      <c r="AU197" s="455" t="s">
        <v>108</v>
      </c>
      <c r="AY197" s="357" t="s">
        <v>217</v>
      </c>
      <c r="BE197" s="456">
        <f>IF(N197="základná",J197,0)</f>
        <v>0</v>
      </c>
      <c r="BF197" s="456">
        <f>IF(N197="znížená",J197,0)</f>
        <v>0</v>
      </c>
      <c r="BG197" s="456">
        <f>IF(N197="zákl. prenesená",J197,0)</f>
        <v>0</v>
      </c>
      <c r="BH197" s="456">
        <f>IF(N197="zníž. prenesená",J197,0)</f>
        <v>0</v>
      </c>
      <c r="BI197" s="456">
        <f>IF(N197="nulová",J197,0)</f>
        <v>0</v>
      </c>
      <c r="BJ197" s="357" t="s">
        <v>108</v>
      </c>
      <c r="BK197" s="456">
        <f>ROUND(I197*H197,2)</f>
        <v>0</v>
      </c>
      <c r="BL197" s="357" t="s">
        <v>110</v>
      </c>
      <c r="BM197" s="455" t="s">
        <v>2034</v>
      </c>
    </row>
    <row r="198" spans="2:65" s="365" customFormat="1" ht="16.5" customHeight="1" x14ac:dyDescent="0.25">
      <c r="B198" s="364"/>
      <c r="C198" s="445" t="s">
        <v>605</v>
      </c>
      <c r="D198" s="445" t="s">
        <v>218</v>
      </c>
      <c r="E198" s="446" t="s">
        <v>946</v>
      </c>
      <c r="F198" s="447" t="s">
        <v>3134</v>
      </c>
      <c r="G198" s="448" t="s">
        <v>112</v>
      </c>
      <c r="H198" s="449">
        <f>Ponuka!M129</f>
        <v>0.39000000000000012</v>
      </c>
      <c r="I198" s="329">
        <v>0</v>
      </c>
      <c r="J198" s="450">
        <f>ROUND(I198*H198,2)</f>
        <v>0</v>
      </c>
      <c r="K198" s="451"/>
      <c r="L198" s="364"/>
      <c r="M198" s="468" t="s">
        <v>171</v>
      </c>
      <c r="N198" s="469" t="s">
        <v>185</v>
      </c>
      <c r="O198" s="470">
        <v>0</v>
      </c>
      <c r="P198" s="470">
        <f>O198*H198</f>
        <v>0</v>
      </c>
      <c r="Q198" s="470">
        <v>0</v>
      </c>
      <c r="R198" s="470">
        <f>Q198*H198</f>
        <v>0</v>
      </c>
      <c r="S198" s="470">
        <v>0</v>
      </c>
      <c r="T198" s="471">
        <f>S198*H198</f>
        <v>0</v>
      </c>
      <c r="AR198" s="455" t="s">
        <v>110</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110</v>
      </c>
      <c r="BM198" s="455" t="s">
        <v>2035</v>
      </c>
    </row>
    <row r="199" spans="2:65" s="365" customFormat="1" ht="6.95" customHeight="1" x14ac:dyDescent="0.25">
      <c r="B199" s="397"/>
      <c r="C199" s="398"/>
      <c r="D199" s="398"/>
      <c r="E199" s="398"/>
      <c r="F199" s="398"/>
      <c r="G199" s="398"/>
      <c r="H199" s="398"/>
      <c r="I199" s="398"/>
      <c r="J199" s="398"/>
      <c r="K199" s="398"/>
      <c r="L199" s="364"/>
    </row>
  </sheetData>
  <sheetProtection algorithmName="SHA-512" hashValue="UMgcqRHrjDjHW172OdHxRN623gH6LinmrpdE4bUsPywEtxQNP3xV8GTSVXkJM0pzHlwZFSsUBPmYX4GlHv4/Ag==" saltValue="ZrSMavWckAol1inlZ11dww==" spinCount="100000" sheet="1" objects="1" scenarios="1"/>
  <autoFilter ref="C128:K198" xr:uid="{00000000-0009-0000-0000-000012000000}"/>
  <mergeCells count="9">
    <mergeCell ref="E87:H87"/>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571D3-8B91-4642-8329-1A3D3FDFB6E2}">
  <sheetPr codeName="Hárok26">
    <pageSetUpPr fitToPage="1"/>
  </sheetPr>
  <dimension ref="B2:BM191"/>
  <sheetViews>
    <sheetView topLeftCell="A166" workbookViewId="0">
      <selection activeCell="I130" sqref="I130:I190"/>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389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2036</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SUM(BE128:BE190)),  2)</f>
        <v>0</v>
      </c>
      <c r="G35" s="380"/>
      <c r="H35" s="380"/>
      <c r="I35" s="381">
        <v>0.23</v>
      </c>
      <c r="J35" s="379">
        <f>ROUND(((SUM(BE107:BE108) + SUM(BE128:BE190))*I35),  2)</f>
        <v>0</v>
      </c>
      <c r="L35" s="364"/>
    </row>
    <row r="36" spans="2:12" s="365" customFormat="1" ht="14.45" customHeight="1" x14ac:dyDescent="0.25">
      <c r="B36" s="364"/>
      <c r="E36" s="378" t="s">
        <v>185</v>
      </c>
      <c r="F36" s="382">
        <f>ROUND((SUM(BF107:BF108) + SUM(BF128:BF190)),  2)</f>
        <v>0</v>
      </c>
      <c r="I36" s="383">
        <v>0.23</v>
      </c>
      <c r="J36" s="382">
        <f>ROUND(((SUM(BF107:BF108) + SUM(BF128:BF190))*I36),  2)</f>
        <v>0</v>
      </c>
      <c r="L36" s="364"/>
    </row>
    <row r="37" spans="2:12" s="365" customFormat="1" ht="14.45" hidden="1" customHeight="1" x14ac:dyDescent="0.25">
      <c r="B37" s="364"/>
      <c r="E37" s="363" t="s">
        <v>186</v>
      </c>
      <c r="F37" s="382">
        <f>ROUND((SUM(BG107:BG108) + SUM(BG128:BG190)),  2)</f>
        <v>0</v>
      </c>
      <c r="I37" s="383">
        <v>0.23</v>
      </c>
      <c r="J37" s="382">
        <f>0</f>
        <v>0</v>
      </c>
      <c r="L37" s="364"/>
    </row>
    <row r="38" spans="2:12" s="365" customFormat="1" ht="14.45" hidden="1" customHeight="1" x14ac:dyDescent="0.25">
      <c r="B38" s="364"/>
      <c r="E38" s="363" t="s">
        <v>187</v>
      </c>
      <c r="F38" s="382">
        <f>ROUND((SUM(BH107:BH108) + SUM(BH128:BH190)),  2)</f>
        <v>0</v>
      </c>
      <c r="I38" s="383">
        <v>0.23</v>
      </c>
      <c r="J38" s="382">
        <f>0</f>
        <v>0</v>
      </c>
      <c r="L38" s="364"/>
    </row>
    <row r="39" spans="2:12" s="365" customFormat="1" ht="14.45" hidden="1" customHeight="1" x14ac:dyDescent="0.25">
      <c r="B39" s="364"/>
      <c r="E39" s="378" t="s">
        <v>188</v>
      </c>
      <c r="F39" s="379">
        <f>ROUND((SUM(BI107:BI108) + SUM(BI128:BI190)),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301 - SO 301</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1912</v>
      </c>
      <c r="E97" s="407"/>
      <c r="F97" s="407"/>
      <c r="G97" s="407"/>
      <c r="H97" s="407"/>
      <c r="I97" s="407"/>
      <c r="J97" s="408">
        <f>J129</f>
        <v>0</v>
      </c>
      <c r="L97" s="404"/>
    </row>
    <row r="98" spans="2:14" s="405" customFormat="1" ht="24.95" customHeight="1" x14ac:dyDescent="0.25">
      <c r="B98" s="404"/>
      <c r="D98" s="406" t="s">
        <v>1913</v>
      </c>
      <c r="E98" s="407"/>
      <c r="F98" s="407"/>
      <c r="G98" s="407"/>
      <c r="H98" s="407"/>
      <c r="I98" s="407"/>
      <c r="J98" s="408">
        <f>J143</f>
        <v>0</v>
      </c>
      <c r="L98" s="404"/>
    </row>
    <row r="99" spans="2:14" s="405" customFormat="1" ht="24.95" customHeight="1" x14ac:dyDescent="0.25">
      <c r="B99" s="404"/>
      <c r="D99" s="406" t="s">
        <v>1914</v>
      </c>
      <c r="E99" s="407"/>
      <c r="F99" s="407"/>
      <c r="G99" s="407"/>
      <c r="H99" s="407"/>
      <c r="I99" s="407"/>
      <c r="J99" s="408">
        <f>J161</f>
        <v>0</v>
      </c>
      <c r="L99" s="404"/>
    </row>
    <row r="100" spans="2:14" s="405" customFormat="1" ht="24.95" customHeight="1" x14ac:dyDescent="0.25">
      <c r="B100" s="404"/>
      <c r="D100" s="406" t="s">
        <v>1915</v>
      </c>
      <c r="E100" s="407"/>
      <c r="F100" s="407"/>
      <c r="G100" s="407"/>
      <c r="H100" s="407"/>
      <c r="I100" s="407"/>
      <c r="J100" s="408">
        <f>J176</f>
        <v>0</v>
      </c>
      <c r="L100" s="404"/>
    </row>
    <row r="101" spans="2:14" s="405" customFormat="1" ht="24.95" customHeight="1" x14ac:dyDescent="0.25">
      <c r="B101" s="404"/>
      <c r="D101" s="406" t="s">
        <v>1916</v>
      </c>
      <c r="E101" s="407"/>
      <c r="F101" s="407"/>
      <c r="G101" s="407"/>
      <c r="H101" s="407"/>
      <c r="I101" s="407"/>
      <c r="J101" s="408">
        <f>J178</f>
        <v>0</v>
      </c>
      <c r="L101" s="404"/>
    </row>
    <row r="102" spans="2:14" s="405" customFormat="1" ht="24.95" customHeight="1" x14ac:dyDescent="0.25">
      <c r="B102" s="404"/>
      <c r="D102" s="406" t="s">
        <v>1917</v>
      </c>
      <c r="E102" s="407"/>
      <c r="F102" s="407"/>
      <c r="G102" s="407"/>
      <c r="H102" s="407"/>
      <c r="I102" s="407"/>
      <c r="J102" s="408">
        <f>J183</f>
        <v>0</v>
      </c>
      <c r="L102" s="404"/>
    </row>
    <row r="103" spans="2:14" s="410" customFormat="1" ht="19.899999999999999" customHeight="1" x14ac:dyDescent="0.25">
      <c r="B103" s="409"/>
      <c r="D103" s="411" t="s">
        <v>411</v>
      </c>
      <c r="E103" s="412"/>
      <c r="F103" s="412"/>
      <c r="G103" s="412"/>
      <c r="H103" s="412"/>
      <c r="I103" s="412"/>
      <c r="J103" s="413">
        <f>J184</f>
        <v>0</v>
      </c>
      <c r="L103" s="409"/>
    </row>
    <row r="104" spans="2:14" s="410" customFormat="1" ht="19.899999999999999" customHeight="1" x14ac:dyDescent="0.25">
      <c r="B104" s="409"/>
      <c r="D104" s="411" t="s">
        <v>414</v>
      </c>
      <c r="E104" s="412"/>
      <c r="F104" s="412"/>
      <c r="G104" s="412"/>
      <c r="H104" s="412"/>
      <c r="I104" s="412"/>
      <c r="J104" s="413">
        <f>J189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301 - SO 301</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P129+P143+P161+P176+P178+P183</f>
        <v>0.35575200000000001</v>
      </c>
      <c r="Q128" s="371"/>
      <c r="R128" s="430">
        <f>R129+R143+R161+R176+R178+R183</f>
        <v>0</v>
      </c>
      <c r="S128" s="371"/>
      <c r="T128" s="431">
        <f>T129+T143+T161+T176+T178+T183</f>
        <v>0</v>
      </c>
      <c r="AT128" s="357" t="s">
        <v>216</v>
      </c>
      <c r="AU128" s="357" t="s">
        <v>202</v>
      </c>
      <c r="BK128" s="432">
        <f>BK129+BK143+BK161+BK176+BK178+BK183</f>
        <v>0</v>
      </c>
    </row>
    <row r="129" spans="2:65" s="434" customFormat="1" ht="25.9" customHeight="1" x14ac:dyDescent="0.2">
      <c r="B129" s="433"/>
      <c r="D129" s="435" t="s">
        <v>216</v>
      </c>
      <c r="E129" s="436" t="s">
        <v>1918</v>
      </c>
      <c r="F129" s="436" t="s">
        <v>1919</v>
      </c>
      <c r="J129" s="437">
        <f>BK129</f>
        <v>0</v>
      </c>
      <c r="L129" s="433"/>
      <c r="M129" s="438"/>
      <c r="P129" s="439">
        <f>SUM(P130:P142)</f>
        <v>0</v>
      </c>
      <c r="R129" s="439">
        <f>SUM(R130:R142)</f>
        <v>0</v>
      </c>
      <c r="T129" s="440">
        <f>SUM(T130:T142)</f>
        <v>0</v>
      </c>
      <c r="AR129" s="435" t="s">
        <v>109</v>
      </c>
      <c r="AT129" s="441" t="s">
        <v>216</v>
      </c>
      <c r="AU129" s="441" t="s">
        <v>165</v>
      </c>
      <c r="AY129" s="435" t="s">
        <v>217</v>
      </c>
      <c r="BK129" s="442">
        <f>SUM(BK130:BK142)</f>
        <v>0</v>
      </c>
    </row>
    <row r="130" spans="2:65" s="365" customFormat="1" ht="16.5" customHeight="1" x14ac:dyDescent="0.25">
      <c r="B130" s="364"/>
      <c r="C130" s="445" t="s">
        <v>109</v>
      </c>
      <c r="D130" s="445" t="s">
        <v>218</v>
      </c>
      <c r="E130" s="446" t="s">
        <v>2037</v>
      </c>
      <c r="F130" s="447" t="s">
        <v>2038</v>
      </c>
      <c r="G130" s="448" t="s">
        <v>113</v>
      </c>
      <c r="H130" s="449">
        <v>30</v>
      </c>
      <c r="I130" s="329">
        <v>0</v>
      </c>
      <c r="J130" s="450">
        <f t="shared" ref="J130:J142" si="0">ROUND(I130*H130,2)</f>
        <v>0</v>
      </c>
      <c r="K130" s="451"/>
      <c r="L130" s="364"/>
      <c r="M130" s="452" t="s">
        <v>171</v>
      </c>
      <c r="N130" s="415" t="s">
        <v>185</v>
      </c>
      <c r="O130" s="453">
        <v>0</v>
      </c>
      <c r="P130" s="453">
        <f t="shared" ref="P130:P142" si="1">O130*H130</f>
        <v>0</v>
      </c>
      <c r="Q130" s="453">
        <v>0</v>
      </c>
      <c r="R130" s="453">
        <f t="shared" ref="R130:R142" si="2">Q130*H130</f>
        <v>0</v>
      </c>
      <c r="S130" s="453">
        <v>0</v>
      </c>
      <c r="T130" s="454">
        <f t="shared" ref="T130:T142" si="3">S130*H130</f>
        <v>0</v>
      </c>
      <c r="AR130" s="455" t="s">
        <v>110</v>
      </c>
      <c r="AT130" s="455" t="s">
        <v>218</v>
      </c>
      <c r="AU130" s="455" t="s">
        <v>109</v>
      </c>
      <c r="AY130" s="357" t="s">
        <v>217</v>
      </c>
      <c r="BE130" s="456">
        <f t="shared" ref="BE130:BE142" si="4">IF(N130="základná",J130,0)</f>
        <v>0</v>
      </c>
      <c r="BF130" s="456">
        <f t="shared" ref="BF130:BF142" si="5">IF(N130="znížená",J130,0)</f>
        <v>0</v>
      </c>
      <c r="BG130" s="456">
        <f t="shared" ref="BG130:BG142" si="6">IF(N130="zákl. prenesená",J130,0)</f>
        <v>0</v>
      </c>
      <c r="BH130" s="456">
        <f t="shared" ref="BH130:BH142" si="7">IF(N130="zníž. prenesená",J130,0)</f>
        <v>0</v>
      </c>
      <c r="BI130" s="456">
        <f t="shared" ref="BI130:BI142" si="8">IF(N130="nulová",J130,0)</f>
        <v>0</v>
      </c>
      <c r="BJ130" s="357" t="s">
        <v>108</v>
      </c>
      <c r="BK130" s="456">
        <f t="shared" ref="BK130:BK142" si="9">ROUND(I130*H130,2)</f>
        <v>0</v>
      </c>
      <c r="BL130" s="357" t="s">
        <v>110</v>
      </c>
      <c r="BM130" s="455" t="s">
        <v>108</v>
      </c>
    </row>
    <row r="131" spans="2:65" s="365" customFormat="1" ht="16.5" customHeight="1" x14ac:dyDescent="0.25">
      <c r="B131" s="364"/>
      <c r="C131" s="445" t="s">
        <v>108</v>
      </c>
      <c r="D131" s="445" t="s">
        <v>218</v>
      </c>
      <c r="E131" s="446" t="s">
        <v>2039</v>
      </c>
      <c r="F131" s="447" t="s">
        <v>2040</v>
      </c>
      <c r="G131" s="448" t="s">
        <v>113</v>
      </c>
      <c r="H131" s="449">
        <v>10</v>
      </c>
      <c r="I131" s="329">
        <v>0</v>
      </c>
      <c r="J131" s="450">
        <f t="shared" si="0"/>
        <v>0</v>
      </c>
      <c r="K131" s="451"/>
      <c r="L131" s="364"/>
      <c r="M131" s="452" t="s">
        <v>171</v>
      </c>
      <c r="N131" s="415" t="s">
        <v>185</v>
      </c>
      <c r="O131" s="453">
        <v>0</v>
      </c>
      <c r="P131" s="453">
        <f t="shared" si="1"/>
        <v>0</v>
      </c>
      <c r="Q131" s="453">
        <v>0</v>
      </c>
      <c r="R131" s="453">
        <f t="shared" si="2"/>
        <v>0</v>
      </c>
      <c r="S131" s="453">
        <v>0</v>
      </c>
      <c r="T131" s="454">
        <f t="shared" si="3"/>
        <v>0</v>
      </c>
      <c r="AR131" s="455" t="s">
        <v>110</v>
      </c>
      <c r="AT131" s="455" t="s">
        <v>218</v>
      </c>
      <c r="AU131" s="455" t="s">
        <v>109</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110</v>
      </c>
    </row>
    <row r="132" spans="2:65" s="365" customFormat="1" ht="16.5" customHeight="1" x14ac:dyDescent="0.25">
      <c r="B132" s="364"/>
      <c r="C132" s="445" t="s">
        <v>119</v>
      </c>
      <c r="D132" s="445" t="s">
        <v>218</v>
      </c>
      <c r="E132" s="446" t="s">
        <v>1922</v>
      </c>
      <c r="F132" s="447" t="s">
        <v>1923</v>
      </c>
      <c r="G132" s="448" t="s">
        <v>123</v>
      </c>
      <c r="H132" s="449">
        <v>10</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117</v>
      </c>
    </row>
    <row r="133" spans="2:65" s="365" customFormat="1" ht="16.5" customHeight="1" x14ac:dyDescent="0.25">
      <c r="B133" s="364"/>
      <c r="C133" s="445" t="s">
        <v>110</v>
      </c>
      <c r="D133" s="445" t="s">
        <v>218</v>
      </c>
      <c r="E133" s="446" t="s">
        <v>2041</v>
      </c>
      <c r="F133" s="447" t="s">
        <v>2042</v>
      </c>
      <c r="G133" s="448" t="s">
        <v>123</v>
      </c>
      <c r="H133" s="449">
        <v>2</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115</v>
      </c>
    </row>
    <row r="134" spans="2:65" s="365" customFormat="1" ht="16.5" customHeight="1" x14ac:dyDescent="0.25">
      <c r="B134" s="364"/>
      <c r="C134" s="445" t="s">
        <v>118</v>
      </c>
      <c r="D134" s="445" t="s">
        <v>218</v>
      </c>
      <c r="E134" s="446" t="s">
        <v>2043</v>
      </c>
      <c r="F134" s="447" t="s">
        <v>2044</v>
      </c>
      <c r="G134" s="448" t="s">
        <v>123</v>
      </c>
      <c r="H134" s="449">
        <v>1</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221</v>
      </c>
    </row>
    <row r="135" spans="2:65" s="365" customFormat="1" ht="16.5" customHeight="1" x14ac:dyDescent="0.25">
      <c r="B135" s="364"/>
      <c r="C135" s="445" t="s">
        <v>117</v>
      </c>
      <c r="D135" s="445" t="s">
        <v>218</v>
      </c>
      <c r="E135" s="446" t="s">
        <v>2045</v>
      </c>
      <c r="F135" s="447" t="s">
        <v>2046</v>
      </c>
      <c r="G135" s="448" t="s">
        <v>123</v>
      </c>
      <c r="H135" s="449">
        <v>12</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223</v>
      </c>
    </row>
    <row r="136" spans="2:65" s="365" customFormat="1" ht="16.5" customHeight="1" x14ac:dyDescent="0.25">
      <c r="B136" s="364"/>
      <c r="C136" s="445" t="s">
        <v>116</v>
      </c>
      <c r="D136" s="445" t="s">
        <v>218</v>
      </c>
      <c r="E136" s="446" t="s">
        <v>1928</v>
      </c>
      <c r="F136" s="447" t="s">
        <v>1929</v>
      </c>
      <c r="G136" s="448" t="s">
        <v>123</v>
      </c>
      <c r="H136" s="449">
        <v>12</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226</v>
      </c>
    </row>
    <row r="137" spans="2:65" s="365" customFormat="1" ht="21.75" customHeight="1" x14ac:dyDescent="0.25">
      <c r="B137" s="364"/>
      <c r="C137" s="445" t="s">
        <v>115</v>
      </c>
      <c r="D137" s="445" t="s">
        <v>218</v>
      </c>
      <c r="E137" s="446" t="s">
        <v>2047</v>
      </c>
      <c r="F137" s="447" t="s">
        <v>2048</v>
      </c>
      <c r="G137" s="448" t="s">
        <v>123</v>
      </c>
      <c r="H137" s="449">
        <v>3</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228</v>
      </c>
    </row>
    <row r="138" spans="2:65" s="365" customFormat="1" ht="16.5" customHeight="1" x14ac:dyDescent="0.25">
      <c r="B138" s="364"/>
      <c r="C138" s="445" t="s">
        <v>162</v>
      </c>
      <c r="D138" s="445" t="s">
        <v>218</v>
      </c>
      <c r="E138" s="446" t="s">
        <v>1934</v>
      </c>
      <c r="F138" s="447" t="s">
        <v>1935</v>
      </c>
      <c r="G138" s="448" t="s">
        <v>113</v>
      </c>
      <c r="H138" s="449">
        <v>30</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231</v>
      </c>
    </row>
    <row r="139" spans="2:65" s="365" customFormat="1" ht="16.5" customHeight="1" x14ac:dyDescent="0.25">
      <c r="B139" s="364"/>
      <c r="C139" s="445" t="s">
        <v>221</v>
      </c>
      <c r="D139" s="445" t="s">
        <v>218</v>
      </c>
      <c r="E139" s="446" t="s">
        <v>1936</v>
      </c>
      <c r="F139" s="447" t="s">
        <v>1937</v>
      </c>
      <c r="G139" s="448" t="s">
        <v>123</v>
      </c>
      <c r="H139" s="449">
        <v>3</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109</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234</v>
      </c>
    </row>
    <row r="140" spans="2:65" s="365" customFormat="1" ht="16.5" customHeight="1" x14ac:dyDescent="0.25">
      <c r="B140" s="364"/>
      <c r="C140" s="445" t="s">
        <v>222</v>
      </c>
      <c r="D140" s="445" t="s">
        <v>218</v>
      </c>
      <c r="E140" s="446" t="s">
        <v>1938</v>
      </c>
      <c r="F140" s="447" t="s">
        <v>1939</v>
      </c>
      <c r="G140" s="448" t="s">
        <v>123</v>
      </c>
      <c r="H140" s="449">
        <v>12</v>
      </c>
      <c r="I140" s="329">
        <v>0</v>
      </c>
      <c r="J140" s="450">
        <f t="shared" si="0"/>
        <v>0</v>
      </c>
      <c r="K140" s="451"/>
      <c r="L140" s="364"/>
      <c r="M140" s="452" t="s">
        <v>171</v>
      </c>
      <c r="N140" s="415" t="s">
        <v>185</v>
      </c>
      <c r="O140" s="453">
        <v>0</v>
      </c>
      <c r="P140" s="453">
        <f t="shared" si="1"/>
        <v>0</v>
      </c>
      <c r="Q140" s="453">
        <v>0</v>
      </c>
      <c r="R140" s="453">
        <f t="shared" si="2"/>
        <v>0</v>
      </c>
      <c r="S140" s="453">
        <v>0</v>
      </c>
      <c r="T140" s="454">
        <f t="shared" si="3"/>
        <v>0</v>
      </c>
      <c r="AR140" s="455" t="s">
        <v>110</v>
      </c>
      <c r="AT140" s="455" t="s">
        <v>218</v>
      </c>
      <c r="AU140" s="455" t="s">
        <v>109</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236</v>
      </c>
    </row>
    <row r="141" spans="2:65" s="365" customFormat="1" ht="16.5" customHeight="1" x14ac:dyDescent="0.25">
      <c r="B141" s="364"/>
      <c r="C141" s="445" t="s">
        <v>223</v>
      </c>
      <c r="D141" s="445" t="s">
        <v>218</v>
      </c>
      <c r="E141" s="446" t="s">
        <v>1940</v>
      </c>
      <c r="F141" s="447" t="s">
        <v>1941</v>
      </c>
      <c r="G141" s="448" t="s">
        <v>123</v>
      </c>
      <c r="H141" s="449">
        <v>6</v>
      </c>
      <c r="I141" s="329">
        <v>0</v>
      </c>
      <c r="J141" s="450">
        <f t="shared" si="0"/>
        <v>0</v>
      </c>
      <c r="K141" s="451"/>
      <c r="L141" s="364"/>
      <c r="M141" s="452" t="s">
        <v>171</v>
      </c>
      <c r="N141" s="415" t="s">
        <v>185</v>
      </c>
      <c r="O141" s="453">
        <v>0</v>
      </c>
      <c r="P141" s="453">
        <f t="shared" si="1"/>
        <v>0</v>
      </c>
      <c r="Q141" s="453">
        <v>0</v>
      </c>
      <c r="R141" s="453">
        <f t="shared" si="2"/>
        <v>0</v>
      </c>
      <c r="S141" s="453">
        <v>0</v>
      </c>
      <c r="T141" s="454">
        <f t="shared" si="3"/>
        <v>0</v>
      </c>
      <c r="AR141" s="455" t="s">
        <v>110</v>
      </c>
      <c r="AT141" s="455" t="s">
        <v>218</v>
      </c>
      <c r="AU141" s="455" t="s">
        <v>109</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238</v>
      </c>
    </row>
    <row r="142" spans="2:65" s="365" customFormat="1" ht="16.5" customHeight="1" x14ac:dyDescent="0.25">
      <c r="B142" s="364"/>
      <c r="C142" s="445" t="s">
        <v>225</v>
      </c>
      <c r="D142" s="445" t="s">
        <v>218</v>
      </c>
      <c r="E142" s="446" t="s">
        <v>1946</v>
      </c>
      <c r="F142" s="447" t="s">
        <v>1947</v>
      </c>
      <c r="G142" s="448" t="s">
        <v>171</v>
      </c>
      <c r="H142" s="449">
        <v>1</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109</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240</v>
      </c>
    </row>
    <row r="143" spans="2:65" s="434" customFormat="1" ht="25.9" customHeight="1" x14ac:dyDescent="0.2">
      <c r="B143" s="433"/>
      <c r="D143" s="435" t="s">
        <v>216</v>
      </c>
      <c r="E143" s="436" t="s">
        <v>1948</v>
      </c>
      <c r="F143" s="436" t="s">
        <v>1949</v>
      </c>
      <c r="I143" s="331"/>
      <c r="J143" s="437">
        <f>BK143</f>
        <v>0</v>
      </c>
      <c r="L143" s="433"/>
      <c r="M143" s="438"/>
      <c r="P143" s="439">
        <f>SUM(P144:P160)</f>
        <v>0</v>
      </c>
      <c r="R143" s="439">
        <f>SUM(R144:R160)</f>
        <v>0</v>
      </c>
      <c r="T143" s="440">
        <f>SUM(T144:T160)</f>
        <v>0</v>
      </c>
      <c r="AR143" s="435" t="s">
        <v>109</v>
      </c>
      <c r="AT143" s="441" t="s">
        <v>216</v>
      </c>
      <c r="AU143" s="441" t="s">
        <v>165</v>
      </c>
      <c r="AY143" s="435" t="s">
        <v>217</v>
      </c>
      <c r="BK143" s="442">
        <f>SUM(BK144:BK160)</f>
        <v>0</v>
      </c>
    </row>
    <row r="144" spans="2:65" s="365" customFormat="1" ht="16.5" customHeight="1" x14ac:dyDescent="0.25">
      <c r="B144" s="364"/>
      <c r="C144" s="457" t="s">
        <v>226</v>
      </c>
      <c r="D144" s="457" t="s">
        <v>259</v>
      </c>
      <c r="E144" s="458" t="s">
        <v>1950</v>
      </c>
      <c r="F144" s="459" t="s">
        <v>2049</v>
      </c>
      <c r="G144" s="460" t="s">
        <v>113</v>
      </c>
      <c r="H144" s="461">
        <v>10.5</v>
      </c>
      <c r="I144" s="330">
        <v>0</v>
      </c>
      <c r="J144" s="462">
        <f t="shared" ref="J144:J160" si="10">ROUND(I144*H144,2)</f>
        <v>0</v>
      </c>
      <c r="K144" s="463"/>
      <c r="L144" s="464"/>
      <c r="M144" s="465" t="s">
        <v>171</v>
      </c>
      <c r="N144" s="466" t="s">
        <v>185</v>
      </c>
      <c r="O144" s="453">
        <v>0</v>
      </c>
      <c r="P144" s="453">
        <f t="shared" ref="P144:P160" si="11">O144*H144</f>
        <v>0</v>
      </c>
      <c r="Q144" s="453">
        <v>0</v>
      </c>
      <c r="R144" s="453">
        <f t="shared" ref="R144:R160" si="12">Q144*H144</f>
        <v>0</v>
      </c>
      <c r="S144" s="453">
        <v>0</v>
      </c>
      <c r="T144" s="454">
        <f t="shared" ref="T144:T160" si="13">S144*H144</f>
        <v>0</v>
      </c>
      <c r="AR144" s="455" t="s">
        <v>115</v>
      </c>
      <c r="AT144" s="455" t="s">
        <v>259</v>
      </c>
      <c r="AU144" s="455" t="s">
        <v>109</v>
      </c>
      <c r="AY144" s="357" t="s">
        <v>217</v>
      </c>
      <c r="BE144" s="456">
        <f t="shared" ref="BE144:BE160" si="14">IF(N144="základná",J144,0)</f>
        <v>0</v>
      </c>
      <c r="BF144" s="456">
        <f t="shared" ref="BF144:BF160" si="15">IF(N144="znížená",J144,0)</f>
        <v>0</v>
      </c>
      <c r="BG144" s="456">
        <f t="shared" ref="BG144:BG160" si="16">IF(N144="zákl. prenesená",J144,0)</f>
        <v>0</v>
      </c>
      <c r="BH144" s="456">
        <f t="shared" ref="BH144:BH160" si="17">IF(N144="zníž. prenesená",J144,0)</f>
        <v>0</v>
      </c>
      <c r="BI144" s="456">
        <f t="shared" ref="BI144:BI160" si="18">IF(N144="nulová",J144,0)</f>
        <v>0</v>
      </c>
      <c r="BJ144" s="357" t="s">
        <v>108</v>
      </c>
      <c r="BK144" s="456">
        <f t="shared" ref="BK144:BK160" si="19">ROUND(I144*H144,2)</f>
        <v>0</v>
      </c>
      <c r="BL144" s="357" t="s">
        <v>110</v>
      </c>
      <c r="BM144" s="455" t="s">
        <v>244</v>
      </c>
    </row>
    <row r="145" spans="2:65" s="365" customFormat="1" ht="16.5" customHeight="1" x14ac:dyDescent="0.25">
      <c r="B145" s="364"/>
      <c r="C145" s="457" t="s">
        <v>227</v>
      </c>
      <c r="D145" s="457" t="s">
        <v>259</v>
      </c>
      <c r="E145" s="458" t="s">
        <v>1952</v>
      </c>
      <c r="F145" s="459" t="s">
        <v>2050</v>
      </c>
      <c r="G145" s="460" t="s">
        <v>113</v>
      </c>
      <c r="H145" s="461">
        <v>15</v>
      </c>
      <c r="I145" s="330">
        <v>0</v>
      </c>
      <c r="J145" s="462">
        <f t="shared" si="10"/>
        <v>0</v>
      </c>
      <c r="K145" s="463"/>
      <c r="L145" s="464"/>
      <c r="M145" s="465" t="s">
        <v>171</v>
      </c>
      <c r="N145" s="466" t="s">
        <v>185</v>
      </c>
      <c r="O145" s="453">
        <v>0</v>
      </c>
      <c r="P145" s="453">
        <f t="shared" si="11"/>
        <v>0</v>
      </c>
      <c r="Q145" s="453">
        <v>0</v>
      </c>
      <c r="R145" s="453">
        <f t="shared" si="12"/>
        <v>0</v>
      </c>
      <c r="S145" s="453">
        <v>0</v>
      </c>
      <c r="T145" s="454">
        <f t="shared" si="13"/>
        <v>0</v>
      </c>
      <c r="AR145" s="455" t="s">
        <v>115</v>
      </c>
      <c r="AT145" s="455" t="s">
        <v>259</v>
      </c>
      <c r="AU145" s="455" t="s">
        <v>109</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v>
      </c>
    </row>
    <row r="146" spans="2:65" s="365" customFormat="1" ht="16.5" customHeight="1" x14ac:dyDescent="0.25">
      <c r="B146" s="364"/>
      <c r="C146" s="457" t="s">
        <v>228</v>
      </c>
      <c r="D146" s="457" t="s">
        <v>259</v>
      </c>
      <c r="E146" s="458" t="s">
        <v>1953</v>
      </c>
      <c r="F146" s="459" t="s">
        <v>1923</v>
      </c>
      <c r="G146" s="460" t="s">
        <v>123</v>
      </c>
      <c r="H146" s="461">
        <v>6</v>
      </c>
      <c r="I146" s="330">
        <v>0</v>
      </c>
      <c r="J146" s="462">
        <f t="shared" si="10"/>
        <v>0</v>
      </c>
      <c r="K146" s="463"/>
      <c r="L146" s="464"/>
      <c r="M146" s="465" t="s">
        <v>171</v>
      </c>
      <c r="N146" s="466" t="s">
        <v>185</v>
      </c>
      <c r="O146" s="453">
        <v>0</v>
      </c>
      <c r="P146" s="453">
        <f t="shared" si="11"/>
        <v>0</v>
      </c>
      <c r="Q146" s="453">
        <v>0</v>
      </c>
      <c r="R146" s="453">
        <f t="shared" si="12"/>
        <v>0</v>
      </c>
      <c r="S146" s="453">
        <v>0</v>
      </c>
      <c r="T146" s="454">
        <f t="shared" si="13"/>
        <v>0</v>
      </c>
      <c r="AR146" s="455" t="s">
        <v>115</v>
      </c>
      <c r="AT146" s="455" t="s">
        <v>259</v>
      </c>
      <c r="AU146" s="455" t="s">
        <v>109</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248</v>
      </c>
    </row>
    <row r="147" spans="2:65" s="365" customFormat="1" ht="16.5" customHeight="1" x14ac:dyDescent="0.25">
      <c r="B147" s="364"/>
      <c r="C147" s="457" t="s">
        <v>229</v>
      </c>
      <c r="D147" s="457" t="s">
        <v>259</v>
      </c>
      <c r="E147" s="458" t="s">
        <v>1955</v>
      </c>
      <c r="F147" s="459" t="s">
        <v>2051</v>
      </c>
      <c r="G147" s="460" t="s">
        <v>123</v>
      </c>
      <c r="H147" s="461">
        <v>3</v>
      </c>
      <c r="I147" s="330">
        <v>0</v>
      </c>
      <c r="J147" s="462">
        <f t="shared" si="10"/>
        <v>0</v>
      </c>
      <c r="K147" s="463"/>
      <c r="L147" s="464"/>
      <c r="M147" s="465" t="s">
        <v>171</v>
      </c>
      <c r="N147" s="466" t="s">
        <v>185</v>
      </c>
      <c r="O147" s="453">
        <v>0</v>
      </c>
      <c r="P147" s="453">
        <f t="shared" si="11"/>
        <v>0</v>
      </c>
      <c r="Q147" s="453">
        <v>0</v>
      </c>
      <c r="R147" s="453">
        <f t="shared" si="12"/>
        <v>0</v>
      </c>
      <c r="S147" s="453">
        <v>0</v>
      </c>
      <c r="T147" s="454">
        <f t="shared" si="13"/>
        <v>0</v>
      </c>
      <c r="AR147" s="455" t="s">
        <v>115</v>
      </c>
      <c r="AT147" s="455" t="s">
        <v>259</v>
      </c>
      <c r="AU147" s="455" t="s">
        <v>109</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250</v>
      </c>
    </row>
    <row r="148" spans="2:65" s="365" customFormat="1" ht="16.5" customHeight="1" x14ac:dyDescent="0.25">
      <c r="B148" s="364"/>
      <c r="C148" s="457" t="s">
        <v>231</v>
      </c>
      <c r="D148" s="457" t="s">
        <v>259</v>
      </c>
      <c r="E148" s="458" t="s">
        <v>1958</v>
      </c>
      <c r="F148" s="459" t="s">
        <v>2052</v>
      </c>
      <c r="G148" s="460" t="s">
        <v>123</v>
      </c>
      <c r="H148" s="461">
        <v>2</v>
      </c>
      <c r="I148" s="330">
        <v>0</v>
      </c>
      <c r="J148" s="462">
        <f t="shared" si="10"/>
        <v>0</v>
      </c>
      <c r="K148" s="463"/>
      <c r="L148" s="464"/>
      <c r="M148" s="465" t="s">
        <v>171</v>
      </c>
      <c r="N148" s="466" t="s">
        <v>185</v>
      </c>
      <c r="O148" s="453">
        <v>0</v>
      </c>
      <c r="P148" s="453">
        <f t="shared" si="11"/>
        <v>0</v>
      </c>
      <c r="Q148" s="453">
        <v>0</v>
      </c>
      <c r="R148" s="453">
        <f t="shared" si="12"/>
        <v>0</v>
      </c>
      <c r="S148" s="453">
        <v>0</v>
      </c>
      <c r="T148" s="454">
        <f t="shared" si="13"/>
        <v>0</v>
      </c>
      <c r="AR148" s="455" t="s">
        <v>115</v>
      </c>
      <c r="AT148" s="455" t="s">
        <v>259</v>
      </c>
      <c r="AU148" s="455" t="s">
        <v>109</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252</v>
      </c>
    </row>
    <row r="149" spans="2:65" s="365" customFormat="1" ht="16.5" customHeight="1" x14ac:dyDescent="0.25">
      <c r="B149" s="364"/>
      <c r="C149" s="457" t="s">
        <v>232</v>
      </c>
      <c r="D149" s="457" t="s">
        <v>259</v>
      </c>
      <c r="E149" s="458" t="s">
        <v>1960</v>
      </c>
      <c r="F149" s="459" t="s">
        <v>2053</v>
      </c>
      <c r="G149" s="460" t="s">
        <v>123</v>
      </c>
      <c r="H149" s="461">
        <v>1</v>
      </c>
      <c r="I149" s="330">
        <v>0</v>
      </c>
      <c r="J149" s="462">
        <f t="shared" si="10"/>
        <v>0</v>
      </c>
      <c r="K149" s="463"/>
      <c r="L149" s="464"/>
      <c r="M149" s="465" t="s">
        <v>171</v>
      </c>
      <c r="N149" s="466" t="s">
        <v>185</v>
      </c>
      <c r="O149" s="453">
        <v>0</v>
      </c>
      <c r="P149" s="453">
        <f t="shared" si="11"/>
        <v>0</v>
      </c>
      <c r="Q149" s="453">
        <v>0</v>
      </c>
      <c r="R149" s="453">
        <f t="shared" si="12"/>
        <v>0</v>
      </c>
      <c r="S149" s="453">
        <v>0</v>
      </c>
      <c r="T149" s="454">
        <f t="shared" si="13"/>
        <v>0</v>
      </c>
      <c r="AR149" s="455" t="s">
        <v>115</v>
      </c>
      <c r="AT149" s="455" t="s">
        <v>259</v>
      </c>
      <c r="AU149" s="455" t="s">
        <v>109</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254</v>
      </c>
    </row>
    <row r="150" spans="2:65" s="365" customFormat="1" ht="16.5" customHeight="1" x14ac:dyDescent="0.25">
      <c r="B150" s="364"/>
      <c r="C150" s="457" t="s">
        <v>234</v>
      </c>
      <c r="D150" s="457" t="s">
        <v>259</v>
      </c>
      <c r="E150" s="458" t="s">
        <v>1962</v>
      </c>
      <c r="F150" s="459" t="s">
        <v>2054</v>
      </c>
      <c r="G150" s="460" t="s">
        <v>123</v>
      </c>
      <c r="H150" s="461">
        <v>16</v>
      </c>
      <c r="I150" s="330">
        <v>0</v>
      </c>
      <c r="J150" s="462">
        <f t="shared" si="10"/>
        <v>0</v>
      </c>
      <c r="K150" s="463"/>
      <c r="L150" s="464"/>
      <c r="M150" s="465" t="s">
        <v>171</v>
      </c>
      <c r="N150" s="466" t="s">
        <v>185</v>
      </c>
      <c r="O150" s="453">
        <v>0</v>
      </c>
      <c r="P150" s="453">
        <f t="shared" si="11"/>
        <v>0</v>
      </c>
      <c r="Q150" s="453">
        <v>0</v>
      </c>
      <c r="R150" s="453">
        <f t="shared" si="12"/>
        <v>0</v>
      </c>
      <c r="S150" s="453">
        <v>0</v>
      </c>
      <c r="T150" s="454">
        <f t="shared" si="13"/>
        <v>0</v>
      </c>
      <c r="AR150" s="455" t="s">
        <v>115</v>
      </c>
      <c r="AT150" s="455" t="s">
        <v>259</v>
      </c>
      <c r="AU150" s="455" t="s">
        <v>109</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256</v>
      </c>
    </row>
    <row r="151" spans="2:65" s="365" customFormat="1" ht="16.5" customHeight="1" x14ac:dyDescent="0.25">
      <c r="B151" s="364"/>
      <c r="C151" s="457" t="s">
        <v>235</v>
      </c>
      <c r="D151" s="457" t="s">
        <v>259</v>
      </c>
      <c r="E151" s="458" t="s">
        <v>1964</v>
      </c>
      <c r="F151" s="459" t="s">
        <v>2055</v>
      </c>
      <c r="G151" s="460" t="s">
        <v>123</v>
      </c>
      <c r="H151" s="461">
        <v>8</v>
      </c>
      <c r="I151" s="330">
        <v>0</v>
      </c>
      <c r="J151" s="462">
        <f t="shared" si="10"/>
        <v>0</v>
      </c>
      <c r="K151" s="463"/>
      <c r="L151" s="464"/>
      <c r="M151" s="465" t="s">
        <v>171</v>
      </c>
      <c r="N151" s="466" t="s">
        <v>185</v>
      </c>
      <c r="O151" s="453">
        <v>0</v>
      </c>
      <c r="P151" s="453">
        <f t="shared" si="11"/>
        <v>0</v>
      </c>
      <c r="Q151" s="453">
        <v>0</v>
      </c>
      <c r="R151" s="453">
        <f t="shared" si="12"/>
        <v>0</v>
      </c>
      <c r="S151" s="453">
        <v>0</v>
      </c>
      <c r="T151" s="454">
        <f t="shared" si="13"/>
        <v>0</v>
      </c>
      <c r="AR151" s="455" t="s">
        <v>115</v>
      </c>
      <c r="AT151" s="455" t="s">
        <v>259</v>
      </c>
      <c r="AU151" s="455" t="s">
        <v>109</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258</v>
      </c>
    </row>
    <row r="152" spans="2:65" s="365" customFormat="1" ht="16.5" customHeight="1" x14ac:dyDescent="0.25">
      <c r="B152" s="364"/>
      <c r="C152" s="457" t="s">
        <v>236</v>
      </c>
      <c r="D152" s="457" t="s">
        <v>259</v>
      </c>
      <c r="E152" s="458" t="s">
        <v>1966</v>
      </c>
      <c r="F152" s="459" t="s">
        <v>2056</v>
      </c>
      <c r="G152" s="460" t="s">
        <v>123</v>
      </c>
      <c r="H152" s="461">
        <v>12</v>
      </c>
      <c r="I152" s="330">
        <v>0</v>
      </c>
      <c r="J152" s="462">
        <f t="shared" si="10"/>
        <v>0</v>
      </c>
      <c r="K152" s="463"/>
      <c r="L152" s="464"/>
      <c r="M152" s="465" t="s">
        <v>171</v>
      </c>
      <c r="N152" s="466" t="s">
        <v>185</v>
      </c>
      <c r="O152" s="453">
        <v>0</v>
      </c>
      <c r="P152" s="453">
        <f t="shared" si="11"/>
        <v>0</v>
      </c>
      <c r="Q152" s="453">
        <v>0</v>
      </c>
      <c r="R152" s="453">
        <f t="shared" si="12"/>
        <v>0</v>
      </c>
      <c r="S152" s="453">
        <v>0</v>
      </c>
      <c r="T152" s="454">
        <f t="shared" si="13"/>
        <v>0</v>
      </c>
      <c r="AR152" s="455" t="s">
        <v>115</v>
      </c>
      <c r="AT152" s="455" t="s">
        <v>259</v>
      </c>
      <c r="AU152" s="455" t="s">
        <v>109</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262</v>
      </c>
    </row>
    <row r="153" spans="2:65" s="365" customFormat="1" ht="16.5" customHeight="1" x14ac:dyDescent="0.25">
      <c r="B153" s="364"/>
      <c r="C153" s="457" t="s">
        <v>237</v>
      </c>
      <c r="D153" s="457" t="s">
        <v>259</v>
      </c>
      <c r="E153" s="458" t="s">
        <v>1968</v>
      </c>
      <c r="F153" s="459" t="s">
        <v>2057</v>
      </c>
      <c r="G153" s="460" t="s">
        <v>123</v>
      </c>
      <c r="H153" s="461">
        <v>1</v>
      </c>
      <c r="I153" s="330">
        <v>0</v>
      </c>
      <c r="J153" s="462">
        <f t="shared" si="10"/>
        <v>0</v>
      </c>
      <c r="K153" s="463"/>
      <c r="L153" s="464"/>
      <c r="M153" s="465" t="s">
        <v>171</v>
      </c>
      <c r="N153" s="466" t="s">
        <v>185</v>
      </c>
      <c r="O153" s="453">
        <v>0</v>
      </c>
      <c r="P153" s="453">
        <f t="shared" si="11"/>
        <v>0</v>
      </c>
      <c r="Q153" s="453">
        <v>0</v>
      </c>
      <c r="R153" s="453">
        <f t="shared" si="12"/>
        <v>0</v>
      </c>
      <c r="S153" s="453">
        <v>0</v>
      </c>
      <c r="T153" s="454">
        <f t="shared" si="13"/>
        <v>0</v>
      </c>
      <c r="AR153" s="455" t="s">
        <v>115</v>
      </c>
      <c r="AT153" s="455" t="s">
        <v>259</v>
      </c>
      <c r="AU153" s="455" t="s">
        <v>109</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264</v>
      </c>
    </row>
    <row r="154" spans="2:65" s="365" customFormat="1" ht="16.5" customHeight="1" x14ac:dyDescent="0.25">
      <c r="B154" s="364"/>
      <c r="C154" s="457" t="s">
        <v>238</v>
      </c>
      <c r="D154" s="457" t="s">
        <v>259</v>
      </c>
      <c r="E154" s="458" t="s">
        <v>1969</v>
      </c>
      <c r="F154" s="459" t="s">
        <v>2058</v>
      </c>
      <c r="G154" s="460" t="s">
        <v>123</v>
      </c>
      <c r="H154" s="461">
        <v>1</v>
      </c>
      <c r="I154" s="330">
        <v>0</v>
      </c>
      <c r="J154" s="462">
        <f t="shared" si="10"/>
        <v>0</v>
      </c>
      <c r="K154" s="463"/>
      <c r="L154" s="464"/>
      <c r="M154" s="465" t="s">
        <v>171</v>
      </c>
      <c r="N154" s="466" t="s">
        <v>185</v>
      </c>
      <c r="O154" s="453">
        <v>0</v>
      </c>
      <c r="P154" s="453">
        <f t="shared" si="11"/>
        <v>0</v>
      </c>
      <c r="Q154" s="453">
        <v>0</v>
      </c>
      <c r="R154" s="453">
        <f t="shared" si="12"/>
        <v>0</v>
      </c>
      <c r="S154" s="453">
        <v>0</v>
      </c>
      <c r="T154" s="454">
        <f t="shared" si="13"/>
        <v>0</v>
      </c>
      <c r="AR154" s="455" t="s">
        <v>115</v>
      </c>
      <c r="AT154" s="455" t="s">
        <v>259</v>
      </c>
      <c r="AU154" s="455" t="s">
        <v>109</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266</v>
      </c>
    </row>
    <row r="155" spans="2:65" s="365" customFormat="1" ht="16.5" customHeight="1" x14ac:dyDescent="0.25">
      <c r="B155" s="364"/>
      <c r="C155" s="457" t="s">
        <v>239</v>
      </c>
      <c r="D155" s="457" t="s">
        <v>259</v>
      </c>
      <c r="E155" s="458" t="s">
        <v>1970</v>
      </c>
      <c r="F155" s="459" t="s">
        <v>1967</v>
      </c>
      <c r="G155" s="460" t="s">
        <v>536</v>
      </c>
      <c r="H155" s="461">
        <v>20</v>
      </c>
      <c r="I155" s="330">
        <v>0</v>
      </c>
      <c r="J155" s="462">
        <f t="shared" si="10"/>
        <v>0</v>
      </c>
      <c r="K155" s="463"/>
      <c r="L155" s="464"/>
      <c r="M155" s="465" t="s">
        <v>171</v>
      </c>
      <c r="N155" s="466" t="s">
        <v>185</v>
      </c>
      <c r="O155" s="453">
        <v>0</v>
      </c>
      <c r="P155" s="453">
        <f t="shared" si="11"/>
        <v>0</v>
      </c>
      <c r="Q155" s="453">
        <v>0</v>
      </c>
      <c r="R155" s="453">
        <f t="shared" si="12"/>
        <v>0</v>
      </c>
      <c r="S155" s="453">
        <v>0</v>
      </c>
      <c r="T155" s="454">
        <f t="shared" si="13"/>
        <v>0</v>
      </c>
      <c r="AR155" s="455" t="s">
        <v>115</v>
      </c>
      <c r="AT155" s="455" t="s">
        <v>259</v>
      </c>
      <c r="AU155" s="455" t="s">
        <v>109</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577</v>
      </c>
    </row>
    <row r="156" spans="2:65" s="365" customFormat="1" ht="16.5" customHeight="1" x14ac:dyDescent="0.25">
      <c r="B156" s="364"/>
      <c r="C156" s="457" t="s">
        <v>240</v>
      </c>
      <c r="D156" s="457" t="s">
        <v>259</v>
      </c>
      <c r="E156" s="458" t="s">
        <v>1992</v>
      </c>
      <c r="F156" s="459" t="s">
        <v>1937</v>
      </c>
      <c r="G156" s="460" t="s">
        <v>123</v>
      </c>
      <c r="H156" s="461">
        <v>3</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115</v>
      </c>
      <c r="AT156" s="455" t="s">
        <v>259</v>
      </c>
      <c r="AU156" s="455" t="s">
        <v>109</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585</v>
      </c>
    </row>
    <row r="157" spans="2:65" s="365" customFormat="1" ht="16.5" customHeight="1" x14ac:dyDescent="0.25">
      <c r="B157" s="364"/>
      <c r="C157" s="457" t="s">
        <v>241</v>
      </c>
      <c r="D157" s="457" t="s">
        <v>259</v>
      </c>
      <c r="E157" s="458" t="s">
        <v>2000</v>
      </c>
      <c r="F157" s="459" t="s">
        <v>1939</v>
      </c>
      <c r="G157" s="460" t="s">
        <v>123</v>
      </c>
      <c r="H157" s="461">
        <v>12</v>
      </c>
      <c r="I157" s="330">
        <v>0</v>
      </c>
      <c r="J157" s="462">
        <f t="shared" si="10"/>
        <v>0</v>
      </c>
      <c r="K157" s="463"/>
      <c r="L157" s="464"/>
      <c r="M157" s="465" t="s">
        <v>171</v>
      </c>
      <c r="N157" s="466" t="s">
        <v>185</v>
      </c>
      <c r="O157" s="453">
        <v>0</v>
      </c>
      <c r="P157" s="453">
        <f t="shared" si="11"/>
        <v>0</v>
      </c>
      <c r="Q157" s="453">
        <v>0</v>
      </c>
      <c r="R157" s="453">
        <f t="shared" si="12"/>
        <v>0</v>
      </c>
      <c r="S157" s="453">
        <v>0</v>
      </c>
      <c r="T157" s="454">
        <f t="shared" si="13"/>
        <v>0</v>
      </c>
      <c r="AR157" s="455" t="s">
        <v>115</v>
      </c>
      <c r="AT157" s="455" t="s">
        <v>259</v>
      </c>
      <c r="AU157" s="455" t="s">
        <v>109</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593</v>
      </c>
    </row>
    <row r="158" spans="2:65" s="365" customFormat="1" ht="16.5" customHeight="1" x14ac:dyDescent="0.25">
      <c r="B158" s="364"/>
      <c r="C158" s="457" t="s">
        <v>242</v>
      </c>
      <c r="D158" s="457" t="s">
        <v>259</v>
      </c>
      <c r="E158" s="458" t="s">
        <v>2002</v>
      </c>
      <c r="F158" s="459" t="s">
        <v>1971</v>
      </c>
      <c r="G158" s="460" t="s">
        <v>123</v>
      </c>
      <c r="H158" s="461">
        <v>6</v>
      </c>
      <c r="I158" s="330">
        <v>0</v>
      </c>
      <c r="J158" s="462">
        <f t="shared" si="10"/>
        <v>0</v>
      </c>
      <c r="K158" s="463"/>
      <c r="L158" s="464"/>
      <c r="M158" s="465" t="s">
        <v>171</v>
      </c>
      <c r="N158" s="466" t="s">
        <v>185</v>
      </c>
      <c r="O158" s="453">
        <v>0</v>
      </c>
      <c r="P158" s="453">
        <f t="shared" si="11"/>
        <v>0</v>
      </c>
      <c r="Q158" s="453">
        <v>0</v>
      </c>
      <c r="R158" s="453">
        <f t="shared" si="12"/>
        <v>0</v>
      </c>
      <c r="S158" s="453">
        <v>0</v>
      </c>
      <c r="T158" s="454">
        <f t="shared" si="13"/>
        <v>0</v>
      </c>
      <c r="AR158" s="455" t="s">
        <v>115</v>
      </c>
      <c r="AT158" s="455" t="s">
        <v>259</v>
      </c>
      <c r="AU158" s="455" t="s">
        <v>109</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601</v>
      </c>
    </row>
    <row r="159" spans="2:65" s="365" customFormat="1" ht="16.5" customHeight="1" x14ac:dyDescent="0.25">
      <c r="B159" s="364"/>
      <c r="C159" s="445" t="s">
        <v>243</v>
      </c>
      <c r="D159" s="445" t="s">
        <v>218</v>
      </c>
      <c r="E159" s="446" t="s">
        <v>1972</v>
      </c>
      <c r="F159" s="447" t="s">
        <v>2059</v>
      </c>
      <c r="G159" s="448" t="s">
        <v>171</v>
      </c>
      <c r="H159" s="449">
        <v>1</v>
      </c>
      <c r="I159" s="329">
        <v>0</v>
      </c>
      <c r="J159" s="450">
        <f t="shared" si="10"/>
        <v>0</v>
      </c>
      <c r="K159" s="451"/>
      <c r="L159" s="364"/>
      <c r="M159" s="452" t="s">
        <v>171</v>
      </c>
      <c r="N159" s="415" t="s">
        <v>185</v>
      </c>
      <c r="O159" s="453">
        <v>0</v>
      </c>
      <c r="P159" s="453">
        <f t="shared" si="11"/>
        <v>0</v>
      </c>
      <c r="Q159" s="453">
        <v>0</v>
      </c>
      <c r="R159" s="453">
        <f t="shared" si="12"/>
        <v>0</v>
      </c>
      <c r="S159" s="453">
        <v>0</v>
      </c>
      <c r="T159" s="454">
        <f t="shared" si="13"/>
        <v>0</v>
      </c>
      <c r="AR159" s="455" t="s">
        <v>110</v>
      </c>
      <c r="AT159" s="455" t="s">
        <v>218</v>
      </c>
      <c r="AU159" s="455" t="s">
        <v>109</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609</v>
      </c>
    </row>
    <row r="160" spans="2:65" s="365" customFormat="1" ht="16.5" customHeight="1" x14ac:dyDescent="0.25">
      <c r="B160" s="364"/>
      <c r="C160" s="445" t="s">
        <v>244</v>
      </c>
      <c r="D160" s="445" t="s">
        <v>218</v>
      </c>
      <c r="E160" s="446" t="s">
        <v>2060</v>
      </c>
      <c r="F160" s="447" t="s">
        <v>2061</v>
      </c>
      <c r="G160" s="448" t="s">
        <v>171</v>
      </c>
      <c r="H160" s="449">
        <v>1</v>
      </c>
      <c r="I160" s="329">
        <v>0</v>
      </c>
      <c r="J160" s="450">
        <f t="shared" si="10"/>
        <v>0</v>
      </c>
      <c r="K160" s="451"/>
      <c r="L160" s="364"/>
      <c r="M160" s="452" t="s">
        <v>171</v>
      </c>
      <c r="N160" s="415" t="s">
        <v>185</v>
      </c>
      <c r="O160" s="453">
        <v>0</v>
      </c>
      <c r="P160" s="453">
        <f t="shared" si="11"/>
        <v>0</v>
      </c>
      <c r="Q160" s="453">
        <v>0</v>
      </c>
      <c r="R160" s="453">
        <f t="shared" si="12"/>
        <v>0</v>
      </c>
      <c r="S160" s="453">
        <v>0</v>
      </c>
      <c r="T160" s="454">
        <f t="shared" si="13"/>
        <v>0</v>
      </c>
      <c r="AR160" s="455" t="s">
        <v>110</v>
      </c>
      <c r="AT160" s="455" t="s">
        <v>218</v>
      </c>
      <c r="AU160" s="455" t="s">
        <v>109</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2062</v>
      </c>
    </row>
    <row r="161" spans="2:65" s="434" customFormat="1" ht="25.9" customHeight="1" x14ac:dyDescent="0.2">
      <c r="B161" s="433"/>
      <c r="D161" s="435" t="s">
        <v>216</v>
      </c>
      <c r="E161" s="436" t="s">
        <v>1974</v>
      </c>
      <c r="F161" s="436" t="s">
        <v>1975</v>
      </c>
      <c r="I161" s="331"/>
      <c r="J161" s="437">
        <f>BK161</f>
        <v>0</v>
      </c>
      <c r="L161" s="433"/>
      <c r="M161" s="438"/>
      <c r="P161" s="439">
        <f>SUM(P162:P175)</f>
        <v>0</v>
      </c>
      <c r="R161" s="439">
        <f>SUM(R162:R175)</f>
        <v>0</v>
      </c>
      <c r="T161" s="440">
        <f>SUM(T162:T175)</f>
        <v>0</v>
      </c>
      <c r="AR161" s="435" t="s">
        <v>109</v>
      </c>
      <c r="AT161" s="441" t="s">
        <v>216</v>
      </c>
      <c r="AU161" s="441" t="s">
        <v>165</v>
      </c>
      <c r="AY161" s="435" t="s">
        <v>217</v>
      </c>
      <c r="BK161" s="442">
        <f>SUM(BK162:BK175)</f>
        <v>0</v>
      </c>
    </row>
    <row r="162" spans="2:65" s="365" customFormat="1" ht="21.75" customHeight="1" x14ac:dyDescent="0.25">
      <c r="B162" s="364"/>
      <c r="C162" s="445" t="s">
        <v>245</v>
      </c>
      <c r="D162" s="445" t="s">
        <v>218</v>
      </c>
      <c r="E162" s="446" t="s">
        <v>1976</v>
      </c>
      <c r="F162" s="447" t="s">
        <v>2063</v>
      </c>
      <c r="G162" s="448" t="s">
        <v>113</v>
      </c>
      <c r="H162" s="449">
        <v>20</v>
      </c>
      <c r="I162" s="329">
        <v>0</v>
      </c>
      <c r="J162" s="450">
        <f t="shared" ref="J162:J175" si="20">ROUND(I162*H162,2)</f>
        <v>0</v>
      </c>
      <c r="K162" s="451"/>
      <c r="L162" s="364"/>
      <c r="M162" s="452" t="s">
        <v>171</v>
      </c>
      <c r="N162" s="415" t="s">
        <v>185</v>
      </c>
      <c r="O162" s="453">
        <v>0</v>
      </c>
      <c r="P162" s="453">
        <f t="shared" ref="P162:P175" si="21">O162*H162</f>
        <v>0</v>
      </c>
      <c r="Q162" s="453">
        <v>0</v>
      </c>
      <c r="R162" s="453">
        <f t="shared" ref="R162:R175" si="22">Q162*H162</f>
        <v>0</v>
      </c>
      <c r="S162" s="453">
        <v>0</v>
      </c>
      <c r="T162" s="454">
        <f t="shared" ref="T162:T175" si="23">S162*H162</f>
        <v>0</v>
      </c>
      <c r="AR162" s="455" t="s">
        <v>110</v>
      </c>
      <c r="AT162" s="455" t="s">
        <v>218</v>
      </c>
      <c r="AU162" s="455" t="s">
        <v>109</v>
      </c>
      <c r="AY162" s="357" t="s">
        <v>217</v>
      </c>
      <c r="BE162" s="456">
        <f t="shared" ref="BE162:BE175" si="24">IF(N162="základná",J162,0)</f>
        <v>0</v>
      </c>
      <c r="BF162" s="456">
        <f t="shared" ref="BF162:BF175" si="25">IF(N162="znížená",J162,0)</f>
        <v>0</v>
      </c>
      <c r="BG162" s="456">
        <f t="shared" ref="BG162:BG175" si="26">IF(N162="zákl. prenesená",J162,0)</f>
        <v>0</v>
      </c>
      <c r="BH162" s="456">
        <f t="shared" ref="BH162:BH175" si="27">IF(N162="zníž. prenesená",J162,0)</f>
        <v>0</v>
      </c>
      <c r="BI162" s="456">
        <f t="shared" ref="BI162:BI175" si="28">IF(N162="nulová",J162,0)</f>
        <v>0</v>
      </c>
      <c r="BJ162" s="357" t="s">
        <v>108</v>
      </c>
      <c r="BK162" s="456">
        <f t="shared" ref="BK162:BK175" si="29">ROUND(I162*H162,2)</f>
        <v>0</v>
      </c>
      <c r="BL162" s="357" t="s">
        <v>110</v>
      </c>
      <c r="BM162" s="455" t="s">
        <v>617</v>
      </c>
    </row>
    <row r="163" spans="2:65" s="365" customFormat="1" ht="16.5" customHeight="1" x14ac:dyDescent="0.25">
      <c r="B163" s="364"/>
      <c r="C163" s="445" t="s">
        <v>246</v>
      </c>
      <c r="D163" s="445" t="s">
        <v>218</v>
      </c>
      <c r="E163" s="446" t="s">
        <v>2064</v>
      </c>
      <c r="F163" s="447" t="s">
        <v>2065</v>
      </c>
      <c r="G163" s="448" t="s">
        <v>113</v>
      </c>
      <c r="H163" s="449">
        <v>20</v>
      </c>
      <c r="I163" s="329">
        <v>0</v>
      </c>
      <c r="J163" s="450">
        <f t="shared" si="20"/>
        <v>0</v>
      </c>
      <c r="K163" s="451"/>
      <c r="L163" s="364"/>
      <c r="M163" s="452" t="s">
        <v>171</v>
      </c>
      <c r="N163" s="415" t="s">
        <v>185</v>
      </c>
      <c r="O163" s="453">
        <v>0</v>
      </c>
      <c r="P163" s="453">
        <f t="shared" si="21"/>
        <v>0</v>
      </c>
      <c r="Q163" s="453">
        <v>0</v>
      </c>
      <c r="R163" s="453">
        <f t="shared" si="22"/>
        <v>0</v>
      </c>
      <c r="S163" s="453">
        <v>0</v>
      </c>
      <c r="T163" s="454">
        <f t="shared" si="23"/>
        <v>0</v>
      </c>
      <c r="AR163" s="455" t="s">
        <v>110</v>
      </c>
      <c r="AT163" s="455" t="s">
        <v>218</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625</v>
      </c>
    </row>
    <row r="164" spans="2:65" s="365" customFormat="1" ht="16.5" customHeight="1" x14ac:dyDescent="0.25">
      <c r="B164" s="364"/>
      <c r="C164" s="445" t="s">
        <v>247</v>
      </c>
      <c r="D164" s="445" t="s">
        <v>218</v>
      </c>
      <c r="E164" s="446" t="s">
        <v>1982</v>
      </c>
      <c r="F164" s="447" t="s">
        <v>2066</v>
      </c>
      <c r="G164" s="448" t="s">
        <v>123</v>
      </c>
      <c r="H164" s="449">
        <v>3</v>
      </c>
      <c r="I164" s="329">
        <v>0</v>
      </c>
      <c r="J164" s="450">
        <f t="shared" si="20"/>
        <v>0</v>
      </c>
      <c r="K164" s="451"/>
      <c r="L164" s="364"/>
      <c r="M164" s="452" t="s">
        <v>171</v>
      </c>
      <c r="N164" s="415" t="s">
        <v>185</v>
      </c>
      <c r="O164" s="453">
        <v>0</v>
      </c>
      <c r="P164" s="453">
        <f t="shared" si="21"/>
        <v>0</v>
      </c>
      <c r="Q164" s="453">
        <v>0</v>
      </c>
      <c r="R164" s="453">
        <f t="shared" si="22"/>
        <v>0</v>
      </c>
      <c r="S164" s="453">
        <v>0</v>
      </c>
      <c r="T164" s="454">
        <f t="shared" si="23"/>
        <v>0</v>
      </c>
      <c r="AR164" s="455" t="s">
        <v>110</v>
      </c>
      <c r="AT164" s="455" t="s">
        <v>218</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634</v>
      </c>
    </row>
    <row r="165" spans="2:65" s="365" customFormat="1" ht="16.5" customHeight="1" x14ac:dyDescent="0.25">
      <c r="B165" s="364"/>
      <c r="C165" s="445" t="s">
        <v>248</v>
      </c>
      <c r="D165" s="445" t="s">
        <v>218</v>
      </c>
      <c r="E165" s="446" t="s">
        <v>1984</v>
      </c>
      <c r="F165" s="447" t="s">
        <v>1985</v>
      </c>
      <c r="G165" s="448" t="s">
        <v>123</v>
      </c>
      <c r="H165" s="449">
        <v>4</v>
      </c>
      <c r="I165" s="329">
        <v>0</v>
      </c>
      <c r="J165" s="450">
        <f t="shared" si="20"/>
        <v>0</v>
      </c>
      <c r="K165" s="451"/>
      <c r="L165" s="364"/>
      <c r="M165" s="452" t="s">
        <v>171</v>
      </c>
      <c r="N165" s="415" t="s">
        <v>185</v>
      </c>
      <c r="O165" s="453">
        <v>0</v>
      </c>
      <c r="P165" s="453">
        <f t="shared" si="21"/>
        <v>0</v>
      </c>
      <c r="Q165" s="453">
        <v>0</v>
      </c>
      <c r="R165" s="453">
        <f t="shared" si="22"/>
        <v>0</v>
      </c>
      <c r="S165" s="453">
        <v>0</v>
      </c>
      <c r="T165" s="454">
        <f t="shared" si="23"/>
        <v>0</v>
      </c>
      <c r="AR165" s="455" t="s">
        <v>110</v>
      </c>
      <c r="AT165" s="455" t="s">
        <v>218</v>
      </c>
      <c r="AU165" s="455" t="s">
        <v>109</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640</v>
      </c>
    </row>
    <row r="166" spans="2:65" s="365" customFormat="1" ht="16.5" customHeight="1" x14ac:dyDescent="0.25">
      <c r="B166" s="364"/>
      <c r="C166" s="445" t="s">
        <v>249</v>
      </c>
      <c r="D166" s="445" t="s">
        <v>218</v>
      </c>
      <c r="E166" s="446" t="s">
        <v>2067</v>
      </c>
      <c r="F166" s="447" t="s">
        <v>2068</v>
      </c>
      <c r="G166" s="448" t="s">
        <v>123</v>
      </c>
      <c r="H166" s="449">
        <v>3</v>
      </c>
      <c r="I166" s="329">
        <v>0</v>
      </c>
      <c r="J166" s="450">
        <f t="shared" si="20"/>
        <v>0</v>
      </c>
      <c r="K166" s="451"/>
      <c r="L166" s="364"/>
      <c r="M166" s="452" t="s">
        <v>171</v>
      </c>
      <c r="N166" s="415" t="s">
        <v>185</v>
      </c>
      <c r="O166" s="453">
        <v>0</v>
      </c>
      <c r="P166" s="453">
        <f t="shared" si="21"/>
        <v>0</v>
      </c>
      <c r="Q166" s="453">
        <v>0</v>
      </c>
      <c r="R166" s="453">
        <f t="shared" si="22"/>
        <v>0</v>
      </c>
      <c r="S166" s="453">
        <v>0</v>
      </c>
      <c r="T166" s="454">
        <f t="shared" si="23"/>
        <v>0</v>
      </c>
      <c r="AR166" s="455" t="s">
        <v>110</v>
      </c>
      <c r="AT166" s="455" t="s">
        <v>218</v>
      </c>
      <c r="AU166" s="455" t="s">
        <v>109</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645</v>
      </c>
    </row>
    <row r="167" spans="2:65" s="365" customFormat="1" ht="24.2" customHeight="1" x14ac:dyDescent="0.25">
      <c r="B167" s="364"/>
      <c r="C167" s="445" t="s">
        <v>250</v>
      </c>
      <c r="D167" s="445" t="s">
        <v>218</v>
      </c>
      <c r="E167" s="446" t="s">
        <v>1988</v>
      </c>
      <c r="F167" s="447" t="s">
        <v>2069</v>
      </c>
      <c r="G167" s="448" t="s">
        <v>113</v>
      </c>
      <c r="H167" s="449">
        <v>16</v>
      </c>
      <c r="I167" s="329">
        <v>0</v>
      </c>
      <c r="J167" s="450">
        <f t="shared" si="20"/>
        <v>0</v>
      </c>
      <c r="K167" s="451"/>
      <c r="L167" s="364"/>
      <c r="M167" s="452" t="s">
        <v>171</v>
      </c>
      <c r="N167" s="415" t="s">
        <v>185</v>
      </c>
      <c r="O167" s="453">
        <v>0</v>
      </c>
      <c r="P167" s="453">
        <f t="shared" si="21"/>
        <v>0</v>
      </c>
      <c r="Q167" s="453">
        <v>0</v>
      </c>
      <c r="R167" s="453">
        <f t="shared" si="22"/>
        <v>0</v>
      </c>
      <c r="S167" s="453">
        <v>0</v>
      </c>
      <c r="T167" s="454">
        <f t="shared" si="23"/>
        <v>0</v>
      </c>
      <c r="AR167" s="455" t="s">
        <v>110</v>
      </c>
      <c r="AT167" s="455" t="s">
        <v>218</v>
      </c>
      <c r="AU167" s="455" t="s">
        <v>109</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655</v>
      </c>
    </row>
    <row r="168" spans="2:65" s="365" customFormat="1" ht="16.5" customHeight="1" x14ac:dyDescent="0.25">
      <c r="B168" s="364"/>
      <c r="C168" s="445" t="s">
        <v>251</v>
      </c>
      <c r="D168" s="445" t="s">
        <v>218</v>
      </c>
      <c r="E168" s="446" t="s">
        <v>1990</v>
      </c>
      <c r="F168" s="447" t="s">
        <v>2070</v>
      </c>
      <c r="G168" s="448" t="s">
        <v>113</v>
      </c>
      <c r="H168" s="449">
        <v>15</v>
      </c>
      <c r="I168" s="329">
        <v>0</v>
      </c>
      <c r="J168" s="450">
        <f t="shared" si="20"/>
        <v>0</v>
      </c>
      <c r="K168" s="451"/>
      <c r="L168" s="364"/>
      <c r="M168" s="452" t="s">
        <v>171</v>
      </c>
      <c r="N168" s="415" t="s">
        <v>185</v>
      </c>
      <c r="O168" s="453">
        <v>0</v>
      </c>
      <c r="P168" s="453">
        <f t="shared" si="21"/>
        <v>0</v>
      </c>
      <c r="Q168" s="453">
        <v>0</v>
      </c>
      <c r="R168" s="453">
        <f t="shared" si="22"/>
        <v>0</v>
      </c>
      <c r="S168" s="453">
        <v>0</v>
      </c>
      <c r="T168" s="454">
        <f t="shared" si="23"/>
        <v>0</v>
      </c>
      <c r="AR168" s="455" t="s">
        <v>110</v>
      </c>
      <c r="AT168" s="455" t="s">
        <v>218</v>
      </c>
      <c r="AU168" s="455" t="s">
        <v>109</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664</v>
      </c>
    </row>
    <row r="169" spans="2:65" s="365" customFormat="1" ht="16.5" customHeight="1" x14ac:dyDescent="0.25">
      <c r="B169" s="364"/>
      <c r="C169" s="457" t="s">
        <v>252</v>
      </c>
      <c r="D169" s="457" t="s">
        <v>259</v>
      </c>
      <c r="E169" s="458" t="s">
        <v>2004</v>
      </c>
      <c r="F169" s="459" t="s">
        <v>1993</v>
      </c>
      <c r="G169" s="460" t="s">
        <v>113</v>
      </c>
      <c r="H169" s="461">
        <v>15</v>
      </c>
      <c r="I169" s="330">
        <v>0</v>
      </c>
      <c r="J169" s="462">
        <f t="shared" si="20"/>
        <v>0</v>
      </c>
      <c r="K169" s="463"/>
      <c r="L169" s="464"/>
      <c r="M169" s="465" t="s">
        <v>171</v>
      </c>
      <c r="N169" s="466" t="s">
        <v>185</v>
      </c>
      <c r="O169" s="453">
        <v>0</v>
      </c>
      <c r="P169" s="453">
        <f t="shared" si="21"/>
        <v>0</v>
      </c>
      <c r="Q169" s="453">
        <v>0</v>
      </c>
      <c r="R169" s="453">
        <f t="shared" si="22"/>
        <v>0</v>
      </c>
      <c r="S169" s="453">
        <v>0</v>
      </c>
      <c r="T169" s="454">
        <f t="shared" si="23"/>
        <v>0</v>
      </c>
      <c r="AR169" s="455" t="s">
        <v>115</v>
      </c>
      <c r="AT169" s="455" t="s">
        <v>259</v>
      </c>
      <c r="AU169" s="455" t="s">
        <v>109</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674</v>
      </c>
    </row>
    <row r="170" spans="2:65" s="365" customFormat="1" ht="21.75" customHeight="1" x14ac:dyDescent="0.25">
      <c r="B170" s="364"/>
      <c r="C170" s="445" t="s">
        <v>253</v>
      </c>
      <c r="D170" s="445" t="s">
        <v>218</v>
      </c>
      <c r="E170" s="446" t="s">
        <v>1994</v>
      </c>
      <c r="F170" s="447" t="s">
        <v>2071</v>
      </c>
      <c r="G170" s="448" t="s">
        <v>123</v>
      </c>
      <c r="H170" s="449">
        <v>3</v>
      </c>
      <c r="I170" s="329">
        <v>0</v>
      </c>
      <c r="J170" s="450">
        <f t="shared" si="20"/>
        <v>0</v>
      </c>
      <c r="K170" s="451"/>
      <c r="L170" s="364"/>
      <c r="M170" s="452" t="s">
        <v>171</v>
      </c>
      <c r="N170" s="415" t="s">
        <v>185</v>
      </c>
      <c r="O170" s="453">
        <v>0</v>
      </c>
      <c r="P170" s="453">
        <f t="shared" si="21"/>
        <v>0</v>
      </c>
      <c r="Q170" s="453">
        <v>0</v>
      </c>
      <c r="R170" s="453">
        <f t="shared" si="22"/>
        <v>0</v>
      </c>
      <c r="S170" s="453">
        <v>0</v>
      </c>
      <c r="T170" s="454">
        <f t="shared" si="23"/>
        <v>0</v>
      </c>
      <c r="AR170" s="455" t="s">
        <v>110</v>
      </c>
      <c r="AT170" s="455" t="s">
        <v>218</v>
      </c>
      <c r="AU170" s="455" t="s">
        <v>109</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903</v>
      </c>
    </row>
    <row r="171" spans="2:65" s="365" customFormat="1" ht="16.5" customHeight="1" x14ac:dyDescent="0.25">
      <c r="B171" s="364"/>
      <c r="C171" s="445" t="s">
        <v>254</v>
      </c>
      <c r="D171" s="445" t="s">
        <v>218</v>
      </c>
      <c r="E171" s="446" t="s">
        <v>2072</v>
      </c>
      <c r="F171" s="447" t="s">
        <v>2073</v>
      </c>
      <c r="G171" s="448" t="s">
        <v>113</v>
      </c>
      <c r="H171" s="449">
        <v>15</v>
      </c>
      <c r="I171" s="329">
        <v>0</v>
      </c>
      <c r="J171" s="450">
        <f t="shared" si="20"/>
        <v>0</v>
      </c>
      <c r="K171" s="451"/>
      <c r="L171" s="364"/>
      <c r="M171" s="452" t="s">
        <v>171</v>
      </c>
      <c r="N171" s="415" t="s">
        <v>185</v>
      </c>
      <c r="O171" s="453">
        <v>0</v>
      </c>
      <c r="P171" s="453">
        <f t="shared" si="21"/>
        <v>0</v>
      </c>
      <c r="Q171" s="453">
        <v>0</v>
      </c>
      <c r="R171" s="453">
        <f t="shared" si="22"/>
        <v>0</v>
      </c>
      <c r="S171" s="453">
        <v>0</v>
      </c>
      <c r="T171" s="454">
        <f t="shared" si="23"/>
        <v>0</v>
      </c>
      <c r="AR171" s="455" t="s">
        <v>110</v>
      </c>
      <c r="AT171" s="455" t="s">
        <v>218</v>
      </c>
      <c r="AU171" s="455" t="s">
        <v>109</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911</v>
      </c>
    </row>
    <row r="172" spans="2:65" s="365" customFormat="1" ht="16.5" customHeight="1" x14ac:dyDescent="0.25">
      <c r="B172" s="364"/>
      <c r="C172" s="445" t="s">
        <v>255</v>
      </c>
      <c r="D172" s="445" t="s">
        <v>218</v>
      </c>
      <c r="E172" s="446" t="s">
        <v>1998</v>
      </c>
      <c r="F172" s="447" t="s">
        <v>1999</v>
      </c>
      <c r="G172" s="448" t="s">
        <v>111</v>
      </c>
      <c r="H172" s="449">
        <v>15</v>
      </c>
      <c r="I172" s="329">
        <v>0</v>
      </c>
      <c r="J172" s="450">
        <f t="shared" si="20"/>
        <v>0</v>
      </c>
      <c r="K172" s="451"/>
      <c r="L172" s="364"/>
      <c r="M172" s="452" t="s">
        <v>171</v>
      </c>
      <c r="N172" s="415" t="s">
        <v>185</v>
      </c>
      <c r="O172" s="453">
        <v>0</v>
      </c>
      <c r="P172" s="453">
        <f t="shared" si="21"/>
        <v>0</v>
      </c>
      <c r="Q172" s="453">
        <v>0</v>
      </c>
      <c r="R172" s="453">
        <f t="shared" si="22"/>
        <v>0</v>
      </c>
      <c r="S172" s="453">
        <v>0</v>
      </c>
      <c r="T172" s="454">
        <f t="shared" si="23"/>
        <v>0</v>
      </c>
      <c r="AR172" s="455" t="s">
        <v>110</v>
      </c>
      <c r="AT172" s="455" t="s">
        <v>218</v>
      </c>
      <c r="AU172" s="455" t="s">
        <v>109</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919</v>
      </c>
    </row>
    <row r="173" spans="2:65" s="365" customFormat="1" ht="16.5" customHeight="1" x14ac:dyDescent="0.25">
      <c r="B173" s="364"/>
      <c r="C173" s="457" t="s">
        <v>256</v>
      </c>
      <c r="D173" s="457" t="s">
        <v>259</v>
      </c>
      <c r="E173" s="458" t="s">
        <v>2074</v>
      </c>
      <c r="F173" s="459" t="s">
        <v>2075</v>
      </c>
      <c r="G173" s="460" t="s">
        <v>123</v>
      </c>
      <c r="H173" s="461">
        <v>75</v>
      </c>
      <c r="I173" s="330">
        <v>0</v>
      </c>
      <c r="J173" s="462">
        <f t="shared" si="20"/>
        <v>0</v>
      </c>
      <c r="K173" s="463"/>
      <c r="L173" s="464"/>
      <c r="M173" s="465" t="s">
        <v>171</v>
      </c>
      <c r="N173" s="466" t="s">
        <v>185</v>
      </c>
      <c r="O173" s="453">
        <v>0</v>
      </c>
      <c r="P173" s="453">
        <f t="shared" si="21"/>
        <v>0</v>
      </c>
      <c r="Q173" s="453">
        <v>0</v>
      </c>
      <c r="R173" s="453">
        <f t="shared" si="22"/>
        <v>0</v>
      </c>
      <c r="S173" s="453">
        <v>0</v>
      </c>
      <c r="T173" s="454">
        <f t="shared" si="23"/>
        <v>0</v>
      </c>
      <c r="AR173" s="455" t="s">
        <v>115</v>
      </c>
      <c r="AT173" s="455" t="s">
        <v>259</v>
      </c>
      <c r="AU173" s="455" t="s">
        <v>109</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925</v>
      </c>
    </row>
    <row r="174" spans="2:65" s="365" customFormat="1" ht="16.5" customHeight="1" x14ac:dyDescent="0.25">
      <c r="B174" s="364"/>
      <c r="C174" s="457" t="s">
        <v>257</v>
      </c>
      <c r="D174" s="457" t="s">
        <v>259</v>
      </c>
      <c r="E174" s="458" t="s">
        <v>2076</v>
      </c>
      <c r="F174" s="459" t="s">
        <v>2003</v>
      </c>
      <c r="G174" s="460" t="s">
        <v>114</v>
      </c>
      <c r="H174" s="461">
        <v>0.52</v>
      </c>
      <c r="I174" s="330">
        <v>0</v>
      </c>
      <c r="J174" s="462">
        <f t="shared" si="20"/>
        <v>0</v>
      </c>
      <c r="K174" s="463"/>
      <c r="L174" s="464"/>
      <c r="M174" s="465" t="s">
        <v>171</v>
      </c>
      <c r="N174" s="466" t="s">
        <v>185</v>
      </c>
      <c r="O174" s="453">
        <v>0</v>
      </c>
      <c r="P174" s="453">
        <f t="shared" si="21"/>
        <v>0</v>
      </c>
      <c r="Q174" s="453">
        <v>0</v>
      </c>
      <c r="R174" s="453">
        <f t="shared" si="22"/>
        <v>0</v>
      </c>
      <c r="S174" s="453">
        <v>0</v>
      </c>
      <c r="T174" s="454">
        <f t="shared" si="23"/>
        <v>0</v>
      </c>
      <c r="AR174" s="455" t="s">
        <v>115</v>
      </c>
      <c r="AT174" s="455" t="s">
        <v>259</v>
      </c>
      <c r="AU174" s="455" t="s">
        <v>109</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931</v>
      </c>
    </row>
    <row r="175" spans="2:65" s="365" customFormat="1" ht="16.5" customHeight="1" x14ac:dyDescent="0.25">
      <c r="B175" s="364"/>
      <c r="C175" s="457" t="s">
        <v>258</v>
      </c>
      <c r="D175" s="457" t="s">
        <v>259</v>
      </c>
      <c r="E175" s="458" t="s">
        <v>2077</v>
      </c>
      <c r="F175" s="459" t="s">
        <v>2005</v>
      </c>
      <c r="G175" s="460" t="s">
        <v>114</v>
      </c>
      <c r="H175" s="461">
        <v>0.6</v>
      </c>
      <c r="I175" s="330">
        <v>0</v>
      </c>
      <c r="J175" s="462">
        <f t="shared" si="20"/>
        <v>0</v>
      </c>
      <c r="K175" s="463"/>
      <c r="L175" s="464"/>
      <c r="M175" s="465" t="s">
        <v>171</v>
      </c>
      <c r="N175" s="466" t="s">
        <v>185</v>
      </c>
      <c r="O175" s="453">
        <v>0</v>
      </c>
      <c r="P175" s="453">
        <f t="shared" si="21"/>
        <v>0</v>
      </c>
      <c r="Q175" s="453">
        <v>0</v>
      </c>
      <c r="R175" s="453">
        <f t="shared" si="22"/>
        <v>0</v>
      </c>
      <c r="S175" s="453">
        <v>0</v>
      </c>
      <c r="T175" s="454">
        <f t="shared" si="23"/>
        <v>0</v>
      </c>
      <c r="AR175" s="455" t="s">
        <v>115</v>
      </c>
      <c r="AT175" s="455" t="s">
        <v>259</v>
      </c>
      <c r="AU175" s="455" t="s">
        <v>109</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935</v>
      </c>
    </row>
    <row r="176" spans="2:65" s="434" customFormat="1" ht="25.9" customHeight="1" x14ac:dyDescent="0.2">
      <c r="B176" s="433"/>
      <c r="D176" s="435" t="s">
        <v>216</v>
      </c>
      <c r="E176" s="436" t="s">
        <v>2006</v>
      </c>
      <c r="F176" s="436" t="s">
        <v>2007</v>
      </c>
      <c r="I176" s="331"/>
      <c r="J176" s="437">
        <f>BK176</f>
        <v>0</v>
      </c>
      <c r="L176" s="433"/>
      <c r="M176" s="438"/>
      <c r="P176" s="439">
        <f>P177</f>
        <v>0</v>
      </c>
      <c r="R176" s="439">
        <f>R177</f>
        <v>0</v>
      </c>
      <c r="T176" s="440">
        <f>T177</f>
        <v>0</v>
      </c>
      <c r="AR176" s="435" t="s">
        <v>109</v>
      </c>
      <c r="AT176" s="441" t="s">
        <v>216</v>
      </c>
      <c r="AU176" s="441" t="s">
        <v>165</v>
      </c>
      <c r="AY176" s="435" t="s">
        <v>217</v>
      </c>
      <c r="BK176" s="442">
        <f>BK177</f>
        <v>0</v>
      </c>
    </row>
    <row r="177" spans="2:65" s="365" customFormat="1" ht="16.5" customHeight="1" x14ac:dyDescent="0.25">
      <c r="B177" s="364"/>
      <c r="C177" s="445" t="s">
        <v>260</v>
      </c>
      <c r="D177" s="445" t="s">
        <v>218</v>
      </c>
      <c r="E177" s="446" t="s">
        <v>2008</v>
      </c>
      <c r="F177" s="447" t="s">
        <v>2009</v>
      </c>
      <c r="G177" s="448" t="s">
        <v>2010</v>
      </c>
      <c r="H177" s="449">
        <v>16</v>
      </c>
      <c r="I177" s="329">
        <v>0</v>
      </c>
      <c r="J177" s="450">
        <f>ROUND(I177*H177,2)</f>
        <v>0</v>
      </c>
      <c r="K177" s="451"/>
      <c r="L177" s="364"/>
      <c r="M177" s="452" t="s">
        <v>171</v>
      </c>
      <c r="N177" s="415" t="s">
        <v>185</v>
      </c>
      <c r="O177" s="453">
        <v>0</v>
      </c>
      <c r="P177" s="453">
        <f>O177*H177</f>
        <v>0</v>
      </c>
      <c r="Q177" s="453">
        <v>0</v>
      </c>
      <c r="R177" s="453">
        <f>Q177*H177</f>
        <v>0</v>
      </c>
      <c r="S177" s="453">
        <v>0</v>
      </c>
      <c r="T177" s="454">
        <f>S177*H177</f>
        <v>0</v>
      </c>
      <c r="AR177" s="455" t="s">
        <v>110</v>
      </c>
      <c r="AT177" s="455" t="s">
        <v>218</v>
      </c>
      <c r="AU177" s="455" t="s">
        <v>109</v>
      </c>
      <c r="AY177" s="357" t="s">
        <v>217</v>
      </c>
      <c r="BE177" s="456">
        <f>IF(N177="základná",J177,0)</f>
        <v>0</v>
      </c>
      <c r="BF177" s="456">
        <f>IF(N177="znížená",J177,0)</f>
        <v>0</v>
      </c>
      <c r="BG177" s="456">
        <f>IF(N177="zákl. prenesená",J177,0)</f>
        <v>0</v>
      </c>
      <c r="BH177" s="456">
        <f>IF(N177="zníž. prenesená",J177,0)</f>
        <v>0</v>
      </c>
      <c r="BI177" s="456">
        <f>IF(N177="nulová",J177,0)</f>
        <v>0</v>
      </c>
      <c r="BJ177" s="357" t="s">
        <v>108</v>
      </c>
      <c r="BK177" s="456">
        <f>ROUND(I177*H177,2)</f>
        <v>0</v>
      </c>
      <c r="BL177" s="357" t="s">
        <v>110</v>
      </c>
      <c r="BM177" s="455" t="s">
        <v>948</v>
      </c>
    </row>
    <row r="178" spans="2:65" s="434" customFormat="1" ht="25.9" customHeight="1" x14ac:dyDescent="0.2">
      <c r="B178" s="433"/>
      <c r="D178" s="435" t="s">
        <v>216</v>
      </c>
      <c r="E178" s="436" t="s">
        <v>2011</v>
      </c>
      <c r="F178" s="436" t="s">
        <v>2012</v>
      </c>
      <c r="I178" s="331"/>
      <c r="J178" s="437">
        <f>BK178</f>
        <v>0</v>
      </c>
      <c r="L178" s="433"/>
      <c r="M178" s="438"/>
      <c r="P178" s="439">
        <f>SUM(P179:P182)</f>
        <v>0</v>
      </c>
      <c r="R178" s="439">
        <f>SUM(R179:R182)</f>
        <v>0</v>
      </c>
      <c r="T178" s="440">
        <f>SUM(T179:T182)</f>
        <v>0</v>
      </c>
      <c r="AR178" s="435" t="s">
        <v>109</v>
      </c>
      <c r="AT178" s="441" t="s">
        <v>216</v>
      </c>
      <c r="AU178" s="441" t="s">
        <v>165</v>
      </c>
      <c r="AY178" s="435" t="s">
        <v>217</v>
      </c>
      <c r="BK178" s="442">
        <f>SUM(BK179:BK182)</f>
        <v>0</v>
      </c>
    </row>
    <row r="179" spans="2:65" s="365" customFormat="1" ht="16.5" customHeight="1" x14ac:dyDescent="0.25">
      <c r="B179" s="364"/>
      <c r="C179" s="445" t="s">
        <v>262</v>
      </c>
      <c r="D179" s="445" t="s">
        <v>218</v>
      </c>
      <c r="E179" s="446" t="s">
        <v>2013</v>
      </c>
      <c r="F179" s="447" t="s">
        <v>2014</v>
      </c>
      <c r="G179" s="448" t="s">
        <v>2010</v>
      </c>
      <c r="H179" s="449">
        <v>8</v>
      </c>
      <c r="I179" s="329">
        <v>0</v>
      </c>
      <c r="J179" s="450">
        <f>ROUND(I179*H179,2)</f>
        <v>0</v>
      </c>
      <c r="K179" s="451"/>
      <c r="L179" s="364"/>
      <c r="M179" s="452" t="s">
        <v>171</v>
      </c>
      <c r="N179" s="415" t="s">
        <v>185</v>
      </c>
      <c r="O179" s="453">
        <v>0</v>
      </c>
      <c r="P179" s="453">
        <f>O179*H179</f>
        <v>0</v>
      </c>
      <c r="Q179" s="453">
        <v>0</v>
      </c>
      <c r="R179" s="453">
        <f>Q179*H179</f>
        <v>0</v>
      </c>
      <c r="S179" s="453">
        <v>0</v>
      </c>
      <c r="T179" s="454">
        <f>S179*H179</f>
        <v>0</v>
      </c>
      <c r="AR179" s="455" t="s">
        <v>110</v>
      </c>
      <c r="AT179" s="455" t="s">
        <v>218</v>
      </c>
      <c r="AU179" s="455" t="s">
        <v>109</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1203</v>
      </c>
    </row>
    <row r="180" spans="2:65" s="365" customFormat="1" ht="16.5" customHeight="1" x14ac:dyDescent="0.25">
      <c r="B180" s="364"/>
      <c r="C180" s="445" t="s">
        <v>263</v>
      </c>
      <c r="D180" s="445" t="s">
        <v>218</v>
      </c>
      <c r="E180" s="446" t="s">
        <v>2015</v>
      </c>
      <c r="F180" s="447" t="s">
        <v>2016</v>
      </c>
      <c r="G180" s="448" t="s">
        <v>2010</v>
      </c>
      <c r="H180" s="449">
        <v>8</v>
      </c>
      <c r="I180" s="329">
        <v>0</v>
      </c>
      <c r="J180" s="450">
        <f>ROUND(I180*H180,2)</f>
        <v>0</v>
      </c>
      <c r="K180" s="451"/>
      <c r="L180" s="364"/>
      <c r="M180" s="452" t="s">
        <v>171</v>
      </c>
      <c r="N180" s="415" t="s">
        <v>185</v>
      </c>
      <c r="O180" s="453">
        <v>0</v>
      </c>
      <c r="P180" s="453">
        <f>O180*H180</f>
        <v>0</v>
      </c>
      <c r="Q180" s="453">
        <v>0</v>
      </c>
      <c r="R180" s="453">
        <f>Q180*H180</f>
        <v>0</v>
      </c>
      <c r="S180" s="453">
        <v>0</v>
      </c>
      <c r="T180" s="454">
        <f>S180*H180</f>
        <v>0</v>
      </c>
      <c r="AR180" s="455" t="s">
        <v>110</v>
      </c>
      <c r="AT180" s="455" t="s">
        <v>218</v>
      </c>
      <c r="AU180" s="455" t="s">
        <v>109</v>
      </c>
      <c r="AY180" s="357" t="s">
        <v>217</v>
      </c>
      <c r="BE180" s="456">
        <f>IF(N180="základná",J180,0)</f>
        <v>0</v>
      </c>
      <c r="BF180" s="456">
        <f>IF(N180="znížená",J180,0)</f>
        <v>0</v>
      </c>
      <c r="BG180" s="456">
        <f>IF(N180="zákl. prenesená",J180,0)</f>
        <v>0</v>
      </c>
      <c r="BH180" s="456">
        <f>IF(N180="zníž. prenesená",J180,0)</f>
        <v>0</v>
      </c>
      <c r="BI180" s="456">
        <f>IF(N180="nulová",J180,0)</f>
        <v>0</v>
      </c>
      <c r="BJ180" s="357" t="s">
        <v>108</v>
      </c>
      <c r="BK180" s="456">
        <f>ROUND(I180*H180,2)</f>
        <v>0</v>
      </c>
      <c r="BL180" s="357" t="s">
        <v>110</v>
      </c>
      <c r="BM180" s="455" t="s">
        <v>1208</v>
      </c>
    </row>
    <row r="181" spans="2:65" s="365" customFormat="1" ht="16.5" customHeight="1" x14ac:dyDescent="0.25">
      <c r="B181" s="364"/>
      <c r="C181" s="445" t="s">
        <v>264</v>
      </c>
      <c r="D181" s="445" t="s">
        <v>218</v>
      </c>
      <c r="E181" s="446" t="s">
        <v>2017</v>
      </c>
      <c r="F181" s="447" t="s">
        <v>2018</v>
      </c>
      <c r="G181" s="448" t="s">
        <v>2010</v>
      </c>
      <c r="H181" s="449">
        <v>8</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109</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1211</v>
      </c>
    </row>
    <row r="182" spans="2:65" s="365" customFormat="1" ht="16.5" customHeight="1" x14ac:dyDescent="0.25">
      <c r="B182" s="364"/>
      <c r="C182" s="445" t="s">
        <v>265</v>
      </c>
      <c r="D182" s="445" t="s">
        <v>218</v>
      </c>
      <c r="E182" s="446" t="s">
        <v>2019</v>
      </c>
      <c r="F182" s="447" t="s">
        <v>2020</v>
      </c>
      <c r="G182" s="448" t="s">
        <v>2010</v>
      </c>
      <c r="H182" s="449">
        <v>8</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110</v>
      </c>
      <c r="AT182" s="455" t="s">
        <v>218</v>
      </c>
      <c r="AU182" s="455" t="s">
        <v>109</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1215</v>
      </c>
    </row>
    <row r="183" spans="2:65" s="434" customFormat="1" ht="25.9" customHeight="1" x14ac:dyDescent="0.2">
      <c r="B183" s="433"/>
      <c r="D183" s="435" t="s">
        <v>216</v>
      </c>
      <c r="E183" s="436" t="s">
        <v>418</v>
      </c>
      <c r="F183" s="436" t="s">
        <v>2021</v>
      </c>
      <c r="I183" s="331"/>
      <c r="J183" s="437">
        <f>BK183</f>
        <v>0</v>
      </c>
      <c r="L183" s="433"/>
      <c r="M183" s="438"/>
      <c r="P183" s="439">
        <f>P184+P189</f>
        <v>0.35575200000000001</v>
      </c>
      <c r="R183" s="439">
        <f>R184+R189</f>
        <v>0</v>
      </c>
      <c r="T183" s="440">
        <f>T184+T189</f>
        <v>0</v>
      </c>
      <c r="AR183" s="435" t="s">
        <v>109</v>
      </c>
      <c r="AT183" s="441" t="s">
        <v>216</v>
      </c>
      <c r="AU183" s="441" t="s">
        <v>165</v>
      </c>
      <c r="AY183" s="435" t="s">
        <v>217</v>
      </c>
      <c r="BK183" s="442">
        <f>BK184+BK189</f>
        <v>0</v>
      </c>
    </row>
    <row r="184" spans="2:65" s="434" customFormat="1" ht="22.9" customHeight="1" x14ac:dyDescent="0.2">
      <c r="B184" s="433"/>
      <c r="D184" s="435" t="s">
        <v>216</v>
      </c>
      <c r="E184" s="443" t="s">
        <v>109</v>
      </c>
      <c r="F184" s="443" t="s">
        <v>220</v>
      </c>
      <c r="I184" s="331"/>
      <c r="J184" s="444">
        <f>BK184</f>
        <v>0</v>
      </c>
      <c r="L184" s="433"/>
      <c r="M184" s="438"/>
      <c r="P184" s="439">
        <f>SUM(P185:P188)</f>
        <v>0.35575200000000001</v>
      </c>
      <c r="R184" s="439">
        <f>SUM(R185:R188)</f>
        <v>0</v>
      </c>
      <c r="T184" s="440">
        <f>SUM(T185:T188)</f>
        <v>0</v>
      </c>
      <c r="AR184" s="435" t="s">
        <v>109</v>
      </c>
      <c r="AT184" s="441" t="s">
        <v>216</v>
      </c>
      <c r="AU184" s="441" t="s">
        <v>109</v>
      </c>
      <c r="AY184" s="435" t="s">
        <v>217</v>
      </c>
      <c r="BK184" s="442">
        <f>SUM(BK185:BK188)</f>
        <v>0</v>
      </c>
    </row>
    <row r="185" spans="2:65" s="365" customFormat="1" ht="37.9" customHeight="1" x14ac:dyDescent="0.25">
      <c r="B185" s="364"/>
      <c r="C185" s="445" t="s">
        <v>266</v>
      </c>
      <c r="D185" s="445" t="s">
        <v>218</v>
      </c>
      <c r="E185" s="446" t="s">
        <v>712</v>
      </c>
      <c r="F185" s="447" t="s">
        <v>2078</v>
      </c>
      <c r="G185" s="448" t="s">
        <v>114</v>
      </c>
      <c r="H185" s="449">
        <v>2.16</v>
      </c>
      <c r="I185" s="329">
        <v>0</v>
      </c>
      <c r="J185" s="450">
        <f>ROUND(I185*H185,2)</f>
        <v>0</v>
      </c>
      <c r="K185" s="451"/>
      <c r="L185" s="364"/>
      <c r="M185" s="452" t="s">
        <v>171</v>
      </c>
      <c r="N185" s="415" t="s">
        <v>185</v>
      </c>
      <c r="O185" s="453">
        <v>4.8899999999999999E-2</v>
      </c>
      <c r="P185" s="453">
        <f>O185*H185</f>
        <v>0.10562400000000001</v>
      </c>
      <c r="Q185" s="453">
        <v>0</v>
      </c>
      <c r="R185" s="453">
        <f>Q185*H185</f>
        <v>0</v>
      </c>
      <c r="S185" s="453">
        <v>0</v>
      </c>
      <c r="T185" s="454">
        <f>S185*H185</f>
        <v>0</v>
      </c>
      <c r="AR185" s="455" t="s">
        <v>110</v>
      </c>
      <c r="AT185" s="455" t="s">
        <v>218</v>
      </c>
      <c r="AU185" s="455" t="s">
        <v>108</v>
      </c>
      <c r="AY185" s="357" t="s">
        <v>217</v>
      </c>
      <c r="BE185" s="456">
        <f>IF(N185="základná",J185,0)</f>
        <v>0</v>
      </c>
      <c r="BF185" s="456">
        <f>IF(N185="znížená",J185,0)</f>
        <v>0</v>
      </c>
      <c r="BG185" s="456">
        <f>IF(N185="zákl. prenesená",J185,0)</f>
        <v>0</v>
      </c>
      <c r="BH185" s="456">
        <f>IF(N185="zníž. prenesená",J185,0)</f>
        <v>0</v>
      </c>
      <c r="BI185" s="456">
        <f>IF(N185="nulová",J185,0)</f>
        <v>0</v>
      </c>
      <c r="BJ185" s="357" t="s">
        <v>108</v>
      </c>
      <c r="BK185" s="456">
        <f>ROUND(I185*H185,2)</f>
        <v>0</v>
      </c>
      <c r="BL185" s="357" t="s">
        <v>110</v>
      </c>
      <c r="BM185" s="455" t="s">
        <v>2079</v>
      </c>
    </row>
    <row r="186" spans="2:65" s="365" customFormat="1" ht="44.25" customHeight="1" x14ac:dyDescent="0.25">
      <c r="B186" s="364"/>
      <c r="C186" s="445" t="s">
        <v>573</v>
      </c>
      <c r="D186" s="445" t="s">
        <v>218</v>
      </c>
      <c r="E186" s="446" t="s">
        <v>714</v>
      </c>
      <c r="F186" s="447" t="s">
        <v>2080</v>
      </c>
      <c r="G186" s="448" t="s">
        <v>114</v>
      </c>
      <c r="H186" s="449">
        <v>43.2</v>
      </c>
      <c r="I186" s="329">
        <v>0</v>
      </c>
      <c r="J186" s="450">
        <f>ROUND(I186*H186,2)</f>
        <v>0</v>
      </c>
      <c r="K186" s="451"/>
      <c r="L186" s="364"/>
      <c r="M186" s="452" t="s">
        <v>171</v>
      </c>
      <c r="N186" s="415" t="s">
        <v>185</v>
      </c>
      <c r="O186" s="453">
        <v>5.3899999999999998E-3</v>
      </c>
      <c r="P186" s="453">
        <f>O186*H186</f>
        <v>0.232848</v>
      </c>
      <c r="Q186" s="453">
        <v>0</v>
      </c>
      <c r="R186" s="453">
        <f>Q186*H186</f>
        <v>0</v>
      </c>
      <c r="S186" s="453">
        <v>0</v>
      </c>
      <c r="T186" s="454">
        <f>S186*H186</f>
        <v>0</v>
      </c>
      <c r="AR186" s="455" t="s">
        <v>110</v>
      </c>
      <c r="AT186" s="455" t="s">
        <v>218</v>
      </c>
      <c r="AU186" s="455" t="s">
        <v>108</v>
      </c>
      <c r="AY186" s="357" t="s">
        <v>217</v>
      </c>
      <c r="BE186" s="456">
        <f>IF(N186="základná",J186,0)</f>
        <v>0</v>
      </c>
      <c r="BF186" s="456">
        <f>IF(N186="znížená",J186,0)</f>
        <v>0</v>
      </c>
      <c r="BG186" s="456">
        <f>IF(N186="zákl. prenesená",J186,0)</f>
        <v>0</v>
      </c>
      <c r="BH186" s="456">
        <f>IF(N186="zníž. prenesená",J186,0)</f>
        <v>0</v>
      </c>
      <c r="BI186" s="456">
        <f>IF(N186="nulová",J186,0)</f>
        <v>0</v>
      </c>
      <c r="BJ186" s="357" t="s">
        <v>108</v>
      </c>
      <c r="BK186" s="456">
        <f>ROUND(I186*H186,2)</f>
        <v>0</v>
      </c>
      <c r="BL186" s="357" t="s">
        <v>110</v>
      </c>
      <c r="BM186" s="455" t="s">
        <v>2081</v>
      </c>
    </row>
    <row r="187" spans="2:65" s="365" customFormat="1" ht="21.75" customHeight="1" x14ac:dyDescent="0.25">
      <c r="B187" s="364"/>
      <c r="C187" s="445" t="s">
        <v>577</v>
      </c>
      <c r="D187" s="445" t="s">
        <v>218</v>
      </c>
      <c r="E187" s="446" t="s">
        <v>717</v>
      </c>
      <c r="F187" s="447" t="s">
        <v>224</v>
      </c>
      <c r="G187" s="448" t="s">
        <v>114</v>
      </c>
      <c r="H187" s="449">
        <v>2.16</v>
      </c>
      <c r="I187" s="329">
        <v>0</v>
      </c>
      <c r="J187" s="450">
        <f>ROUND(I187*H187,2)</f>
        <v>0</v>
      </c>
      <c r="K187" s="451"/>
      <c r="L187" s="364"/>
      <c r="M187" s="452" t="s">
        <v>171</v>
      </c>
      <c r="N187" s="415" t="s">
        <v>185</v>
      </c>
      <c r="O187" s="453">
        <v>8.0000000000000002E-3</v>
      </c>
      <c r="P187" s="453">
        <f>O187*H187</f>
        <v>1.728E-2</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2082</v>
      </c>
    </row>
    <row r="188" spans="2:65" s="365" customFormat="1" ht="21.75" customHeight="1" x14ac:dyDescent="0.25">
      <c r="B188" s="364"/>
      <c r="C188" s="445" t="s">
        <v>581</v>
      </c>
      <c r="D188" s="445" t="s">
        <v>218</v>
      </c>
      <c r="E188" s="446" t="s">
        <v>1101</v>
      </c>
      <c r="F188" s="447" t="s">
        <v>3135</v>
      </c>
      <c r="G188" s="448" t="s">
        <v>112</v>
      </c>
      <c r="H188" s="449">
        <f>Ponuka!S130</f>
        <v>3.8880000000000017</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2083</v>
      </c>
    </row>
    <row r="189" spans="2:65" s="434" customFormat="1" ht="22.9" customHeight="1" x14ac:dyDescent="0.2">
      <c r="B189" s="433"/>
      <c r="D189" s="435" t="s">
        <v>216</v>
      </c>
      <c r="E189" s="443" t="s">
        <v>162</v>
      </c>
      <c r="F189" s="443" t="s">
        <v>633</v>
      </c>
      <c r="I189" s="331"/>
      <c r="J189" s="444">
        <f>BK189</f>
        <v>0</v>
      </c>
      <c r="L189" s="433"/>
      <c r="M189" s="438"/>
      <c r="P189" s="439">
        <f>P190</f>
        <v>0</v>
      </c>
      <c r="R189" s="439">
        <f>R190</f>
        <v>0</v>
      </c>
      <c r="T189" s="440">
        <f>T190</f>
        <v>0</v>
      </c>
      <c r="AR189" s="435" t="s">
        <v>109</v>
      </c>
      <c r="AT189" s="441" t="s">
        <v>216</v>
      </c>
      <c r="AU189" s="441" t="s">
        <v>109</v>
      </c>
      <c r="AY189" s="435" t="s">
        <v>217</v>
      </c>
      <c r="BK189" s="442">
        <f>BK190</f>
        <v>0</v>
      </c>
    </row>
    <row r="190" spans="2:65" s="365" customFormat="1" ht="66.75" customHeight="1" x14ac:dyDescent="0.25">
      <c r="B190" s="364"/>
      <c r="C190" s="445" t="s">
        <v>585</v>
      </c>
      <c r="D190" s="445" t="s">
        <v>218</v>
      </c>
      <c r="E190" s="446" t="s">
        <v>638</v>
      </c>
      <c r="F190" s="447" t="s">
        <v>3136</v>
      </c>
      <c r="G190" s="448" t="s">
        <v>112</v>
      </c>
      <c r="H190" s="449">
        <f>Ponuka!R130</f>
        <v>9.0719999999999992</v>
      </c>
      <c r="I190" s="329">
        <v>0</v>
      </c>
      <c r="J190" s="450">
        <f>ROUND(I190*H190,2)</f>
        <v>0</v>
      </c>
      <c r="K190" s="451"/>
      <c r="L190" s="364"/>
      <c r="M190" s="468" t="s">
        <v>171</v>
      </c>
      <c r="N190" s="469" t="s">
        <v>185</v>
      </c>
      <c r="O190" s="470">
        <v>0</v>
      </c>
      <c r="P190" s="470">
        <f>O190*H190</f>
        <v>0</v>
      </c>
      <c r="Q190" s="470">
        <v>0</v>
      </c>
      <c r="R190" s="470">
        <f>Q190*H190</f>
        <v>0</v>
      </c>
      <c r="S190" s="470">
        <v>0</v>
      </c>
      <c r="T190" s="471">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2084</v>
      </c>
    </row>
    <row r="191" spans="2:65" s="365" customFormat="1" ht="6.95" customHeight="1" x14ac:dyDescent="0.25">
      <c r="B191" s="397"/>
      <c r="C191" s="398"/>
      <c r="D191" s="398"/>
      <c r="E191" s="398"/>
      <c r="F191" s="398"/>
      <c r="G191" s="398"/>
      <c r="H191" s="398"/>
      <c r="I191" s="398"/>
      <c r="J191" s="398"/>
      <c r="K191" s="398"/>
      <c r="L191" s="364"/>
    </row>
  </sheetData>
  <sheetProtection algorithmName="SHA-512" hashValue="TjnW7tEc1QxVLE/MeEjZYBAa4eJUTxjzHKcg5zbUeezXTtNdZ7RFJ+8ifb85T+KPVBN8k9mCteZXXK9TB5IP+A==" saltValue="geHGD7DYxvbkiZY1WJO+KA==" spinCount="100000" sheet="1" objects="1" scenarios="1"/>
  <autoFilter ref="C127:K190" xr:uid="{00000000-0009-0000-0000-000013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F154E-C8F8-4EA9-B283-05B7796FD175}">
  <sheetPr codeName="Hárok27">
    <pageSetUpPr fitToPage="1"/>
  </sheetPr>
  <dimension ref="B2:BM184"/>
  <sheetViews>
    <sheetView topLeftCell="A183" workbookViewId="0">
      <selection activeCell="J194" sqref="J194"/>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392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2085</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SUM(BE128:BE183)),  2)</f>
        <v>0</v>
      </c>
      <c r="G35" s="380"/>
      <c r="H35" s="380"/>
      <c r="I35" s="381">
        <v>0.23</v>
      </c>
      <c r="J35" s="379">
        <f>ROUND(((SUM(BE107:BE108) + SUM(BE128:BE183))*I35),  2)</f>
        <v>0</v>
      </c>
      <c r="L35" s="364"/>
    </row>
    <row r="36" spans="2:12" s="365" customFormat="1" ht="14.45" customHeight="1" x14ac:dyDescent="0.25">
      <c r="B36" s="364"/>
      <c r="E36" s="378" t="s">
        <v>185</v>
      </c>
      <c r="F36" s="382">
        <f>ROUND((SUM(BF107:BF108) + SUM(BF128:BF183)),  2)</f>
        <v>0</v>
      </c>
      <c r="I36" s="383">
        <v>0.23</v>
      </c>
      <c r="J36" s="382">
        <f>ROUND(((SUM(BF107:BF108) + SUM(BF128:BF183))*I36),  2)</f>
        <v>0</v>
      </c>
      <c r="L36" s="364"/>
    </row>
    <row r="37" spans="2:12" s="365" customFormat="1" ht="14.45" hidden="1" customHeight="1" x14ac:dyDescent="0.25">
      <c r="B37" s="364"/>
      <c r="E37" s="363" t="s">
        <v>186</v>
      </c>
      <c r="F37" s="382">
        <f>ROUND((SUM(BG107:BG108) + SUM(BG128:BG183)),  2)</f>
        <v>0</v>
      </c>
      <c r="I37" s="383">
        <v>0.23</v>
      </c>
      <c r="J37" s="382">
        <f>0</f>
        <v>0</v>
      </c>
      <c r="L37" s="364"/>
    </row>
    <row r="38" spans="2:12" s="365" customFormat="1" ht="14.45" hidden="1" customHeight="1" x14ac:dyDescent="0.25">
      <c r="B38" s="364"/>
      <c r="E38" s="363" t="s">
        <v>187</v>
      </c>
      <c r="F38" s="382">
        <f>ROUND((SUM(BH107:BH108) + SUM(BH128:BH183)),  2)</f>
        <v>0</v>
      </c>
      <c r="I38" s="383">
        <v>0.23</v>
      </c>
      <c r="J38" s="382">
        <f>0</f>
        <v>0</v>
      </c>
      <c r="L38" s="364"/>
    </row>
    <row r="39" spans="2:12" s="365" customFormat="1" ht="14.45" hidden="1" customHeight="1" x14ac:dyDescent="0.25">
      <c r="B39" s="364"/>
      <c r="E39" s="378" t="s">
        <v>188</v>
      </c>
      <c r="F39" s="379">
        <f>ROUND((SUM(BI107:BI108) + SUM(BI128:BI183)),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302 - SO 302</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1912</v>
      </c>
      <c r="E97" s="407"/>
      <c r="F97" s="407"/>
      <c r="G97" s="407"/>
      <c r="H97" s="407"/>
      <c r="I97" s="407"/>
      <c r="J97" s="408">
        <f>J130</f>
        <v>0</v>
      </c>
      <c r="L97" s="404"/>
    </row>
    <row r="98" spans="2:14" s="405" customFormat="1" ht="24.95" customHeight="1" x14ac:dyDescent="0.25">
      <c r="B98" s="404"/>
      <c r="D98" s="406" t="s">
        <v>1913</v>
      </c>
      <c r="E98" s="407"/>
      <c r="F98" s="407"/>
      <c r="G98" s="407"/>
      <c r="H98" s="407"/>
      <c r="I98" s="407"/>
      <c r="J98" s="408">
        <f>J139</f>
        <v>0</v>
      </c>
      <c r="L98" s="404"/>
    </row>
    <row r="99" spans="2:14" s="405" customFormat="1" ht="24.95" customHeight="1" x14ac:dyDescent="0.25">
      <c r="B99" s="404"/>
      <c r="D99" s="406" t="s">
        <v>1914</v>
      </c>
      <c r="E99" s="407"/>
      <c r="F99" s="407"/>
      <c r="G99" s="407"/>
      <c r="H99" s="407"/>
      <c r="I99" s="407"/>
      <c r="J99" s="408">
        <f>J147</f>
        <v>0</v>
      </c>
      <c r="L99" s="404"/>
    </row>
    <row r="100" spans="2:14" s="405" customFormat="1" ht="24.95" customHeight="1" x14ac:dyDescent="0.25">
      <c r="B100" s="404"/>
      <c r="D100" s="406" t="s">
        <v>1915</v>
      </c>
      <c r="E100" s="407"/>
      <c r="F100" s="407"/>
      <c r="G100" s="407"/>
      <c r="H100" s="407"/>
      <c r="I100" s="407"/>
      <c r="J100" s="408">
        <f>J165</f>
        <v>0</v>
      </c>
      <c r="L100" s="404"/>
    </row>
    <row r="101" spans="2:14" s="405" customFormat="1" ht="24.95" customHeight="1" x14ac:dyDescent="0.25">
      <c r="B101" s="404"/>
      <c r="D101" s="406" t="s">
        <v>1916</v>
      </c>
      <c r="E101" s="407"/>
      <c r="F101" s="407"/>
      <c r="G101" s="407"/>
      <c r="H101" s="407"/>
      <c r="I101" s="407"/>
      <c r="J101" s="408">
        <f>J167</f>
        <v>0</v>
      </c>
      <c r="L101" s="404"/>
    </row>
    <row r="102" spans="2:14" s="405" customFormat="1" ht="24.95" customHeight="1" x14ac:dyDescent="0.25">
      <c r="B102" s="404"/>
      <c r="D102" s="406" t="s">
        <v>1917</v>
      </c>
      <c r="E102" s="407"/>
      <c r="F102" s="407"/>
      <c r="G102" s="407"/>
      <c r="H102" s="407"/>
      <c r="I102" s="407"/>
      <c r="J102" s="408">
        <f>J176</f>
        <v>0</v>
      </c>
      <c r="L102" s="404"/>
    </row>
    <row r="103" spans="2:14" s="410" customFormat="1" ht="19.899999999999999" customHeight="1" x14ac:dyDescent="0.25">
      <c r="B103" s="409"/>
      <c r="D103" s="411" t="s">
        <v>411</v>
      </c>
      <c r="E103" s="412"/>
      <c r="F103" s="412"/>
      <c r="G103" s="412"/>
      <c r="H103" s="412"/>
      <c r="I103" s="412"/>
      <c r="J103" s="413">
        <f>J177</f>
        <v>0</v>
      </c>
      <c r="L103" s="409"/>
    </row>
    <row r="104" spans="2:14" s="410" customFormat="1" ht="19.899999999999999" customHeight="1" x14ac:dyDescent="0.25">
      <c r="B104" s="409"/>
      <c r="D104" s="411" t="s">
        <v>414</v>
      </c>
      <c r="E104" s="412"/>
      <c r="F104" s="412"/>
      <c r="G104" s="412"/>
      <c r="H104" s="412"/>
      <c r="I104" s="412"/>
      <c r="J104" s="413">
        <f>J182</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Devín_RP1</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302 - SO 302</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P129+P130+P139+P147+P165+P167+P176</f>
        <v>1.4131259999999999</v>
      </c>
      <c r="Q128" s="371"/>
      <c r="R128" s="430">
        <f>R129+R130+R139+R147+R165+R167+R176</f>
        <v>0</v>
      </c>
      <c r="S128" s="371"/>
      <c r="T128" s="431">
        <f>T129+T130+T139+T147+T165+T167+T176</f>
        <v>0</v>
      </c>
      <c r="AT128" s="357" t="s">
        <v>216</v>
      </c>
      <c r="AU128" s="357" t="s">
        <v>202</v>
      </c>
      <c r="BK128" s="432">
        <f>BK129+BK130+BK139+BK147+BK165+BK167+BK176</f>
        <v>0</v>
      </c>
    </row>
    <row r="129" spans="2:65" s="365" customFormat="1" ht="16.5" customHeight="1" x14ac:dyDescent="0.25">
      <c r="B129" s="364"/>
      <c r="C129" s="445" t="s">
        <v>109</v>
      </c>
      <c r="D129" s="445" t="s">
        <v>218</v>
      </c>
      <c r="E129" s="446" t="s">
        <v>2086</v>
      </c>
      <c r="F129" s="447" t="s">
        <v>2087</v>
      </c>
      <c r="G129" s="448" t="s">
        <v>2088</v>
      </c>
      <c r="H129" s="449">
        <v>0</v>
      </c>
      <c r="I129" s="329">
        <v>0</v>
      </c>
      <c r="J129" s="450">
        <f>ROUND(I129*H129,2)</f>
        <v>0</v>
      </c>
      <c r="K129" s="451"/>
      <c r="L129" s="364"/>
      <c r="M129" s="452" t="s">
        <v>171</v>
      </c>
      <c r="N129" s="415" t="s">
        <v>185</v>
      </c>
      <c r="O129" s="453">
        <v>0</v>
      </c>
      <c r="P129" s="453">
        <f>O129*H129</f>
        <v>0</v>
      </c>
      <c r="Q129" s="453">
        <v>0</v>
      </c>
      <c r="R129" s="453">
        <f>Q129*H129</f>
        <v>0</v>
      </c>
      <c r="S129" s="453">
        <v>0</v>
      </c>
      <c r="T129" s="454">
        <f>S129*H129</f>
        <v>0</v>
      </c>
      <c r="AR129" s="455" t="s">
        <v>110</v>
      </c>
      <c r="AT129" s="455" t="s">
        <v>218</v>
      </c>
      <c r="AU129" s="455" t="s">
        <v>165</v>
      </c>
      <c r="AY129" s="357" t="s">
        <v>217</v>
      </c>
      <c r="BE129" s="456">
        <f>IF(N129="základná",J129,0)</f>
        <v>0</v>
      </c>
      <c r="BF129" s="456">
        <f>IF(N129="znížená",J129,0)</f>
        <v>0</v>
      </c>
      <c r="BG129" s="456">
        <f>IF(N129="zákl. prenesená",J129,0)</f>
        <v>0</v>
      </c>
      <c r="BH129" s="456">
        <f>IF(N129="zníž. prenesená",J129,0)</f>
        <v>0</v>
      </c>
      <c r="BI129" s="456">
        <f>IF(N129="nulová",J129,0)</f>
        <v>0</v>
      </c>
      <c r="BJ129" s="357" t="s">
        <v>108</v>
      </c>
      <c r="BK129" s="456">
        <f>ROUND(I129*H129,2)</f>
        <v>0</v>
      </c>
      <c r="BL129" s="357" t="s">
        <v>110</v>
      </c>
      <c r="BM129" s="455" t="s">
        <v>108</v>
      </c>
    </row>
    <row r="130" spans="2:65" s="434" customFormat="1" ht="25.9" customHeight="1" x14ac:dyDescent="0.2">
      <c r="B130" s="433"/>
      <c r="D130" s="435" t="s">
        <v>216</v>
      </c>
      <c r="E130" s="436" t="s">
        <v>1918</v>
      </c>
      <c r="F130" s="436" t="s">
        <v>1919</v>
      </c>
      <c r="I130" s="467"/>
      <c r="J130" s="437">
        <f>BK130</f>
        <v>0</v>
      </c>
      <c r="L130" s="433"/>
      <c r="M130" s="438"/>
      <c r="P130" s="439">
        <f>SUM(P131:P138)</f>
        <v>0</v>
      </c>
      <c r="R130" s="439">
        <f>SUM(R131:R138)</f>
        <v>0</v>
      </c>
      <c r="T130" s="440">
        <f>SUM(T131:T138)</f>
        <v>0</v>
      </c>
      <c r="AR130" s="435" t="s">
        <v>109</v>
      </c>
      <c r="AT130" s="441" t="s">
        <v>216</v>
      </c>
      <c r="AU130" s="441" t="s">
        <v>165</v>
      </c>
      <c r="AY130" s="435" t="s">
        <v>217</v>
      </c>
      <c r="BK130" s="442">
        <f>SUM(BK131:BK138)</f>
        <v>0</v>
      </c>
    </row>
    <row r="131" spans="2:65" s="365" customFormat="1" ht="16.5" customHeight="1" x14ac:dyDescent="0.25">
      <c r="B131" s="364"/>
      <c r="C131" s="445" t="s">
        <v>108</v>
      </c>
      <c r="D131" s="445" t="s">
        <v>218</v>
      </c>
      <c r="E131" s="446" t="s">
        <v>2089</v>
      </c>
      <c r="F131" s="447" t="s">
        <v>2090</v>
      </c>
      <c r="G131" s="448" t="s">
        <v>113</v>
      </c>
      <c r="H131" s="449">
        <v>440</v>
      </c>
      <c r="I131" s="329">
        <v>0</v>
      </c>
      <c r="J131" s="450">
        <f t="shared" ref="J131:J138" si="0">ROUND(I131*H131,2)</f>
        <v>0</v>
      </c>
      <c r="K131" s="451"/>
      <c r="L131" s="364"/>
      <c r="M131" s="452" t="s">
        <v>171</v>
      </c>
      <c r="N131" s="415" t="s">
        <v>185</v>
      </c>
      <c r="O131" s="453">
        <v>0</v>
      </c>
      <c r="P131" s="453">
        <f t="shared" ref="P131:P138" si="1">O131*H131</f>
        <v>0</v>
      </c>
      <c r="Q131" s="453">
        <v>0</v>
      </c>
      <c r="R131" s="453">
        <f t="shared" ref="R131:R138" si="2">Q131*H131</f>
        <v>0</v>
      </c>
      <c r="S131" s="453">
        <v>0</v>
      </c>
      <c r="T131" s="454">
        <f t="shared" ref="T131:T138" si="3">S131*H131</f>
        <v>0</v>
      </c>
      <c r="AR131" s="455" t="s">
        <v>110</v>
      </c>
      <c r="AT131" s="455" t="s">
        <v>218</v>
      </c>
      <c r="AU131" s="455" t="s">
        <v>109</v>
      </c>
      <c r="AY131" s="357" t="s">
        <v>217</v>
      </c>
      <c r="BE131" s="456">
        <f t="shared" ref="BE131:BE138" si="4">IF(N131="základná",J131,0)</f>
        <v>0</v>
      </c>
      <c r="BF131" s="456">
        <f t="shared" ref="BF131:BF138" si="5">IF(N131="znížená",J131,0)</f>
        <v>0</v>
      </c>
      <c r="BG131" s="456">
        <f t="shared" ref="BG131:BG138" si="6">IF(N131="zákl. prenesená",J131,0)</f>
        <v>0</v>
      </c>
      <c r="BH131" s="456">
        <f t="shared" ref="BH131:BH138" si="7">IF(N131="zníž. prenesená",J131,0)</f>
        <v>0</v>
      </c>
      <c r="BI131" s="456">
        <f t="shared" ref="BI131:BI138" si="8">IF(N131="nulová",J131,0)</f>
        <v>0</v>
      </c>
      <c r="BJ131" s="357" t="s">
        <v>108</v>
      </c>
      <c r="BK131" s="456">
        <f t="shared" ref="BK131:BK138" si="9">ROUND(I131*H131,2)</f>
        <v>0</v>
      </c>
      <c r="BL131" s="357" t="s">
        <v>110</v>
      </c>
      <c r="BM131" s="455" t="s">
        <v>110</v>
      </c>
    </row>
    <row r="132" spans="2:65" s="365" customFormat="1" ht="16.5" customHeight="1" x14ac:dyDescent="0.25">
      <c r="B132" s="364"/>
      <c r="C132" s="445" t="s">
        <v>119</v>
      </c>
      <c r="D132" s="445" t="s">
        <v>218</v>
      </c>
      <c r="E132" s="446" t="s">
        <v>2091</v>
      </c>
      <c r="F132" s="447" t="s">
        <v>2092</v>
      </c>
      <c r="G132" s="448" t="s">
        <v>123</v>
      </c>
      <c r="H132" s="449">
        <v>4</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117</v>
      </c>
    </row>
    <row r="133" spans="2:65" s="365" customFormat="1" ht="16.5" customHeight="1" x14ac:dyDescent="0.25">
      <c r="B133" s="364"/>
      <c r="C133" s="445" t="s">
        <v>110</v>
      </c>
      <c r="D133" s="445" t="s">
        <v>218</v>
      </c>
      <c r="E133" s="446" t="s">
        <v>2093</v>
      </c>
      <c r="F133" s="447" t="s">
        <v>2094</v>
      </c>
      <c r="G133" s="448" t="s">
        <v>113</v>
      </c>
      <c r="H133" s="449">
        <v>1320</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115</v>
      </c>
    </row>
    <row r="134" spans="2:65" s="365" customFormat="1" ht="16.5" customHeight="1" x14ac:dyDescent="0.25">
      <c r="B134" s="364"/>
      <c r="C134" s="445" t="s">
        <v>118</v>
      </c>
      <c r="D134" s="445" t="s">
        <v>218</v>
      </c>
      <c r="E134" s="446" t="s">
        <v>1922</v>
      </c>
      <c r="F134" s="447" t="s">
        <v>1923</v>
      </c>
      <c r="G134" s="448" t="s">
        <v>123</v>
      </c>
      <c r="H134" s="449">
        <v>12</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221</v>
      </c>
    </row>
    <row r="135" spans="2:65" s="365" customFormat="1" ht="16.5" customHeight="1" x14ac:dyDescent="0.25">
      <c r="B135" s="364"/>
      <c r="C135" s="445" t="s">
        <v>117</v>
      </c>
      <c r="D135" s="445" t="s">
        <v>218</v>
      </c>
      <c r="E135" s="446" t="s">
        <v>2095</v>
      </c>
      <c r="F135" s="447" t="s">
        <v>2096</v>
      </c>
      <c r="G135" s="448" t="s">
        <v>123</v>
      </c>
      <c r="H135" s="449">
        <v>1320</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223</v>
      </c>
    </row>
    <row r="136" spans="2:65" s="365" customFormat="1" ht="16.5" customHeight="1" x14ac:dyDescent="0.25">
      <c r="B136" s="364"/>
      <c r="C136" s="445" t="s">
        <v>116</v>
      </c>
      <c r="D136" s="445" t="s">
        <v>218</v>
      </c>
      <c r="E136" s="446" t="s">
        <v>2097</v>
      </c>
      <c r="F136" s="447" t="s">
        <v>2098</v>
      </c>
      <c r="G136" s="448" t="s">
        <v>113</v>
      </c>
      <c r="H136" s="449">
        <v>40</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226</v>
      </c>
    </row>
    <row r="137" spans="2:65" s="365" customFormat="1" ht="16.5" customHeight="1" x14ac:dyDescent="0.25">
      <c r="B137" s="364"/>
      <c r="C137" s="445" t="s">
        <v>115</v>
      </c>
      <c r="D137" s="445" t="s">
        <v>218</v>
      </c>
      <c r="E137" s="446" t="s">
        <v>2099</v>
      </c>
      <c r="F137" s="447" t="s">
        <v>2100</v>
      </c>
      <c r="G137" s="448" t="s">
        <v>123</v>
      </c>
      <c r="H137" s="449">
        <v>12</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228</v>
      </c>
    </row>
    <row r="138" spans="2:65" s="365" customFormat="1" ht="16.5" customHeight="1" x14ac:dyDescent="0.25">
      <c r="B138" s="364"/>
      <c r="C138" s="445" t="s">
        <v>162</v>
      </c>
      <c r="D138" s="445" t="s">
        <v>218</v>
      </c>
      <c r="E138" s="446" t="s">
        <v>1972</v>
      </c>
      <c r="F138" s="447" t="s">
        <v>1947</v>
      </c>
      <c r="G138" s="448" t="s">
        <v>171</v>
      </c>
      <c r="H138" s="449">
        <v>1</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231</v>
      </c>
    </row>
    <row r="139" spans="2:65" s="434" customFormat="1" ht="25.9" customHeight="1" x14ac:dyDescent="0.2">
      <c r="B139" s="433"/>
      <c r="D139" s="435" t="s">
        <v>216</v>
      </c>
      <c r="E139" s="436" t="s">
        <v>1948</v>
      </c>
      <c r="F139" s="436" t="s">
        <v>1949</v>
      </c>
      <c r="I139" s="467"/>
      <c r="J139" s="437">
        <f>BK139</f>
        <v>0</v>
      </c>
      <c r="L139" s="433"/>
      <c r="M139" s="438"/>
      <c r="P139" s="439">
        <f>SUM(P140:P146)</f>
        <v>0</v>
      </c>
      <c r="R139" s="439">
        <f>SUM(R140:R146)</f>
        <v>0</v>
      </c>
      <c r="T139" s="440">
        <f>SUM(T140:T146)</f>
        <v>0</v>
      </c>
      <c r="AR139" s="435" t="s">
        <v>109</v>
      </c>
      <c r="AT139" s="441" t="s">
        <v>216</v>
      </c>
      <c r="AU139" s="441" t="s">
        <v>165</v>
      </c>
      <c r="AY139" s="435" t="s">
        <v>217</v>
      </c>
      <c r="BK139" s="442">
        <f>SUM(BK140:BK146)</f>
        <v>0</v>
      </c>
    </row>
    <row r="140" spans="2:65" s="365" customFormat="1" ht="16.5" customHeight="1" x14ac:dyDescent="0.25">
      <c r="B140" s="364"/>
      <c r="C140" s="457" t="s">
        <v>221</v>
      </c>
      <c r="D140" s="457" t="s">
        <v>259</v>
      </c>
      <c r="E140" s="458" t="s">
        <v>1950</v>
      </c>
      <c r="F140" s="459" t="s">
        <v>2101</v>
      </c>
      <c r="G140" s="460" t="s">
        <v>113</v>
      </c>
      <c r="H140" s="461">
        <v>1386</v>
      </c>
      <c r="I140" s="330">
        <v>0</v>
      </c>
      <c r="J140" s="462">
        <f t="shared" ref="J140:J146" si="10">ROUND(I140*H140,2)</f>
        <v>0</v>
      </c>
      <c r="K140" s="463"/>
      <c r="L140" s="464"/>
      <c r="M140" s="465" t="s">
        <v>171</v>
      </c>
      <c r="N140" s="466" t="s">
        <v>185</v>
      </c>
      <c r="O140" s="453">
        <v>0</v>
      </c>
      <c r="P140" s="453">
        <f t="shared" ref="P140:P146" si="11">O140*H140</f>
        <v>0</v>
      </c>
      <c r="Q140" s="453">
        <v>0</v>
      </c>
      <c r="R140" s="453">
        <f t="shared" ref="R140:R146" si="12">Q140*H140</f>
        <v>0</v>
      </c>
      <c r="S140" s="453">
        <v>0</v>
      </c>
      <c r="T140" s="454">
        <f t="shared" ref="T140:T146" si="13">S140*H140</f>
        <v>0</v>
      </c>
      <c r="AR140" s="455" t="s">
        <v>115</v>
      </c>
      <c r="AT140" s="455" t="s">
        <v>259</v>
      </c>
      <c r="AU140" s="455" t="s">
        <v>109</v>
      </c>
      <c r="AY140" s="357" t="s">
        <v>217</v>
      </c>
      <c r="BE140" s="456">
        <f t="shared" ref="BE140:BE146" si="14">IF(N140="základná",J140,0)</f>
        <v>0</v>
      </c>
      <c r="BF140" s="456">
        <f t="shared" ref="BF140:BF146" si="15">IF(N140="znížená",J140,0)</f>
        <v>0</v>
      </c>
      <c r="BG140" s="456">
        <f t="shared" ref="BG140:BG146" si="16">IF(N140="zákl. prenesená",J140,0)</f>
        <v>0</v>
      </c>
      <c r="BH140" s="456">
        <f t="shared" ref="BH140:BH146" si="17">IF(N140="zníž. prenesená",J140,0)</f>
        <v>0</v>
      </c>
      <c r="BI140" s="456">
        <f t="shared" ref="BI140:BI146" si="18">IF(N140="nulová",J140,0)</f>
        <v>0</v>
      </c>
      <c r="BJ140" s="357" t="s">
        <v>108</v>
      </c>
      <c r="BK140" s="456">
        <f t="shared" ref="BK140:BK146" si="19">ROUND(I140*H140,2)</f>
        <v>0</v>
      </c>
      <c r="BL140" s="357" t="s">
        <v>110</v>
      </c>
      <c r="BM140" s="455" t="s">
        <v>236</v>
      </c>
    </row>
    <row r="141" spans="2:65" s="365" customFormat="1" ht="16.5" customHeight="1" x14ac:dyDescent="0.25">
      <c r="B141" s="364"/>
      <c r="C141" s="457" t="s">
        <v>222</v>
      </c>
      <c r="D141" s="457" t="s">
        <v>259</v>
      </c>
      <c r="E141" s="458" t="s">
        <v>1952</v>
      </c>
      <c r="F141" s="459" t="s">
        <v>2102</v>
      </c>
      <c r="G141" s="460" t="s">
        <v>123</v>
      </c>
      <c r="H141" s="461">
        <v>1320</v>
      </c>
      <c r="I141" s="330">
        <v>0</v>
      </c>
      <c r="J141" s="462">
        <f t="shared" si="10"/>
        <v>0</v>
      </c>
      <c r="K141" s="463"/>
      <c r="L141" s="464"/>
      <c r="M141" s="465" t="s">
        <v>171</v>
      </c>
      <c r="N141" s="466" t="s">
        <v>185</v>
      </c>
      <c r="O141" s="453">
        <v>0</v>
      </c>
      <c r="P141" s="453">
        <f t="shared" si="11"/>
        <v>0</v>
      </c>
      <c r="Q141" s="453">
        <v>0</v>
      </c>
      <c r="R141" s="453">
        <f t="shared" si="12"/>
        <v>0</v>
      </c>
      <c r="S141" s="453">
        <v>0</v>
      </c>
      <c r="T141" s="454">
        <f t="shared" si="13"/>
        <v>0</v>
      </c>
      <c r="AR141" s="455" t="s">
        <v>115</v>
      </c>
      <c r="AT141" s="455" t="s">
        <v>259</v>
      </c>
      <c r="AU141" s="455" t="s">
        <v>109</v>
      </c>
      <c r="AY141" s="357" t="s">
        <v>217</v>
      </c>
      <c r="BE141" s="456">
        <f t="shared" si="14"/>
        <v>0</v>
      </c>
      <c r="BF141" s="456">
        <f t="shared" si="15"/>
        <v>0</v>
      </c>
      <c r="BG141" s="456">
        <f t="shared" si="16"/>
        <v>0</v>
      </c>
      <c r="BH141" s="456">
        <f t="shared" si="17"/>
        <v>0</v>
      </c>
      <c r="BI141" s="456">
        <f t="shared" si="18"/>
        <v>0</v>
      </c>
      <c r="BJ141" s="357" t="s">
        <v>108</v>
      </c>
      <c r="BK141" s="456">
        <f t="shared" si="19"/>
        <v>0</v>
      </c>
      <c r="BL141" s="357" t="s">
        <v>110</v>
      </c>
      <c r="BM141" s="455" t="s">
        <v>238</v>
      </c>
    </row>
    <row r="142" spans="2:65" s="365" customFormat="1" ht="16.5" customHeight="1" x14ac:dyDescent="0.25">
      <c r="B142" s="364"/>
      <c r="C142" s="457" t="s">
        <v>223</v>
      </c>
      <c r="D142" s="457" t="s">
        <v>259</v>
      </c>
      <c r="E142" s="458" t="s">
        <v>1953</v>
      </c>
      <c r="F142" s="459" t="s">
        <v>2103</v>
      </c>
      <c r="G142" s="460" t="s">
        <v>1957</v>
      </c>
      <c r="H142" s="461">
        <v>4</v>
      </c>
      <c r="I142" s="330">
        <v>0</v>
      </c>
      <c r="J142" s="462">
        <f t="shared" si="10"/>
        <v>0</v>
      </c>
      <c r="K142" s="463"/>
      <c r="L142" s="464"/>
      <c r="M142" s="465" t="s">
        <v>171</v>
      </c>
      <c r="N142" s="466" t="s">
        <v>185</v>
      </c>
      <c r="O142" s="453">
        <v>0</v>
      </c>
      <c r="P142" s="453">
        <f t="shared" si="11"/>
        <v>0</v>
      </c>
      <c r="Q142" s="453">
        <v>0</v>
      </c>
      <c r="R142" s="453">
        <f t="shared" si="12"/>
        <v>0</v>
      </c>
      <c r="S142" s="453">
        <v>0</v>
      </c>
      <c r="T142" s="454">
        <f t="shared" si="13"/>
        <v>0</v>
      </c>
      <c r="AR142" s="455" t="s">
        <v>115</v>
      </c>
      <c r="AT142" s="455" t="s">
        <v>259</v>
      </c>
      <c r="AU142" s="455" t="s">
        <v>109</v>
      </c>
      <c r="AY142" s="357" t="s">
        <v>217</v>
      </c>
      <c r="BE142" s="456">
        <f t="shared" si="14"/>
        <v>0</v>
      </c>
      <c r="BF142" s="456">
        <f t="shared" si="15"/>
        <v>0</v>
      </c>
      <c r="BG142" s="456">
        <f t="shared" si="16"/>
        <v>0</v>
      </c>
      <c r="BH142" s="456">
        <f t="shared" si="17"/>
        <v>0</v>
      </c>
      <c r="BI142" s="456">
        <f t="shared" si="18"/>
        <v>0</v>
      </c>
      <c r="BJ142" s="357" t="s">
        <v>108</v>
      </c>
      <c r="BK142" s="456">
        <f t="shared" si="19"/>
        <v>0</v>
      </c>
      <c r="BL142" s="357" t="s">
        <v>110</v>
      </c>
      <c r="BM142" s="455" t="s">
        <v>240</v>
      </c>
    </row>
    <row r="143" spans="2:65" s="365" customFormat="1" ht="16.5" customHeight="1" x14ac:dyDescent="0.25">
      <c r="B143" s="364"/>
      <c r="C143" s="457" t="s">
        <v>225</v>
      </c>
      <c r="D143" s="457" t="s">
        <v>259</v>
      </c>
      <c r="E143" s="458" t="s">
        <v>1955</v>
      </c>
      <c r="F143" s="459" t="s">
        <v>1923</v>
      </c>
      <c r="G143" s="460" t="s">
        <v>123</v>
      </c>
      <c r="H143" s="461">
        <v>12</v>
      </c>
      <c r="I143" s="330">
        <v>0</v>
      </c>
      <c r="J143" s="462">
        <f t="shared" si="10"/>
        <v>0</v>
      </c>
      <c r="K143" s="463"/>
      <c r="L143" s="464"/>
      <c r="M143" s="465" t="s">
        <v>171</v>
      </c>
      <c r="N143" s="466" t="s">
        <v>185</v>
      </c>
      <c r="O143" s="453">
        <v>0</v>
      </c>
      <c r="P143" s="453">
        <f t="shared" si="11"/>
        <v>0</v>
      </c>
      <c r="Q143" s="453">
        <v>0</v>
      </c>
      <c r="R143" s="453">
        <f t="shared" si="12"/>
        <v>0</v>
      </c>
      <c r="S143" s="453">
        <v>0</v>
      </c>
      <c r="T143" s="454">
        <f t="shared" si="13"/>
        <v>0</v>
      </c>
      <c r="AR143" s="455" t="s">
        <v>115</v>
      </c>
      <c r="AT143" s="455" t="s">
        <v>259</v>
      </c>
      <c r="AU143" s="455" t="s">
        <v>109</v>
      </c>
      <c r="AY143" s="357" t="s">
        <v>217</v>
      </c>
      <c r="BE143" s="456">
        <f t="shared" si="14"/>
        <v>0</v>
      </c>
      <c r="BF143" s="456">
        <f t="shared" si="15"/>
        <v>0</v>
      </c>
      <c r="BG143" s="456">
        <f t="shared" si="16"/>
        <v>0</v>
      </c>
      <c r="BH143" s="456">
        <f t="shared" si="17"/>
        <v>0</v>
      </c>
      <c r="BI143" s="456">
        <f t="shared" si="18"/>
        <v>0</v>
      </c>
      <c r="BJ143" s="357" t="s">
        <v>108</v>
      </c>
      <c r="BK143" s="456">
        <f t="shared" si="19"/>
        <v>0</v>
      </c>
      <c r="BL143" s="357" t="s">
        <v>110</v>
      </c>
      <c r="BM143" s="455" t="s">
        <v>242</v>
      </c>
    </row>
    <row r="144" spans="2:65" s="365" customFormat="1" ht="16.5" customHeight="1" x14ac:dyDescent="0.25">
      <c r="B144" s="364"/>
      <c r="C144" s="457" t="s">
        <v>226</v>
      </c>
      <c r="D144" s="457" t="s">
        <v>259</v>
      </c>
      <c r="E144" s="458" t="s">
        <v>1958</v>
      </c>
      <c r="F144" s="459" t="s">
        <v>2104</v>
      </c>
      <c r="G144" s="460" t="s">
        <v>123</v>
      </c>
      <c r="H144" s="461">
        <v>12</v>
      </c>
      <c r="I144" s="330">
        <v>0</v>
      </c>
      <c r="J144" s="462">
        <f t="shared" si="10"/>
        <v>0</v>
      </c>
      <c r="K144" s="463"/>
      <c r="L144" s="464"/>
      <c r="M144" s="465" t="s">
        <v>171</v>
      </c>
      <c r="N144" s="466" t="s">
        <v>185</v>
      </c>
      <c r="O144" s="453">
        <v>0</v>
      </c>
      <c r="P144" s="453">
        <f t="shared" si="11"/>
        <v>0</v>
      </c>
      <c r="Q144" s="453">
        <v>0</v>
      </c>
      <c r="R144" s="453">
        <f t="shared" si="12"/>
        <v>0</v>
      </c>
      <c r="S144" s="453">
        <v>0</v>
      </c>
      <c r="T144" s="454">
        <f t="shared" si="13"/>
        <v>0</v>
      </c>
      <c r="AR144" s="455" t="s">
        <v>115</v>
      </c>
      <c r="AT144" s="455" t="s">
        <v>259</v>
      </c>
      <c r="AU144" s="455" t="s">
        <v>109</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244</v>
      </c>
    </row>
    <row r="145" spans="2:65" s="365" customFormat="1" ht="16.5" customHeight="1" x14ac:dyDescent="0.25">
      <c r="B145" s="364"/>
      <c r="C145" s="445" t="s">
        <v>227</v>
      </c>
      <c r="D145" s="445" t="s">
        <v>218</v>
      </c>
      <c r="E145" s="446" t="s">
        <v>2105</v>
      </c>
      <c r="F145" s="447" t="s">
        <v>2061</v>
      </c>
      <c r="G145" s="448" t="s">
        <v>171</v>
      </c>
      <c r="H145" s="449">
        <v>1</v>
      </c>
      <c r="I145" s="329">
        <v>0</v>
      </c>
      <c r="J145" s="450">
        <f t="shared" si="10"/>
        <v>0</v>
      </c>
      <c r="K145" s="451"/>
      <c r="L145" s="364"/>
      <c r="M145" s="452" t="s">
        <v>171</v>
      </c>
      <c r="N145" s="415" t="s">
        <v>185</v>
      </c>
      <c r="O145" s="453">
        <v>0</v>
      </c>
      <c r="P145" s="453">
        <f t="shared" si="11"/>
        <v>0</v>
      </c>
      <c r="Q145" s="453">
        <v>0</v>
      </c>
      <c r="R145" s="453">
        <f t="shared" si="12"/>
        <v>0</v>
      </c>
      <c r="S145" s="453">
        <v>0</v>
      </c>
      <c r="T145" s="454">
        <f t="shared" si="13"/>
        <v>0</v>
      </c>
      <c r="AR145" s="455" t="s">
        <v>110</v>
      </c>
      <c r="AT145" s="455" t="s">
        <v>218</v>
      </c>
      <c r="AU145" s="455" t="s">
        <v>109</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v>
      </c>
    </row>
    <row r="146" spans="2:65" s="365" customFormat="1" ht="16.5" customHeight="1" x14ac:dyDescent="0.25">
      <c r="B146" s="364"/>
      <c r="C146" s="445" t="s">
        <v>228</v>
      </c>
      <c r="D146" s="445" t="s">
        <v>218</v>
      </c>
      <c r="E146" s="446" t="s">
        <v>2106</v>
      </c>
      <c r="F146" s="447" t="s">
        <v>1947</v>
      </c>
      <c r="G146" s="448" t="s">
        <v>171</v>
      </c>
      <c r="H146" s="449">
        <v>1</v>
      </c>
      <c r="I146" s="329">
        <v>0</v>
      </c>
      <c r="J146" s="450">
        <f t="shared" si="10"/>
        <v>0</v>
      </c>
      <c r="K146" s="451"/>
      <c r="L146" s="364"/>
      <c r="M146" s="452" t="s">
        <v>171</v>
      </c>
      <c r="N146" s="415" t="s">
        <v>185</v>
      </c>
      <c r="O146" s="453">
        <v>0</v>
      </c>
      <c r="P146" s="453">
        <f t="shared" si="11"/>
        <v>0</v>
      </c>
      <c r="Q146" s="453">
        <v>0</v>
      </c>
      <c r="R146" s="453">
        <f t="shared" si="12"/>
        <v>0</v>
      </c>
      <c r="S146" s="453">
        <v>0</v>
      </c>
      <c r="T146" s="454">
        <f t="shared" si="13"/>
        <v>0</v>
      </c>
      <c r="AR146" s="455" t="s">
        <v>110</v>
      </c>
      <c r="AT146" s="455" t="s">
        <v>218</v>
      </c>
      <c r="AU146" s="455" t="s">
        <v>109</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248</v>
      </c>
    </row>
    <row r="147" spans="2:65" s="434" customFormat="1" ht="25.9" customHeight="1" x14ac:dyDescent="0.2">
      <c r="B147" s="433"/>
      <c r="D147" s="435" t="s">
        <v>216</v>
      </c>
      <c r="E147" s="436" t="s">
        <v>1974</v>
      </c>
      <c r="F147" s="436" t="s">
        <v>1975</v>
      </c>
      <c r="I147" s="467"/>
      <c r="J147" s="437">
        <f>BK147</f>
        <v>0</v>
      </c>
      <c r="L147" s="433"/>
      <c r="M147" s="438"/>
      <c r="P147" s="439">
        <f>SUM(P148:P164)</f>
        <v>0</v>
      </c>
      <c r="R147" s="439">
        <f>SUM(R148:R164)</f>
        <v>0</v>
      </c>
      <c r="T147" s="440">
        <f>SUM(T148:T164)</f>
        <v>0</v>
      </c>
      <c r="AR147" s="435" t="s">
        <v>109</v>
      </c>
      <c r="AT147" s="441" t="s">
        <v>216</v>
      </c>
      <c r="AU147" s="441" t="s">
        <v>165</v>
      </c>
      <c r="AY147" s="435" t="s">
        <v>217</v>
      </c>
      <c r="BK147" s="442">
        <f>SUM(BK148:BK164)</f>
        <v>0</v>
      </c>
    </row>
    <row r="148" spans="2:65" s="365" customFormat="1" ht="21.75" customHeight="1" x14ac:dyDescent="0.25">
      <c r="B148" s="364"/>
      <c r="C148" s="445" t="s">
        <v>229</v>
      </c>
      <c r="D148" s="445" t="s">
        <v>218</v>
      </c>
      <c r="E148" s="446" t="s">
        <v>2107</v>
      </c>
      <c r="F148" s="447" t="s">
        <v>2108</v>
      </c>
      <c r="G148" s="448" t="s">
        <v>2109</v>
      </c>
      <c r="H148" s="449">
        <v>0.45</v>
      </c>
      <c r="I148" s="329">
        <v>0</v>
      </c>
      <c r="J148" s="450">
        <f t="shared" ref="J148:J164" si="20">ROUND(I148*H148,2)</f>
        <v>0</v>
      </c>
      <c r="K148" s="451"/>
      <c r="L148" s="364"/>
      <c r="M148" s="452" t="s">
        <v>171</v>
      </c>
      <c r="N148" s="415" t="s">
        <v>185</v>
      </c>
      <c r="O148" s="453">
        <v>0</v>
      </c>
      <c r="P148" s="453">
        <f t="shared" ref="P148:P164" si="21">O148*H148</f>
        <v>0</v>
      </c>
      <c r="Q148" s="453">
        <v>0</v>
      </c>
      <c r="R148" s="453">
        <f t="shared" ref="R148:R164" si="22">Q148*H148</f>
        <v>0</v>
      </c>
      <c r="S148" s="453">
        <v>0</v>
      </c>
      <c r="T148" s="454">
        <f t="shared" ref="T148:T164" si="23">S148*H148</f>
        <v>0</v>
      </c>
      <c r="AR148" s="455" t="s">
        <v>110</v>
      </c>
      <c r="AT148" s="455" t="s">
        <v>218</v>
      </c>
      <c r="AU148" s="455" t="s">
        <v>109</v>
      </c>
      <c r="AY148" s="357" t="s">
        <v>217</v>
      </c>
      <c r="BE148" s="456">
        <f t="shared" ref="BE148:BE164" si="24">IF(N148="základná",J148,0)</f>
        <v>0</v>
      </c>
      <c r="BF148" s="456">
        <f t="shared" ref="BF148:BF164" si="25">IF(N148="znížená",J148,0)</f>
        <v>0</v>
      </c>
      <c r="BG148" s="456">
        <f t="shared" ref="BG148:BG164" si="26">IF(N148="zákl. prenesená",J148,0)</f>
        <v>0</v>
      </c>
      <c r="BH148" s="456">
        <f t="shared" ref="BH148:BH164" si="27">IF(N148="zníž. prenesená",J148,0)</f>
        <v>0</v>
      </c>
      <c r="BI148" s="456">
        <f t="shared" ref="BI148:BI164" si="28">IF(N148="nulová",J148,0)</f>
        <v>0</v>
      </c>
      <c r="BJ148" s="357" t="s">
        <v>108</v>
      </c>
      <c r="BK148" s="456">
        <f t="shared" ref="BK148:BK164" si="29">ROUND(I148*H148,2)</f>
        <v>0</v>
      </c>
      <c r="BL148" s="357" t="s">
        <v>110</v>
      </c>
      <c r="BM148" s="455" t="s">
        <v>252</v>
      </c>
    </row>
    <row r="149" spans="2:65" s="365" customFormat="1" ht="16.5" customHeight="1" x14ac:dyDescent="0.25">
      <c r="B149" s="364"/>
      <c r="C149" s="445" t="s">
        <v>231</v>
      </c>
      <c r="D149" s="445" t="s">
        <v>218</v>
      </c>
      <c r="E149" s="446" t="s">
        <v>2110</v>
      </c>
      <c r="F149" s="447" t="s">
        <v>2111</v>
      </c>
      <c r="G149" s="448" t="s">
        <v>113</v>
      </c>
      <c r="H149" s="449">
        <v>440</v>
      </c>
      <c r="I149" s="329">
        <v>0</v>
      </c>
      <c r="J149" s="450">
        <f t="shared" si="20"/>
        <v>0</v>
      </c>
      <c r="K149" s="451"/>
      <c r="L149" s="364"/>
      <c r="M149" s="452" t="s">
        <v>171</v>
      </c>
      <c r="N149" s="415" t="s">
        <v>185</v>
      </c>
      <c r="O149" s="453">
        <v>0</v>
      </c>
      <c r="P149" s="453">
        <f t="shared" si="21"/>
        <v>0</v>
      </c>
      <c r="Q149" s="453">
        <v>0</v>
      </c>
      <c r="R149" s="453">
        <f t="shared" si="22"/>
        <v>0</v>
      </c>
      <c r="S149" s="453">
        <v>0</v>
      </c>
      <c r="T149" s="454">
        <f t="shared" si="23"/>
        <v>0</v>
      </c>
      <c r="AR149" s="455" t="s">
        <v>110</v>
      </c>
      <c r="AT149" s="455" t="s">
        <v>218</v>
      </c>
      <c r="AU149" s="455" t="s">
        <v>109</v>
      </c>
      <c r="AY149" s="357" t="s">
        <v>217</v>
      </c>
      <c r="BE149" s="456">
        <f t="shared" si="24"/>
        <v>0</v>
      </c>
      <c r="BF149" s="456">
        <f t="shared" si="25"/>
        <v>0</v>
      </c>
      <c r="BG149" s="456">
        <f t="shared" si="26"/>
        <v>0</v>
      </c>
      <c r="BH149" s="456">
        <f t="shared" si="27"/>
        <v>0</v>
      </c>
      <c r="BI149" s="456">
        <f t="shared" si="28"/>
        <v>0</v>
      </c>
      <c r="BJ149" s="357" t="s">
        <v>108</v>
      </c>
      <c r="BK149" s="456">
        <f t="shared" si="29"/>
        <v>0</v>
      </c>
      <c r="BL149" s="357" t="s">
        <v>110</v>
      </c>
      <c r="BM149" s="455" t="s">
        <v>254</v>
      </c>
    </row>
    <row r="150" spans="2:65" s="365" customFormat="1" ht="16.5" customHeight="1" x14ac:dyDescent="0.25">
      <c r="B150" s="364"/>
      <c r="C150" s="445" t="s">
        <v>232</v>
      </c>
      <c r="D150" s="445" t="s">
        <v>218</v>
      </c>
      <c r="E150" s="446" t="s">
        <v>2112</v>
      </c>
      <c r="F150" s="447" t="s">
        <v>2113</v>
      </c>
      <c r="G150" s="448" t="s">
        <v>123</v>
      </c>
      <c r="H150" s="449">
        <v>4</v>
      </c>
      <c r="I150" s="329">
        <v>0</v>
      </c>
      <c r="J150" s="450">
        <f t="shared" si="20"/>
        <v>0</v>
      </c>
      <c r="K150" s="451"/>
      <c r="L150" s="364"/>
      <c r="M150" s="452" t="s">
        <v>171</v>
      </c>
      <c r="N150" s="415" t="s">
        <v>185</v>
      </c>
      <c r="O150" s="453">
        <v>0</v>
      </c>
      <c r="P150" s="453">
        <f t="shared" si="21"/>
        <v>0</v>
      </c>
      <c r="Q150" s="453">
        <v>0</v>
      </c>
      <c r="R150" s="453">
        <f t="shared" si="22"/>
        <v>0</v>
      </c>
      <c r="S150" s="453">
        <v>0</v>
      </c>
      <c r="T150" s="454">
        <f t="shared" si="23"/>
        <v>0</v>
      </c>
      <c r="AR150" s="455" t="s">
        <v>110</v>
      </c>
      <c r="AT150" s="455" t="s">
        <v>218</v>
      </c>
      <c r="AU150" s="455" t="s">
        <v>109</v>
      </c>
      <c r="AY150" s="357" t="s">
        <v>217</v>
      </c>
      <c r="BE150" s="456">
        <f t="shared" si="24"/>
        <v>0</v>
      </c>
      <c r="BF150" s="456">
        <f t="shared" si="25"/>
        <v>0</v>
      </c>
      <c r="BG150" s="456">
        <f t="shared" si="26"/>
        <v>0</v>
      </c>
      <c r="BH150" s="456">
        <f t="shared" si="27"/>
        <v>0</v>
      </c>
      <c r="BI150" s="456">
        <f t="shared" si="28"/>
        <v>0</v>
      </c>
      <c r="BJ150" s="357" t="s">
        <v>108</v>
      </c>
      <c r="BK150" s="456">
        <f t="shared" si="29"/>
        <v>0</v>
      </c>
      <c r="BL150" s="357" t="s">
        <v>110</v>
      </c>
      <c r="BM150" s="455" t="s">
        <v>256</v>
      </c>
    </row>
    <row r="151" spans="2:65" s="365" customFormat="1" ht="24.2" customHeight="1" x14ac:dyDescent="0.25">
      <c r="B151" s="364"/>
      <c r="C151" s="445" t="s">
        <v>234</v>
      </c>
      <c r="D151" s="445" t="s">
        <v>218</v>
      </c>
      <c r="E151" s="446" t="s">
        <v>2114</v>
      </c>
      <c r="F151" s="447" t="s">
        <v>2115</v>
      </c>
      <c r="G151" s="448" t="s">
        <v>113</v>
      </c>
      <c r="H151" s="449">
        <v>440</v>
      </c>
      <c r="I151" s="329">
        <v>0</v>
      </c>
      <c r="J151" s="450">
        <f t="shared" si="20"/>
        <v>0</v>
      </c>
      <c r="K151" s="451"/>
      <c r="L151" s="364"/>
      <c r="M151" s="452" t="s">
        <v>171</v>
      </c>
      <c r="N151" s="415" t="s">
        <v>185</v>
      </c>
      <c r="O151" s="453">
        <v>0</v>
      </c>
      <c r="P151" s="453">
        <f t="shared" si="21"/>
        <v>0</v>
      </c>
      <c r="Q151" s="453">
        <v>0</v>
      </c>
      <c r="R151" s="453">
        <f t="shared" si="22"/>
        <v>0</v>
      </c>
      <c r="S151" s="453">
        <v>0</v>
      </c>
      <c r="T151" s="454">
        <f t="shared" si="23"/>
        <v>0</v>
      </c>
      <c r="AR151" s="455" t="s">
        <v>110</v>
      </c>
      <c r="AT151" s="455" t="s">
        <v>218</v>
      </c>
      <c r="AU151" s="455" t="s">
        <v>109</v>
      </c>
      <c r="AY151" s="357" t="s">
        <v>217</v>
      </c>
      <c r="BE151" s="456">
        <f t="shared" si="24"/>
        <v>0</v>
      </c>
      <c r="BF151" s="456">
        <f t="shared" si="25"/>
        <v>0</v>
      </c>
      <c r="BG151" s="456">
        <f t="shared" si="26"/>
        <v>0</v>
      </c>
      <c r="BH151" s="456">
        <f t="shared" si="27"/>
        <v>0</v>
      </c>
      <c r="BI151" s="456">
        <f t="shared" si="28"/>
        <v>0</v>
      </c>
      <c r="BJ151" s="357" t="s">
        <v>108</v>
      </c>
      <c r="BK151" s="456">
        <f t="shared" si="29"/>
        <v>0</v>
      </c>
      <c r="BL151" s="357" t="s">
        <v>110</v>
      </c>
      <c r="BM151" s="455" t="s">
        <v>258</v>
      </c>
    </row>
    <row r="152" spans="2:65" s="365" customFormat="1" ht="16.5" customHeight="1" x14ac:dyDescent="0.25">
      <c r="B152" s="364"/>
      <c r="C152" s="445" t="s">
        <v>235</v>
      </c>
      <c r="D152" s="445" t="s">
        <v>218</v>
      </c>
      <c r="E152" s="446" t="s">
        <v>1990</v>
      </c>
      <c r="F152" s="447" t="s">
        <v>2070</v>
      </c>
      <c r="G152" s="448" t="s">
        <v>113</v>
      </c>
      <c r="H152" s="449">
        <v>440</v>
      </c>
      <c r="I152" s="329">
        <v>0</v>
      </c>
      <c r="J152" s="450">
        <f t="shared" si="20"/>
        <v>0</v>
      </c>
      <c r="K152" s="451"/>
      <c r="L152" s="364"/>
      <c r="M152" s="452" t="s">
        <v>171</v>
      </c>
      <c r="N152" s="415" t="s">
        <v>185</v>
      </c>
      <c r="O152" s="453">
        <v>0</v>
      </c>
      <c r="P152" s="453">
        <f t="shared" si="21"/>
        <v>0</v>
      </c>
      <c r="Q152" s="453">
        <v>0</v>
      </c>
      <c r="R152" s="453">
        <f t="shared" si="22"/>
        <v>0</v>
      </c>
      <c r="S152" s="453">
        <v>0</v>
      </c>
      <c r="T152" s="454">
        <f t="shared" si="23"/>
        <v>0</v>
      </c>
      <c r="AR152" s="455" t="s">
        <v>110</v>
      </c>
      <c r="AT152" s="455" t="s">
        <v>218</v>
      </c>
      <c r="AU152" s="455" t="s">
        <v>109</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262</v>
      </c>
    </row>
    <row r="153" spans="2:65" s="365" customFormat="1" ht="16.5" customHeight="1" x14ac:dyDescent="0.25">
      <c r="B153" s="364"/>
      <c r="C153" s="445" t="s">
        <v>236</v>
      </c>
      <c r="D153" s="445" t="s">
        <v>218</v>
      </c>
      <c r="E153" s="446" t="s">
        <v>2116</v>
      </c>
      <c r="F153" s="447" t="s">
        <v>2117</v>
      </c>
      <c r="G153" s="448" t="s">
        <v>123</v>
      </c>
      <c r="H153" s="449">
        <v>4</v>
      </c>
      <c r="I153" s="329">
        <v>0</v>
      </c>
      <c r="J153" s="450">
        <f t="shared" si="20"/>
        <v>0</v>
      </c>
      <c r="K153" s="451"/>
      <c r="L153" s="364"/>
      <c r="M153" s="452" t="s">
        <v>171</v>
      </c>
      <c r="N153" s="415" t="s">
        <v>185</v>
      </c>
      <c r="O153" s="453">
        <v>0</v>
      </c>
      <c r="P153" s="453">
        <f t="shared" si="21"/>
        <v>0</v>
      </c>
      <c r="Q153" s="453">
        <v>0</v>
      </c>
      <c r="R153" s="453">
        <f t="shared" si="22"/>
        <v>0</v>
      </c>
      <c r="S153" s="453">
        <v>0</v>
      </c>
      <c r="T153" s="454">
        <f t="shared" si="23"/>
        <v>0</v>
      </c>
      <c r="AR153" s="455" t="s">
        <v>110</v>
      </c>
      <c r="AT153" s="455" t="s">
        <v>218</v>
      </c>
      <c r="AU153" s="455" t="s">
        <v>109</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264</v>
      </c>
    </row>
    <row r="154" spans="2:65" s="365" customFormat="1" ht="21.75" customHeight="1" x14ac:dyDescent="0.25">
      <c r="B154" s="364"/>
      <c r="C154" s="445" t="s">
        <v>237</v>
      </c>
      <c r="D154" s="445" t="s">
        <v>218</v>
      </c>
      <c r="E154" s="446" t="s">
        <v>2118</v>
      </c>
      <c r="F154" s="447" t="s">
        <v>2119</v>
      </c>
      <c r="G154" s="448" t="s">
        <v>113</v>
      </c>
      <c r="H154" s="449">
        <v>60</v>
      </c>
      <c r="I154" s="329">
        <v>0</v>
      </c>
      <c r="J154" s="450">
        <f t="shared" si="20"/>
        <v>0</v>
      </c>
      <c r="K154" s="451"/>
      <c r="L154" s="364"/>
      <c r="M154" s="452" t="s">
        <v>171</v>
      </c>
      <c r="N154" s="415" t="s">
        <v>185</v>
      </c>
      <c r="O154" s="453">
        <v>0</v>
      </c>
      <c r="P154" s="453">
        <f t="shared" si="21"/>
        <v>0</v>
      </c>
      <c r="Q154" s="453">
        <v>0</v>
      </c>
      <c r="R154" s="453">
        <f t="shared" si="22"/>
        <v>0</v>
      </c>
      <c r="S154" s="453">
        <v>0</v>
      </c>
      <c r="T154" s="454">
        <f t="shared" si="23"/>
        <v>0</v>
      </c>
      <c r="AR154" s="455" t="s">
        <v>110</v>
      </c>
      <c r="AT154" s="455" t="s">
        <v>218</v>
      </c>
      <c r="AU154" s="455" t="s">
        <v>109</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266</v>
      </c>
    </row>
    <row r="155" spans="2:65" s="365" customFormat="1" ht="16.5" customHeight="1" x14ac:dyDescent="0.25">
      <c r="B155" s="364"/>
      <c r="C155" s="445" t="s">
        <v>238</v>
      </c>
      <c r="D155" s="445" t="s">
        <v>218</v>
      </c>
      <c r="E155" s="446" t="s">
        <v>2120</v>
      </c>
      <c r="F155" s="447" t="s">
        <v>2121</v>
      </c>
      <c r="G155" s="448" t="s">
        <v>113</v>
      </c>
      <c r="H155" s="449">
        <v>440</v>
      </c>
      <c r="I155" s="329">
        <v>0</v>
      </c>
      <c r="J155" s="450">
        <f t="shared" si="20"/>
        <v>0</v>
      </c>
      <c r="K155" s="451"/>
      <c r="L155" s="364"/>
      <c r="M155" s="452" t="s">
        <v>171</v>
      </c>
      <c r="N155" s="415" t="s">
        <v>185</v>
      </c>
      <c r="O155" s="453">
        <v>0</v>
      </c>
      <c r="P155" s="453">
        <f t="shared" si="21"/>
        <v>0</v>
      </c>
      <c r="Q155" s="453">
        <v>0</v>
      </c>
      <c r="R155" s="453">
        <f t="shared" si="22"/>
        <v>0</v>
      </c>
      <c r="S155" s="453">
        <v>0</v>
      </c>
      <c r="T155" s="454">
        <f t="shared" si="23"/>
        <v>0</v>
      </c>
      <c r="AR155" s="455" t="s">
        <v>110</v>
      </c>
      <c r="AT155" s="455" t="s">
        <v>218</v>
      </c>
      <c r="AU155" s="455" t="s">
        <v>109</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577</v>
      </c>
    </row>
    <row r="156" spans="2:65" s="365" customFormat="1" ht="16.5" customHeight="1" x14ac:dyDescent="0.25">
      <c r="B156" s="364"/>
      <c r="C156" s="445" t="s">
        <v>240</v>
      </c>
      <c r="D156" s="445" t="s">
        <v>218</v>
      </c>
      <c r="E156" s="446" t="s">
        <v>2122</v>
      </c>
      <c r="F156" s="447" t="s">
        <v>2123</v>
      </c>
      <c r="G156" s="448" t="s">
        <v>111</v>
      </c>
      <c r="H156" s="449">
        <v>300</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110</v>
      </c>
      <c r="AT156" s="455" t="s">
        <v>218</v>
      </c>
      <c r="AU156" s="455" t="s">
        <v>109</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593</v>
      </c>
    </row>
    <row r="157" spans="2:65" s="365" customFormat="1" ht="16.5" customHeight="1" x14ac:dyDescent="0.25">
      <c r="B157" s="364"/>
      <c r="C157" s="457" t="s">
        <v>241</v>
      </c>
      <c r="D157" s="457" t="s">
        <v>259</v>
      </c>
      <c r="E157" s="458" t="s">
        <v>1960</v>
      </c>
      <c r="F157" s="459" t="s">
        <v>1993</v>
      </c>
      <c r="G157" s="460" t="s">
        <v>113</v>
      </c>
      <c r="H157" s="461">
        <v>440</v>
      </c>
      <c r="I157" s="330">
        <v>0</v>
      </c>
      <c r="J157" s="462">
        <f t="shared" si="20"/>
        <v>0</v>
      </c>
      <c r="K157" s="463"/>
      <c r="L157" s="464"/>
      <c r="M157" s="465" t="s">
        <v>171</v>
      </c>
      <c r="N157" s="466" t="s">
        <v>185</v>
      </c>
      <c r="O157" s="453">
        <v>0</v>
      </c>
      <c r="P157" s="453">
        <f t="shared" si="21"/>
        <v>0</v>
      </c>
      <c r="Q157" s="453">
        <v>0</v>
      </c>
      <c r="R157" s="453">
        <f t="shared" si="22"/>
        <v>0</v>
      </c>
      <c r="S157" s="453">
        <v>0</v>
      </c>
      <c r="T157" s="454">
        <f t="shared" si="23"/>
        <v>0</v>
      </c>
      <c r="AR157" s="455" t="s">
        <v>115</v>
      </c>
      <c r="AT157" s="455" t="s">
        <v>259</v>
      </c>
      <c r="AU157" s="455" t="s">
        <v>109</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601</v>
      </c>
    </row>
    <row r="158" spans="2:65" s="365" customFormat="1" ht="16.5" customHeight="1" x14ac:dyDescent="0.25">
      <c r="B158" s="364"/>
      <c r="C158" s="457" t="s">
        <v>242</v>
      </c>
      <c r="D158" s="457" t="s">
        <v>259</v>
      </c>
      <c r="E158" s="458" t="s">
        <v>1962</v>
      </c>
      <c r="F158" s="459" t="s">
        <v>2003</v>
      </c>
      <c r="G158" s="460" t="s">
        <v>112</v>
      </c>
      <c r="H158" s="461">
        <v>28.6</v>
      </c>
      <c r="I158" s="330">
        <v>0</v>
      </c>
      <c r="J158" s="462">
        <f t="shared" si="20"/>
        <v>0</v>
      </c>
      <c r="K158" s="463"/>
      <c r="L158" s="464"/>
      <c r="M158" s="465" t="s">
        <v>171</v>
      </c>
      <c r="N158" s="466" t="s">
        <v>185</v>
      </c>
      <c r="O158" s="453">
        <v>0</v>
      </c>
      <c r="P158" s="453">
        <f t="shared" si="21"/>
        <v>0</v>
      </c>
      <c r="Q158" s="453">
        <v>0</v>
      </c>
      <c r="R158" s="453">
        <f t="shared" si="22"/>
        <v>0</v>
      </c>
      <c r="S158" s="453">
        <v>0</v>
      </c>
      <c r="T158" s="454">
        <f t="shared" si="23"/>
        <v>0</v>
      </c>
      <c r="AR158" s="455" t="s">
        <v>115</v>
      </c>
      <c r="AT158" s="455" t="s">
        <v>259</v>
      </c>
      <c r="AU158" s="455" t="s">
        <v>109</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609</v>
      </c>
    </row>
    <row r="159" spans="2:65" s="365" customFormat="1" ht="16.5" customHeight="1" x14ac:dyDescent="0.25">
      <c r="B159" s="364"/>
      <c r="C159" s="457" t="s">
        <v>243</v>
      </c>
      <c r="D159" s="457" t="s">
        <v>259</v>
      </c>
      <c r="E159" s="458" t="s">
        <v>1964</v>
      </c>
      <c r="F159" s="459" t="s">
        <v>2124</v>
      </c>
      <c r="G159" s="460" t="s">
        <v>123</v>
      </c>
      <c r="H159" s="461">
        <v>440</v>
      </c>
      <c r="I159" s="330">
        <v>0</v>
      </c>
      <c r="J159" s="462">
        <f t="shared" si="20"/>
        <v>0</v>
      </c>
      <c r="K159" s="463"/>
      <c r="L159" s="464"/>
      <c r="M159" s="465" t="s">
        <v>171</v>
      </c>
      <c r="N159" s="466" t="s">
        <v>185</v>
      </c>
      <c r="O159" s="453">
        <v>0</v>
      </c>
      <c r="P159" s="453">
        <f t="shared" si="21"/>
        <v>0</v>
      </c>
      <c r="Q159" s="453">
        <v>0</v>
      </c>
      <c r="R159" s="453">
        <f t="shared" si="22"/>
        <v>0</v>
      </c>
      <c r="S159" s="453">
        <v>0</v>
      </c>
      <c r="T159" s="454">
        <f t="shared" si="23"/>
        <v>0</v>
      </c>
      <c r="AR159" s="455" t="s">
        <v>115</v>
      </c>
      <c r="AT159" s="455" t="s">
        <v>259</v>
      </c>
      <c r="AU159" s="455" t="s">
        <v>109</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617</v>
      </c>
    </row>
    <row r="160" spans="2:65" s="365" customFormat="1" ht="16.5" customHeight="1" x14ac:dyDescent="0.25">
      <c r="B160" s="364"/>
      <c r="C160" s="457" t="s">
        <v>244</v>
      </c>
      <c r="D160" s="457" t="s">
        <v>259</v>
      </c>
      <c r="E160" s="458" t="s">
        <v>1966</v>
      </c>
      <c r="F160" s="459" t="s">
        <v>2005</v>
      </c>
      <c r="G160" s="460" t="s">
        <v>114</v>
      </c>
      <c r="H160" s="461">
        <v>0.4</v>
      </c>
      <c r="I160" s="330">
        <v>0</v>
      </c>
      <c r="J160" s="462">
        <f t="shared" si="20"/>
        <v>0</v>
      </c>
      <c r="K160" s="463"/>
      <c r="L160" s="464"/>
      <c r="M160" s="465" t="s">
        <v>171</v>
      </c>
      <c r="N160" s="466" t="s">
        <v>185</v>
      </c>
      <c r="O160" s="453">
        <v>0</v>
      </c>
      <c r="P160" s="453">
        <f t="shared" si="21"/>
        <v>0</v>
      </c>
      <c r="Q160" s="453">
        <v>0</v>
      </c>
      <c r="R160" s="453">
        <f t="shared" si="22"/>
        <v>0</v>
      </c>
      <c r="S160" s="453">
        <v>0</v>
      </c>
      <c r="T160" s="454">
        <f t="shared" si="23"/>
        <v>0</v>
      </c>
      <c r="AR160" s="455" t="s">
        <v>115</v>
      </c>
      <c r="AT160" s="455" t="s">
        <v>259</v>
      </c>
      <c r="AU160" s="455" t="s">
        <v>109</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625</v>
      </c>
    </row>
    <row r="161" spans="2:65" s="365" customFormat="1" ht="16.5" customHeight="1" x14ac:dyDescent="0.25">
      <c r="B161" s="364"/>
      <c r="C161" s="457" t="s">
        <v>245</v>
      </c>
      <c r="D161" s="457" t="s">
        <v>259</v>
      </c>
      <c r="E161" s="458" t="s">
        <v>1968</v>
      </c>
      <c r="F161" s="459" t="s">
        <v>2125</v>
      </c>
      <c r="G161" s="460" t="s">
        <v>113</v>
      </c>
      <c r="H161" s="461">
        <v>440</v>
      </c>
      <c r="I161" s="330">
        <v>0</v>
      </c>
      <c r="J161" s="462">
        <f t="shared" si="20"/>
        <v>0</v>
      </c>
      <c r="K161" s="463"/>
      <c r="L161" s="464"/>
      <c r="M161" s="465" t="s">
        <v>171</v>
      </c>
      <c r="N161" s="466" t="s">
        <v>185</v>
      </c>
      <c r="O161" s="453">
        <v>0</v>
      </c>
      <c r="P161" s="453">
        <f t="shared" si="21"/>
        <v>0</v>
      </c>
      <c r="Q161" s="453">
        <v>0</v>
      </c>
      <c r="R161" s="453">
        <f t="shared" si="22"/>
        <v>0</v>
      </c>
      <c r="S161" s="453">
        <v>0</v>
      </c>
      <c r="T161" s="454">
        <f t="shared" si="23"/>
        <v>0</v>
      </c>
      <c r="AR161" s="455" t="s">
        <v>115</v>
      </c>
      <c r="AT161" s="455" t="s">
        <v>259</v>
      </c>
      <c r="AU161" s="455" t="s">
        <v>109</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634</v>
      </c>
    </row>
    <row r="162" spans="2:65" s="365" customFormat="1" ht="16.5" customHeight="1" x14ac:dyDescent="0.25">
      <c r="B162" s="364"/>
      <c r="C162" s="445" t="s">
        <v>246</v>
      </c>
      <c r="D162" s="445" t="s">
        <v>218</v>
      </c>
      <c r="E162" s="446" t="s">
        <v>2126</v>
      </c>
      <c r="F162" s="447" t="s">
        <v>2127</v>
      </c>
      <c r="G162" s="448" t="s">
        <v>123</v>
      </c>
      <c r="H162" s="449">
        <v>4</v>
      </c>
      <c r="I162" s="329">
        <v>0</v>
      </c>
      <c r="J162" s="450">
        <f t="shared" si="20"/>
        <v>0</v>
      </c>
      <c r="K162" s="451"/>
      <c r="L162" s="364"/>
      <c r="M162" s="452" t="s">
        <v>171</v>
      </c>
      <c r="N162" s="415" t="s">
        <v>185</v>
      </c>
      <c r="O162" s="453">
        <v>0</v>
      </c>
      <c r="P162" s="453">
        <f t="shared" si="21"/>
        <v>0</v>
      </c>
      <c r="Q162" s="453">
        <v>0</v>
      </c>
      <c r="R162" s="453">
        <f t="shared" si="22"/>
        <v>0</v>
      </c>
      <c r="S162" s="453">
        <v>0</v>
      </c>
      <c r="T162" s="454">
        <f t="shared" si="23"/>
        <v>0</v>
      </c>
      <c r="AR162" s="455" t="s">
        <v>110</v>
      </c>
      <c r="AT162" s="455" t="s">
        <v>218</v>
      </c>
      <c r="AU162" s="455" t="s">
        <v>109</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640</v>
      </c>
    </row>
    <row r="163" spans="2:65" s="365" customFormat="1" ht="16.5" customHeight="1" x14ac:dyDescent="0.25">
      <c r="B163" s="364"/>
      <c r="C163" s="457" t="s">
        <v>247</v>
      </c>
      <c r="D163" s="457" t="s">
        <v>259</v>
      </c>
      <c r="E163" s="458" t="s">
        <v>1969</v>
      </c>
      <c r="F163" s="459" t="s">
        <v>2128</v>
      </c>
      <c r="G163" s="460" t="s">
        <v>113</v>
      </c>
      <c r="H163" s="461">
        <v>40</v>
      </c>
      <c r="I163" s="330">
        <v>0</v>
      </c>
      <c r="J163" s="462">
        <f t="shared" si="20"/>
        <v>0</v>
      </c>
      <c r="K163" s="463"/>
      <c r="L163" s="464"/>
      <c r="M163" s="465" t="s">
        <v>171</v>
      </c>
      <c r="N163" s="466" t="s">
        <v>185</v>
      </c>
      <c r="O163" s="453">
        <v>0</v>
      </c>
      <c r="P163" s="453">
        <f t="shared" si="21"/>
        <v>0</v>
      </c>
      <c r="Q163" s="453">
        <v>0</v>
      </c>
      <c r="R163" s="453">
        <f t="shared" si="22"/>
        <v>0</v>
      </c>
      <c r="S163" s="453">
        <v>0</v>
      </c>
      <c r="T163" s="454">
        <f t="shared" si="23"/>
        <v>0</v>
      </c>
      <c r="AR163" s="455" t="s">
        <v>115</v>
      </c>
      <c r="AT163" s="455" t="s">
        <v>259</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645</v>
      </c>
    </row>
    <row r="164" spans="2:65" s="365" customFormat="1" ht="16.5" customHeight="1" x14ac:dyDescent="0.25">
      <c r="B164" s="364"/>
      <c r="C164" s="457" t="s">
        <v>248</v>
      </c>
      <c r="D164" s="457" t="s">
        <v>259</v>
      </c>
      <c r="E164" s="458" t="s">
        <v>1970</v>
      </c>
      <c r="F164" s="459" t="s">
        <v>2129</v>
      </c>
      <c r="G164" s="460" t="s">
        <v>113</v>
      </c>
      <c r="H164" s="461">
        <v>20</v>
      </c>
      <c r="I164" s="330">
        <v>0</v>
      </c>
      <c r="J164" s="462">
        <f t="shared" si="20"/>
        <v>0</v>
      </c>
      <c r="K164" s="463"/>
      <c r="L164" s="464"/>
      <c r="M164" s="465" t="s">
        <v>171</v>
      </c>
      <c r="N164" s="466" t="s">
        <v>185</v>
      </c>
      <c r="O164" s="453">
        <v>0</v>
      </c>
      <c r="P164" s="453">
        <f t="shared" si="21"/>
        <v>0</v>
      </c>
      <c r="Q164" s="453">
        <v>0</v>
      </c>
      <c r="R164" s="453">
        <f t="shared" si="22"/>
        <v>0</v>
      </c>
      <c r="S164" s="453">
        <v>0</v>
      </c>
      <c r="T164" s="454">
        <f t="shared" si="23"/>
        <v>0</v>
      </c>
      <c r="AR164" s="455" t="s">
        <v>115</v>
      </c>
      <c r="AT164" s="455" t="s">
        <v>259</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655</v>
      </c>
    </row>
    <row r="165" spans="2:65" s="434" customFormat="1" ht="25.9" customHeight="1" x14ac:dyDescent="0.2">
      <c r="B165" s="433"/>
      <c r="D165" s="435" t="s">
        <v>216</v>
      </c>
      <c r="E165" s="436" t="s">
        <v>2006</v>
      </c>
      <c r="F165" s="436" t="s">
        <v>2007</v>
      </c>
      <c r="I165" s="467"/>
      <c r="J165" s="437">
        <f>BK165</f>
        <v>0</v>
      </c>
      <c r="L165" s="433"/>
      <c r="M165" s="438"/>
      <c r="P165" s="439">
        <f>P166</f>
        <v>0</v>
      </c>
      <c r="R165" s="439">
        <f>R166</f>
        <v>0</v>
      </c>
      <c r="T165" s="440">
        <f>T166</f>
        <v>0</v>
      </c>
      <c r="AR165" s="435" t="s">
        <v>109</v>
      </c>
      <c r="AT165" s="441" t="s">
        <v>216</v>
      </c>
      <c r="AU165" s="441" t="s">
        <v>165</v>
      </c>
      <c r="AY165" s="435" t="s">
        <v>217</v>
      </c>
      <c r="BK165" s="442">
        <f>BK166</f>
        <v>0</v>
      </c>
    </row>
    <row r="166" spans="2:65" s="365" customFormat="1" ht="16.5" customHeight="1" x14ac:dyDescent="0.25">
      <c r="B166" s="364"/>
      <c r="C166" s="445" t="s">
        <v>249</v>
      </c>
      <c r="D166" s="445" t="s">
        <v>218</v>
      </c>
      <c r="E166" s="446" t="s">
        <v>2008</v>
      </c>
      <c r="F166" s="447" t="s">
        <v>2009</v>
      </c>
      <c r="G166" s="448" t="s">
        <v>2010</v>
      </c>
      <c r="H166" s="449">
        <v>60</v>
      </c>
      <c r="I166" s="329">
        <v>0</v>
      </c>
      <c r="J166" s="450">
        <f>ROUND(I166*H166,2)</f>
        <v>0</v>
      </c>
      <c r="K166" s="451"/>
      <c r="L166" s="364"/>
      <c r="M166" s="452" t="s">
        <v>171</v>
      </c>
      <c r="N166" s="415" t="s">
        <v>185</v>
      </c>
      <c r="O166" s="453">
        <v>0</v>
      </c>
      <c r="P166" s="453">
        <f>O166*H166</f>
        <v>0</v>
      </c>
      <c r="Q166" s="453">
        <v>0</v>
      </c>
      <c r="R166" s="453">
        <f>Q166*H166</f>
        <v>0</v>
      </c>
      <c r="S166" s="453">
        <v>0</v>
      </c>
      <c r="T166" s="454">
        <f>S166*H166</f>
        <v>0</v>
      </c>
      <c r="AR166" s="455" t="s">
        <v>110</v>
      </c>
      <c r="AT166" s="455" t="s">
        <v>218</v>
      </c>
      <c r="AU166" s="455" t="s">
        <v>109</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674</v>
      </c>
    </row>
    <row r="167" spans="2:65" s="434" customFormat="1" ht="25.9" customHeight="1" x14ac:dyDescent="0.2">
      <c r="B167" s="433"/>
      <c r="D167" s="435" t="s">
        <v>216</v>
      </c>
      <c r="E167" s="436" t="s">
        <v>2011</v>
      </c>
      <c r="F167" s="436" t="s">
        <v>2012</v>
      </c>
      <c r="I167" s="467"/>
      <c r="J167" s="437">
        <f>BK167</f>
        <v>0</v>
      </c>
      <c r="L167" s="433"/>
      <c r="M167" s="438"/>
      <c r="P167" s="439">
        <f>SUM(P168:P175)</f>
        <v>0</v>
      </c>
      <c r="R167" s="439">
        <f>SUM(R168:R175)</f>
        <v>0</v>
      </c>
      <c r="T167" s="440">
        <f>SUM(T168:T175)</f>
        <v>0</v>
      </c>
      <c r="AR167" s="435" t="s">
        <v>109</v>
      </c>
      <c r="AT167" s="441" t="s">
        <v>216</v>
      </c>
      <c r="AU167" s="441" t="s">
        <v>165</v>
      </c>
      <c r="AY167" s="435" t="s">
        <v>217</v>
      </c>
      <c r="BK167" s="442">
        <f>SUM(BK168:BK175)</f>
        <v>0</v>
      </c>
    </row>
    <row r="168" spans="2:65" s="365" customFormat="1" ht="16.5" customHeight="1" x14ac:dyDescent="0.25">
      <c r="B168" s="364"/>
      <c r="C168" s="445" t="s">
        <v>250</v>
      </c>
      <c r="D168" s="445" t="s">
        <v>218</v>
      </c>
      <c r="E168" s="446" t="s">
        <v>2130</v>
      </c>
      <c r="F168" s="447" t="s">
        <v>2131</v>
      </c>
      <c r="G168" s="448" t="s">
        <v>2010</v>
      </c>
      <c r="H168" s="449">
        <v>8</v>
      </c>
      <c r="I168" s="329">
        <v>0</v>
      </c>
      <c r="J168" s="450">
        <f t="shared" ref="J168:J175" si="30">ROUND(I168*H168,2)</f>
        <v>0</v>
      </c>
      <c r="K168" s="451"/>
      <c r="L168" s="364"/>
      <c r="M168" s="452" t="s">
        <v>171</v>
      </c>
      <c r="N168" s="415" t="s">
        <v>185</v>
      </c>
      <c r="O168" s="453">
        <v>0</v>
      </c>
      <c r="P168" s="453">
        <f t="shared" ref="P168:P175" si="31">O168*H168</f>
        <v>0</v>
      </c>
      <c r="Q168" s="453">
        <v>0</v>
      </c>
      <c r="R168" s="453">
        <f t="shared" ref="R168:R175" si="32">Q168*H168</f>
        <v>0</v>
      </c>
      <c r="S168" s="453">
        <v>0</v>
      </c>
      <c r="T168" s="454">
        <f t="shared" ref="T168:T175" si="33">S168*H168</f>
        <v>0</v>
      </c>
      <c r="AR168" s="455" t="s">
        <v>110</v>
      </c>
      <c r="AT168" s="455" t="s">
        <v>218</v>
      </c>
      <c r="AU168" s="455" t="s">
        <v>109</v>
      </c>
      <c r="AY168" s="357" t="s">
        <v>217</v>
      </c>
      <c r="BE168" s="456">
        <f t="shared" ref="BE168:BE175" si="34">IF(N168="základná",J168,0)</f>
        <v>0</v>
      </c>
      <c r="BF168" s="456">
        <f t="shared" ref="BF168:BF175" si="35">IF(N168="znížená",J168,0)</f>
        <v>0</v>
      </c>
      <c r="BG168" s="456">
        <f t="shared" ref="BG168:BG175" si="36">IF(N168="zákl. prenesená",J168,0)</f>
        <v>0</v>
      </c>
      <c r="BH168" s="456">
        <f t="shared" ref="BH168:BH175" si="37">IF(N168="zníž. prenesená",J168,0)</f>
        <v>0</v>
      </c>
      <c r="BI168" s="456">
        <f t="shared" ref="BI168:BI175" si="38">IF(N168="nulová",J168,0)</f>
        <v>0</v>
      </c>
      <c r="BJ168" s="357" t="s">
        <v>108</v>
      </c>
      <c r="BK168" s="456">
        <f t="shared" ref="BK168:BK175" si="39">ROUND(I168*H168,2)</f>
        <v>0</v>
      </c>
      <c r="BL168" s="357" t="s">
        <v>110</v>
      </c>
      <c r="BM168" s="455" t="s">
        <v>911</v>
      </c>
    </row>
    <row r="169" spans="2:65" s="365" customFormat="1" ht="16.5" customHeight="1" x14ac:dyDescent="0.25">
      <c r="B169" s="364"/>
      <c r="C169" s="445" t="s">
        <v>251</v>
      </c>
      <c r="D169" s="445" t="s">
        <v>218</v>
      </c>
      <c r="E169" s="446" t="s">
        <v>2015</v>
      </c>
      <c r="F169" s="447" t="s">
        <v>2016</v>
      </c>
      <c r="G169" s="448" t="s">
        <v>2010</v>
      </c>
      <c r="H169" s="449">
        <v>8</v>
      </c>
      <c r="I169" s="329">
        <v>0</v>
      </c>
      <c r="J169" s="450">
        <f t="shared" si="30"/>
        <v>0</v>
      </c>
      <c r="K169" s="451"/>
      <c r="L169" s="364"/>
      <c r="M169" s="452" t="s">
        <v>171</v>
      </c>
      <c r="N169" s="415" t="s">
        <v>185</v>
      </c>
      <c r="O169" s="453">
        <v>0</v>
      </c>
      <c r="P169" s="453">
        <f t="shared" si="31"/>
        <v>0</v>
      </c>
      <c r="Q169" s="453">
        <v>0</v>
      </c>
      <c r="R169" s="453">
        <f t="shared" si="32"/>
        <v>0</v>
      </c>
      <c r="S169" s="453">
        <v>0</v>
      </c>
      <c r="T169" s="454">
        <f t="shared" si="33"/>
        <v>0</v>
      </c>
      <c r="AR169" s="455" t="s">
        <v>110</v>
      </c>
      <c r="AT169" s="455" t="s">
        <v>218</v>
      </c>
      <c r="AU169" s="455" t="s">
        <v>109</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919</v>
      </c>
    </row>
    <row r="170" spans="2:65" s="365" customFormat="1" ht="16.5" customHeight="1" x14ac:dyDescent="0.25">
      <c r="B170" s="364"/>
      <c r="C170" s="445" t="s">
        <v>252</v>
      </c>
      <c r="D170" s="445" t="s">
        <v>218</v>
      </c>
      <c r="E170" s="446" t="s">
        <v>2132</v>
      </c>
      <c r="F170" s="447" t="s">
        <v>2133</v>
      </c>
      <c r="G170" s="448" t="s">
        <v>2010</v>
      </c>
      <c r="H170" s="449">
        <v>8</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109</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925</v>
      </c>
    </row>
    <row r="171" spans="2:65" s="365" customFormat="1" ht="16.5" customHeight="1" x14ac:dyDescent="0.25">
      <c r="B171" s="364"/>
      <c r="C171" s="445" t="s">
        <v>253</v>
      </c>
      <c r="D171" s="445" t="s">
        <v>218</v>
      </c>
      <c r="E171" s="446" t="s">
        <v>2134</v>
      </c>
      <c r="F171" s="447" t="s">
        <v>2135</v>
      </c>
      <c r="G171" s="448" t="s">
        <v>2010</v>
      </c>
      <c r="H171" s="449">
        <v>10</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109</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931</v>
      </c>
    </row>
    <row r="172" spans="2:65" s="365" customFormat="1" ht="16.5" customHeight="1" x14ac:dyDescent="0.25">
      <c r="B172" s="364"/>
      <c r="C172" s="445" t="s">
        <v>254</v>
      </c>
      <c r="D172" s="445" t="s">
        <v>218</v>
      </c>
      <c r="E172" s="446" t="s">
        <v>2136</v>
      </c>
      <c r="F172" s="447" t="s">
        <v>2137</v>
      </c>
      <c r="G172" s="448" t="s">
        <v>2010</v>
      </c>
      <c r="H172" s="449">
        <v>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109</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935</v>
      </c>
    </row>
    <row r="173" spans="2:65" s="365" customFormat="1" ht="16.5" customHeight="1" x14ac:dyDescent="0.25">
      <c r="B173" s="364"/>
      <c r="C173" s="445" t="s">
        <v>255</v>
      </c>
      <c r="D173" s="445" t="s">
        <v>218</v>
      </c>
      <c r="E173" s="446" t="s">
        <v>2138</v>
      </c>
      <c r="F173" s="447" t="s">
        <v>2139</v>
      </c>
      <c r="G173" s="448" t="s">
        <v>2010</v>
      </c>
      <c r="H173" s="449">
        <v>24</v>
      </c>
      <c r="I173" s="329">
        <v>0</v>
      </c>
      <c r="J173" s="450">
        <f t="shared" si="30"/>
        <v>0</v>
      </c>
      <c r="K173" s="451"/>
      <c r="L173" s="364"/>
      <c r="M173" s="452" t="s">
        <v>171</v>
      </c>
      <c r="N173" s="415" t="s">
        <v>185</v>
      </c>
      <c r="O173" s="453">
        <v>0</v>
      </c>
      <c r="P173" s="453">
        <f t="shared" si="31"/>
        <v>0</v>
      </c>
      <c r="Q173" s="453">
        <v>0</v>
      </c>
      <c r="R173" s="453">
        <f t="shared" si="32"/>
        <v>0</v>
      </c>
      <c r="S173" s="453">
        <v>0</v>
      </c>
      <c r="T173" s="454">
        <f t="shared" si="33"/>
        <v>0</v>
      </c>
      <c r="AR173" s="455" t="s">
        <v>110</v>
      </c>
      <c r="AT173" s="455" t="s">
        <v>218</v>
      </c>
      <c r="AU173" s="455" t="s">
        <v>109</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941</v>
      </c>
    </row>
    <row r="174" spans="2:65" s="365" customFormat="1" ht="16.5" customHeight="1" x14ac:dyDescent="0.25">
      <c r="B174" s="364"/>
      <c r="C174" s="445" t="s">
        <v>256</v>
      </c>
      <c r="D174" s="445" t="s">
        <v>218</v>
      </c>
      <c r="E174" s="446" t="s">
        <v>2019</v>
      </c>
      <c r="F174" s="447" t="s">
        <v>2020</v>
      </c>
      <c r="G174" s="448" t="s">
        <v>2010</v>
      </c>
      <c r="H174" s="449">
        <v>8</v>
      </c>
      <c r="I174" s="329">
        <v>0</v>
      </c>
      <c r="J174" s="450">
        <f t="shared" si="30"/>
        <v>0</v>
      </c>
      <c r="K174" s="451"/>
      <c r="L174" s="364"/>
      <c r="M174" s="452" t="s">
        <v>171</v>
      </c>
      <c r="N174" s="415" t="s">
        <v>185</v>
      </c>
      <c r="O174" s="453">
        <v>0</v>
      </c>
      <c r="P174" s="453">
        <f t="shared" si="31"/>
        <v>0</v>
      </c>
      <c r="Q174" s="453">
        <v>0</v>
      </c>
      <c r="R174" s="453">
        <f t="shared" si="32"/>
        <v>0</v>
      </c>
      <c r="S174" s="453">
        <v>0</v>
      </c>
      <c r="T174" s="454">
        <f t="shared" si="33"/>
        <v>0</v>
      </c>
      <c r="AR174" s="455" t="s">
        <v>110</v>
      </c>
      <c r="AT174" s="455" t="s">
        <v>218</v>
      </c>
      <c r="AU174" s="455" t="s">
        <v>109</v>
      </c>
      <c r="AY174" s="357" t="s">
        <v>217</v>
      </c>
      <c r="BE174" s="456">
        <f t="shared" si="34"/>
        <v>0</v>
      </c>
      <c r="BF174" s="456">
        <f t="shared" si="35"/>
        <v>0</v>
      </c>
      <c r="BG174" s="456">
        <f t="shared" si="36"/>
        <v>0</v>
      </c>
      <c r="BH174" s="456">
        <f t="shared" si="37"/>
        <v>0</v>
      </c>
      <c r="BI174" s="456">
        <f t="shared" si="38"/>
        <v>0</v>
      </c>
      <c r="BJ174" s="357" t="s">
        <v>108</v>
      </c>
      <c r="BK174" s="456">
        <f t="shared" si="39"/>
        <v>0</v>
      </c>
      <c r="BL174" s="357" t="s">
        <v>110</v>
      </c>
      <c r="BM174" s="455" t="s">
        <v>948</v>
      </c>
    </row>
    <row r="175" spans="2:65" s="365" customFormat="1" ht="21.75" customHeight="1" x14ac:dyDescent="0.25">
      <c r="B175" s="364"/>
      <c r="C175" s="445" t="s">
        <v>257</v>
      </c>
      <c r="D175" s="445" t="s">
        <v>218</v>
      </c>
      <c r="E175" s="446" t="s">
        <v>2140</v>
      </c>
      <c r="F175" s="447" t="s">
        <v>2141</v>
      </c>
      <c r="G175" s="448" t="s">
        <v>2010</v>
      </c>
      <c r="H175" s="449">
        <v>20</v>
      </c>
      <c r="I175" s="329">
        <v>0</v>
      </c>
      <c r="J175" s="450">
        <f t="shared" si="30"/>
        <v>0</v>
      </c>
      <c r="K175" s="451"/>
      <c r="L175" s="364"/>
      <c r="M175" s="452" t="s">
        <v>171</v>
      </c>
      <c r="N175" s="415" t="s">
        <v>185</v>
      </c>
      <c r="O175" s="453">
        <v>0</v>
      </c>
      <c r="P175" s="453">
        <f t="shared" si="31"/>
        <v>0</v>
      </c>
      <c r="Q175" s="453">
        <v>0</v>
      </c>
      <c r="R175" s="453">
        <f t="shared" si="32"/>
        <v>0</v>
      </c>
      <c r="S175" s="453">
        <v>0</v>
      </c>
      <c r="T175" s="454">
        <f t="shared" si="33"/>
        <v>0</v>
      </c>
      <c r="AR175" s="455" t="s">
        <v>110</v>
      </c>
      <c r="AT175" s="455" t="s">
        <v>218</v>
      </c>
      <c r="AU175" s="455" t="s">
        <v>109</v>
      </c>
      <c r="AY175" s="357" t="s">
        <v>217</v>
      </c>
      <c r="BE175" s="456">
        <f t="shared" si="34"/>
        <v>0</v>
      </c>
      <c r="BF175" s="456">
        <f t="shared" si="35"/>
        <v>0</v>
      </c>
      <c r="BG175" s="456">
        <f t="shared" si="36"/>
        <v>0</v>
      </c>
      <c r="BH175" s="456">
        <f t="shared" si="37"/>
        <v>0</v>
      </c>
      <c r="BI175" s="456">
        <f t="shared" si="38"/>
        <v>0</v>
      </c>
      <c r="BJ175" s="357" t="s">
        <v>108</v>
      </c>
      <c r="BK175" s="456">
        <f t="shared" si="39"/>
        <v>0</v>
      </c>
      <c r="BL175" s="357" t="s">
        <v>110</v>
      </c>
      <c r="BM175" s="455" t="s">
        <v>1200</v>
      </c>
    </row>
    <row r="176" spans="2:65" s="434" customFormat="1" ht="25.9" customHeight="1" x14ac:dyDescent="0.2">
      <c r="B176" s="433"/>
      <c r="D176" s="435" t="s">
        <v>216</v>
      </c>
      <c r="E176" s="436" t="s">
        <v>418</v>
      </c>
      <c r="F176" s="436" t="s">
        <v>2021</v>
      </c>
      <c r="I176" s="467"/>
      <c r="J176" s="437">
        <f>BK176</f>
        <v>0</v>
      </c>
      <c r="L176" s="433"/>
      <c r="M176" s="438"/>
      <c r="P176" s="439">
        <f>P177+P182</f>
        <v>1.4131259999999999</v>
      </c>
      <c r="R176" s="439">
        <f>R177+R182</f>
        <v>0</v>
      </c>
      <c r="T176" s="440">
        <f>T177+T182</f>
        <v>0</v>
      </c>
      <c r="AR176" s="435" t="s">
        <v>109</v>
      </c>
      <c r="AT176" s="441" t="s">
        <v>216</v>
      </c>
      <c r="AU176" s="441" t="s">
        <v>165</v>
      </c>
      <c r="AY176" s="435" t="s">
        <v>217</v>
      </c>
      <c r="BK176" s="442">
        <f>BK177+BK182</f>
        <v>0</v>
      </c>
    </row>
    <row r="177" spans="2:65" s="434" customFormat="1" ht="22.9" customHeight="1" x14ac:dyDescent="0.2">
      <c r="B177" s="433"/>
      <c r="D177" s="435" t="s">
        <v>216</v>
      </c>
      <c r="E177" s="443" t="s">
        <v>109</v>
      </c>
      <c r="F177" s="443" t="s">
        <v>220</v>
      </c>
      <c r="I177" s="467"/>
      <c r="J177" s="444">
        <f>BK177</f>
        <v>0</v>
      </c>
      <c r="L177" s="433"/>
      <c r="M177" s="438"/>
      <c r="P177" s="439">
        <f>SUM(P178:P181)</f>
        <v>1.4131259999999999</v>
      </c>
      <c r="R177" s="439">
        <f>SUM(R178:R181)</f>
        <v>0</v>
      </c>
      <c r="T177" s="440">
        <f>SUM(T178:T181)</f>
        <v>0</v>
      </c>
      <c r="AR177" s="435" t="s">
        <v>109</v>
      </c>
      <c r="AT177" s="441" t="s">
        <v>216</v>
      </c>
      <c r="AU177" s="441" t="s">
        <v>109</v>
      </c>
      <c r="AY177" s="435" t="s">
        <v>217</v>
      </c>
      <c r="BK177" s="442">
        <f>SUM(BK178:BK181)</f>
        <v>0</v>
      </c>
    </row>
    <row r="178" spans="2:65" s="365" customFormat="1" ht="37.9" customHeight="1" x14ac:dyDescent="0.25">
      <c r="B178" s="364"/>
      <c r="C178" s="445" t="s">
        <v>258</v>
      </c>
      <c r="D178" s="445" t="s">
        <v>218</v>
      </c>
      <c r="E178" s="446" t="s">
        <v>712</v>
      </c>
      <c r="F178" s="472" t="s">
        <v>2142</v>
      </c>
      <c r="G178" s="473" t="s">
        <v>114</v>
      </c>
      <c r="H178" s="474">
        <v>8.58</v>
      </c>
      <c r="I178" s="329">
        <v>0</v>
      </c>
      <c r="J178" s="450">
        <f>ROUND(I178*H178,2)</f>
        <v>0</v>
      </c>
      <c r="K178" s="451"/>
      <c r="L178" s="364"/>
      <c r="M178" s="452" t="s">
        <v>171</v>
      </c>
      <c r="N178" s="415" t="s">
        <v>185</v>
      </c>
      <c r="O178" s="453">
        <v>4.8899999999999999E-2</v>
      </c>
      <c r="P178" s="453">
        <f>O178*H178</f>
        <v>0.41956199999999999</v>
      </c>
      <c r="Q178" s="453">
        <v>0</v>
      </c>
      <c r="R178" s="453">
        <f>Q178*H178</f>
        <v>0</v>
      </c>
      <c r="S178" s="453">
        <v>0</v>
      </c>
      <c r="T178" s="454">
        <f>S178*H178</f>
        <v>0</v>
      </c>
      <c r="AR178" s="455" t="s">
        <v>110</v>
      </c>
      <c r="AT178" s="455" t="s">
        <v>218</v>
      </c>
      <c r="AU178" s="455" t="s">
        <v>108</v>
      </c>
      <c r="AY178" s="357" t="s">
        <v>217</v>
      </c>
      <c r="BE178" s="456">
        <f>IF(N178="základná",J178,0)</f>
        <v>0</v>
      </c>
      <c r="BF178" s="456">
        <f>IF(N178="znížená",J178,0)</f>
        <v>0</v>
      </c>
      <c r="BG178" s="456">
        <f>IF(N178="zákl. prenesená",J178,0)</f>
        <v>0</v>
      </c>
      <c r="BH178" s="456">
        <f>IF(N178="zníž. prenesená",J178,0)</f>
        <v>0</v>
      </c>
      <c r="BI178" s="456">
        <f>IF(N178="nulová",J178,0)</f>
        <v>0</v>
      </c>
      <c r="BJ178" s="357" t="s">
        <v>108</v>
      </c>
      <c r="BK178" s="456">
        <f>ROUND(I178*H178,2)</f>
        <v>0</v>
      </c>
      <c r="BL178" s="357" t="s">
        <v>110</v>
      </c>
      <c r="BM178" s="455" t="s">
        <v>2143</v>
      </c>
    </row>
    <row r="179" spans="2:65" s="365" customFormat="1" ht="44.25" customHeight="1" x14ac:dyDescent="0.25">
      <c r="B179" s="364"/>
      <c r="C179" s="445" t="s">
        <v>260</v>
      </c>
      <c r="D179" s="445" t="s">
        <v>218</v>
      </c>
      <c r="E179" s="446" t="s">
        <v>714</v>
      </c>
      <c r="F179" s="472" t="s">
        <v>2144</v>
      </c>
      <c r="G179" s="473" t="s">
        <v>114</v>
      </c>
      <c r="H179" s="474">
        <v>171.6</v>
      </c>
      <c r="I179" s="329">
        <v>0</v>
      </c>
      <c r="J179" s="450">
        <f>ROUND(I179*H179,2)</f>
        <v>0</v>
      </c>
      <c r="K179" s="451"/>
      <c r="L179" s="364"/>
      <c r="M179" s="452" t="s">
        <v>171</v>
      </c>
      <c r="N179" s="415" t="s">
        <v>185</v>
      </c>
      <c r="O179" s="453">
        <v>5.3899999999999998E-3</v>
      </c>
      <c r="P179" s="453">
        <f>O179*H179</f>
        <v>0.92492399999999997</v>
      </c>
      <c r="Q179" s="453">
        <v>0</v>
      </c>
      <c r="R179" s="453">
        <f>Q179*H179</f>
        <v>0</v>
      </c>
      <c r="S179" s="453">
        <v>0</v>
      </c>
      <c r="T179" s="454">
        <f>S179*H179</f>
        <v>0</v>
      </c>
      <c r="AR179" s="455" t="s">
        <v>110</v>
      </c>
      <c r="AT179" s="455" t="s">
        <v>218</v>
      </c>
      <c r="AU179" s="455" t="s">
        <v>108</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2145</v>
      </c>
    </row>
    <row r="180" spans="2:65" s="365" customFormat="1" ht="21.75" customHeight="1" x14ac:dyDescent="0.25">
      <c r="B180" s="364"/>
      <c r="C180" s="445" t="s">
        <v>262</v>
      </c>
      <c r="D180" s="445" t="s">
        <v>218</v>
      </c>
      <c r="E180" s="446" t="s">
        <v>717</v>
      </c>
      <c r="F180" s="447" t="s">
        <v>224</v>
      </c>
      <c r="G180" s="448" t="s">
        <v>114</v>
      </c>
      <c r="H180" s="449">
        <v>8.58</v>
      </c>
      <c r="I180" s="329">
        <v>0</v>
      </c>
      <c r="J180" s="450">
        <f>ROUND(I180*H180,2)</f>
        <v>0</v>
      </c>
      <c r="K180" s="451"/>
      <c r="L180" s="364"/>
      <c r="M180" s="452" t="s">
        <v>171</v>
      </c>
      <c r="N180" s="415" t="s">
        <v>185</v>
      </c>
      <c r="O180" s="453">
        <v>8.0000000000000002E-3</v>
      </c>
      <c r="P180" s="453">
        <f>O180*H180</f>
        <v>6.8640000000000007E-2</v>
      </c>
      <c r="Q180" s="453">
        <v>0</v>
      </c>
      <c r="R180" s="453">
        <f>Q180*H180</f>
        <v>0</v>
      </c>
      <c r="S180" s="453">
        <v>0</v>
      </c>
      <c r="T180" s="454">
        <f>S180*H180</f>
        <v>0</v>
      </c>
      <c r="AR180" s="455" t="s">
        <v>110</v>
      </c>
      <c r="AT180" s="455" t="s">
        <v>218</v>
      </c>
      <c r="AU180" s="455" t="s">
        <v>108</v>
      </c>
      <c r="AY180" s="357" t="s">
        <v>217</v>
      </c>
      <c r="BE180" s="456">
        <f>IF(N180="základná",J180,0)</f>
        <v>0</v>
      </c>
      <c r="BF180" s="456">
        <f>IF(N180="znížená",J180,0)</f>
        <v>0</v>
      </c>
      <c r="BG180" s="456">
        <f>IF(N180="zákl. prenesená",J180,0)</f>
        <v>0</v>
      </c>
      <c r="BH180" s="456">
        <f>IF(N180="zníž. prenesená",J180,0)</f>
        <v>0</v>
      </c>
      <c r="BI180" s="456">
        <f>IF(N180="nulová",J180,0)</f>
        <v>0</v>
      </c>
      <c r="BJ180" s="357" t="s">
        <v>108</v>
      </c>
      <c r="BK180" s="456">
        <f>ROUND(I180*H180,2)</f>
        <v>0</v>
      </c>
      <c r="BL180" s="357" t="s">
        <v>110</v>
      </c>
      <c r="BM180" s="455" t="s">
        <v>2146</v>
      </c>
    </row>
    <row r="181" spans="2:65" s="365" customFormat="1" ht="24.2" customHeight="1" x14ac:dyDescent="0.25">
      <c r="B181" s="364"/>
      <c r="C181" s="445" t="s">
        <v>263</v>
      </c>
      <c r="D181" s="445" t="s">
        <v>218</v>
      </c>
      <c r="E181" s="446" t="s">
        <v>1101</v>
      </c>
      <c r="F181" s="447" t="s">
        <v>2147</v>
      </c>
      <c r="G181" s="448" t="s">
        <v>112</v>
      </c>
      <c r="H181" s="449">
        <f>Ponuka!S131</f>
        <v>15.873000000000005</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108</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2148</v>
      </c>
    </row>
    <row r="182" spans="2:65" s="434" customFormat="1" ht="22.9" customHeight="1" x14ac:dyDescent="0.2">
      <c r="B182" s="433"/>
      <c r="D182" s="435" t="s">
        <v>216</v>
      </c>
      <c r="E182" s="443" t="s">
        <v>162</v>
      </c>
      <c r="F182" s="443" t="s">
        <v>633</v>
      </c>
      <c r="I182" s="467"/>
      <c r="J182" s="444">
        <f>BK182</f>
        <v>0</v>
      </c>
      <c r="L182" s="433"/>
      <c r="M182" s="438"/>
      <c r="P182" s="439">
        <f>P183</f>
        <v>0</v>
      </c>
      <c r="R182" s="439">
        <f>R183</f>
        <v>0</v>
      </c>
      <c r="T182" s="440">
        <f>T183</f>
        <v>0</v>
      </c>
      <c r="AR182" s="435" t="s">
        <v>109</v>
      </c>
      <c r="AT182" s="441" t="s">
        <v>216</v>
      </c>
      <c r="AU182" s="441" t="s">
        <v>109</v>
      </c>
      <c r="AY182" s="435" t="s">
        <v>217</v>
      </c>
      <c r="BK182" s="442">
        <f>BK183</f>
        <v>0</v>
      </c>
    </row>
    <row r="183" spans="2:65" s="365" customFormat="1" ht="66.75" customHeight="1" x14ac:dyDescent="0.25">
      <c r="B183" s="364"/>
      <c r="C183" s="445" t="s">
        <v>264</v>
      </c>
      <c r="D183" s="445" t="s">
        <v>218</v>
      </c>
      <c r="E183" s="446" t="s">
        <v>638</v>
      </c>
      <c r="F183" s="447" t="s">
        <v>3137</v>
      </c>
      <c r="G183" s="448" t="s">
        <v>112</v>
      </c>
      <c r="H183" s="449">
        <f>Ponuka!R131</f>
        <v>37.036999999999992</v>
      </c>
      <c r="I183" s="329">
        <v>0</v>
      </c>
      <c r="J183" s="450">
        <f>ROUND(I183*H183,2)</f>
        <v>0</v>
      </c>
      <c r="K183" s="451"/>
      <c r="L183" s="364"/>
      <c r="M183" s="468" t="s">
        <v>171</v>
      </c>
      <c r="N183" s="469" t="s">
        <v>185</v>
      </c>
      <c r="O183" s="470">
        <v>0</v>
      </c>
      <c r="P183" s="470">
        <f>O183*H183</f>
        <v>0</v>
      </c>
      <c r="Q183" s="470">
        <v>0</v>
      </c>
      <c r="R183" s="470">
        <f>Q183*H183</f>
        <v>0</v>
      </c>
      <c r="S183" s="470">
        <v>0</v>
      </c>
      <c r="T183" s="471">
        <f>S183*H183</f>
        <v>0</v>
      </c>
      <c r="AR183" s="455" t="s">
        <v>110</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110</v>
      </c>
      <c r="BM183" s="455" t="s">
        <v>2149</v>
      </c>
    </row>
    <row r="184" spans="2:65" s="365" customFormat="1" ht="6.95" customHeight="1" x14ac:dyDescent="0.25">
      <c r="B184" s="397"/>
      <c r="C184" s="398"/>
      <c r="D184" s="398"/>
      <c r="E184" s="398"/>
      <c r="F184" s="398"/>
      <c r="G184" s="398"/>
      <c r="H184" s="398"/>
      <c r="I184" s="398"/>
      <c r="J184" s="398"/>
      <c r="K184" s="398"/>
      <c r="L184" s="364"/>
    </row>
  </sheetData>
  <sheetProtection algorithmName="SHA-512" hashValue="+od1O9W2lVoaLYylkwK4FCKAySxcluvhFPphiTD4CeRHXNWFidYK62AYyclc+oaob2JXVw+rZUSuDCdxOLTB0w==" saltValue="rBzFK4sVYHYjIZsvmWtQog==" spinCount="100000" sheet="1" objects="1" scenarios="1"/>
  <autoFilter ref="C127:K183" xr:uid="{00000000-0009-0000-0000-000014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28D5-BEB5-43F7-8503-2F55F66A5713}">
  <sheetPr codeName="Hárok28">
    <pageSetUpPr fitToPage="1"/>
  </sheetPr>
  <dimension ref="B2:BM254"/>
  <sheetViews>
    <sheetView topLeftCell="A139" zoomScale="85" zoomScaleNormal="85" workbookViewId="0">
      <selection activeCell="I137" activeCellId="9" sqref="I251:I253 I237:I249 I192:I235 I184:I189 I176:I181 I167:I174 I163:I165 I152:I161 I145:I150 I137:I143"/>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398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2153</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2154</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2155</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3193</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ROUND((SUM(BE112:BE114) + SUM(BE134:BE253)),  2)</f>
        <v>0</v>
      </c>
      <c r="G35" s="380"/>
      <c r="H35" s="380"/>
      <c r="I35" s="381">
        <v>0.23</v>
      </c>
      <c r="J35" s="379">
        <f>ROUND(((SUM(BE112:BE114) + SUM(BE134:BE253))*I35),  2)</f>
        <v>0</v>
      </c>
      <c r="L35" s="364"/>
    </row>
    <row r="36" spans="2:12" s="365" customFormat="1" ht="14.45" customHeight="1" x14ac:dyDescent="0.25">
      <c r="B36" s="364"/>
      <c r="E36" s="378" t="s">
        <v>185</v>
      </c>
      <c r="F36" s="382">
        <f>ROUND((SUM(BF112:BF114) + SUM(BF134:BF253)),  2)</f>
        <v>0</v>
      </c>
      <c r="I36" s="383">
        <v>0.23</v>
      </c>
      <c r="J36" s="382">
        <f>ROUND(((SUM(BF112:BF114) + SUM(BF134:BF253))*I36),  2)</f>
        <v>0</v>
      </c>
      <c r="L36" s="364"/>
    </row>
    <row r="37" spans="2:12" s="365" customFormat="1" ht="14.45" hidden="1" customHeight="1" x14ac:dyDescent="0.25">
      <c r="B37" s="364"/>
      <c r="E37" s="363" t="s">
        <v>186</v>
      </c>
      <c r="F37" s="382">
        <f>ROUND((SUM(BG112:BG114) + SUM(BG134:BG253)),  2)</f>
        <v>0</v>
      </c>
      <c r="I37" s="383">
        <v>0.23</v>
      </c>
      <c r="J37" s="382">
        <f>0</f>
        <v>0</v>
      </c>
      <c r="L37" s="364"/>
    </row>
    <row r="38" spans="2:12" s="365" customFormat="1" ht="14.45" hidden="1" customHeight="1" x14ac:dyDescent="0.25">
      <c r="B38" s="364"/>
      <c r="E38" s="363" t="s">
        <v>187</v>
      </c>
      <c r="F38" s="382">
        <f>ROUND((SUM(BH112:BH114) + SUM(BH134:BH253)),  2)</f>
        <v>0</v>
      </c>
      <c r="I38" s="383">
        <v>0.23</v>
      </c>
      <c r="J38" s="382">
        <f>0</f>
        <v>0</v>
      </c>
      <c r="L38" s="364"/>
    </row>
    <row r="39" spans="2:12" s="365" customFormat="1" ht="14.45" hidden="1" customHeight="1" x14ac:dyDescent="0.25">
      <c r="B39" s="364"/>
      <c r="E39" s="378" t="s">
        <v>188</v>
      </c>
      <c r="F39" s="379">
        <f>ROUND((SUM(BI112:BI114) + SUM(BI134:BI253)),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SO 200.A - Verejné osvetlenie, úsek A</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J134</f>
        <v>0</v>
      </c>
      <c r="L96" s="364"/>
      <c r="AU96" s="357" t="s">
        <v>202</v>
      </c>
    </row>
    <row r="97" spans="2:14" s="405" customFormat="1" ht="24.95" customHeight="1" x14ac:dyDescent="0.25">
      <c r="B97" s="404"/>
      <c r="D97" s="406" t="s">
        <v>410</v>
      </c>
      <c r="E97" s="407"/>
      <c r="F97" s="407"/>
      <c r="G97" s="407"/>
      <c r="H97" s="407"/>
      <c r="I97" s="407"/>
      <c r="J97" s="408">
        <f>J135</f>
        <v>0</v>
      </c>
      <c r="L97" s="404"/>
    </row>
    <row r="98" spans="2:14" s="410" customFormat="1" ht="19.899999999999999" customHeight="1" x14ac:dyDescent="0.25">
      <c r="B98" s="409"/>
      <c r="D98" s="411" t="s">
        <v>411</v>
      </c>
      <c r="E98" s="412"/>
      <c r="F98" s="412"/>
      <c r="G98" s="412"/>
      <c r="H98" s="412"/>
      <c r="I98" s="412"/>
      <c r="J98" s="413">
        <f>J136</f>
        <v>0</v>
      </c>
      <c r="L98" s="409"/>
    </row>
    <row r="99" spans="2:14" s="410" customFormat="1" ht="19.899999999999999" customHeight="1" x14ac:dyDescent="0.25">
      <c r="B99" s="409"/>
      <c r="D99" s="411" t="s">
        <v>412</v>
      </c>
      <c r="E99" s="412"/>
      <c r="F99" s="412"/>
      <c r="G99" s="412"/>
      <c r="H99" s="412"/>
      <c r="I99" s="412"/>
      <c r="J99" s="413">
        <f>J144</f>
        <v>0</v>
      </c>
      <c r="L99" s="409"/>
    </row>
    <row r="100" spans="2:14" s="410" customFormat="1" ht="19.899999999999999" customHeight="1" x14ac:dyDescent="0.25">
      <c r="B100" s="409"/>
      <c r="D100" s="411" t="s">
        <v>413</v>
      </c>
      <c r="E100" s="412"/>
      <c r="F100" s="412"/>
      <c r="G100" s="412"/>
      <c r="H100" s="412"/>
      <c r="I100" s="412"/>
      <c r="J100" s="413">
        <f>J151</f>
        <v>0</v>
      </c>
      <c r="L100" s="409"/>
    </row>
    <row r="101" spans="2:14" s="410" customFormat="1" ht="19.899999999999999" customHeight="1" x14ac:dyDescent="0.25">
      <c r="B101" s="409"/>
      <c r="D101" s="411" t="s">
        <v>953</v>
      </c>
      <c r="E101" s="412"/>
      <c r="F101" s="412"/>
      <c r="G101" s="412"/>
      <c r="H101" s="412"/>
      <c r="I101" s="412"/>
      <c r="J101" s="413">
        <f>J162</f>
        <v>0</v>
      </c>
      <c r="L101" s="409"/>
    </row>
    <row r="102" spans="2:14" s="410" customFormat="1" ht="19.899999999999999" customHeight="1" x14ac:dyDescent="0.25">
      <c r="B102" s="409"/>
      <c r="D102" s="411" t="s">
        <v>414</v>
      </c>
      <c r="E102" s="412"/>
      <c r="F102" s="412"/>
      <c r="G102" s="412"/>
      <c r="H102" s="412"/>
      <c r="I102" s="412"/>
      <c r="J102" s="413">
        <f>J166</f>
        <v>0</v>
      </c>
      <c r="L102" s="409"/>
    </row>
    <row r="103" spans="2:14" s="410" customFormat="1" ht="19.899999999999999" customHeight="1" x14ac:dyDescent="0.25">
      <c r="B103" s="409"/>
      <c r="D103" s="411" t="s">
        <v>415</v>
      </c>
      <c r="E103" s="412"/>
      <c r="F103" s="412"/>
      <c r="G103" s="412"/>
      <c r="H103" s="412"/>
      <c r="I103" s="412"/>
      <c r="J103" s="413">
        <f>J175</f>
        <v>0</v>
      </c>
      <c r="L103" s="409"/>
    </row>
    <row r="104" spans="2:14" s="405" customFormat="1" ht="24.95" customHeight="1" x14ac:dyDescent="0.25">
      <c r="B104" s="404"/>
      <c r="D104" s="406" t="s">
        <v>416</v>
      </c>
      <c r="E104" s="407"/>
      <c r="F104" s="407"/>
      <c r="G104" s="407"/>
      <c r="H104" s="407"/>
      <c r="I104" s="407"/>
      <c r="J104" s="408">
        <f>J182</f>
        <v>0</v>
      </c>
      <c r="L104" s="404"/>
    </row>
    <row r="105" spans="2:14" s="410" customFormat="1" ht="19.899999999999999" customHeight="1" x14ac:dyDescent="0.25">
      <c r="B105" s="409"/>
      <c r="D105" s="411" t="s">
        <v>417</v>
      </c>
      <c r="E105" s="412"/>
      <c r="F105" s="412"/>
      <c r="G105" s="412"/>
      <c r="H105" s="412"/>
      <c r="I105" s="412"/>
      <c r="J105" s="413">
        <f>J183</f>
        <v>0</v>
      </c>
      <c r="L105" s="409"/>
    </row>
    <row r="106" spans="2:14" s="405" customFormat="1" ht="24.95" customHeight="1" x14ac:dyDescent="0.25">
      <c r="B106" s="404"/>
      <c r="D106" s="406" t="s">
        <v>1616</v>
      </c>
      <c r="E106" s="407"/>
      <c r="F106" s="407"/>
      <c r="G106" s="407"/>
      <c r="H106" s="407"/>
      <c r="I106" s="407"/>
      <c r="J106" s="408">
        <f>J190</f>
        <v>0</v>
      </c>
      <c r="L106" s="404"/>
    </row>
    <row r="107" spans="2:14" s="410" customFormat="1" ht="19.899999999999999" customHeight="1" x14ac:dyDescent="0.25">
      <c r="B107" s="409"/>
      <c r="D107" s="411" t="s">
        <v>2156</v>
      </c>
      <c r="E107" s="412"/>
      <c r="F107" s="412"/>
      <c r="G107" s="412"/>
      <c r="H107" s="412"/>
      <c r="I107" s="412"/>
      <c r="J107" s="413">
        <f>J191</f>
        <v>0</v>
      </c>
      <c r="L107" s="409"/>
    </row>
    <row r="108" spans="2:14" s="410" customFormat="1" ht="19.899999999999999" customHeight="1" x14ac:dyDescent="0.25">
      <c r="B108" s="409"/>
      <c r="D108" s="411" t="s">
        <v>1618</v>
      </c>
      <c r="E108" s="412"/>
      <c r="F108" s="412"/>
      <c r="G108" s="412"/>
      <c r="H108" s="412"/>
      <c r="I108" s="412"/>
      <c r="J108" s="413">
        <f>J236</f>
        <v>0</v>
      </c>
      <c r="L108" s="409"/>
    </row>
    <row r="109" spans="2:14" s="405" customFormat="1" ht="24.95" customHeight="1" x14ac:dyDescent="0.25">
      <c r="B109" s="404"/>
      <c r="D109" s="406" t="s">
        <v>2157</v>
      </c>
      <c r="E109" s="407"/>
      <c r="F109" s="407"/>
      <c r="G109" s="407"/>
      <c r="H109" s="407"/>
      <c r="I109" s="407"/>
      <c r="J109" s="408">
        <f>J250</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3066</v>
      </c>
      <c r="J112" s="414">
        <f>ROUND(J113,2)</f>
        <v>0</v>
      </c>
      <c r="L112" s="364"/>
      <c r="N112" s="415" t="s">
        <v>183</v>
      </c>
    </row>
    <row r="113" spans="2:62" s="365" customFormat="1" ht="18" customHeight="1" x14ac:dyDescent="0.25">
      <c r="B113" s="364"/>
      <c r="D113" s="865" t="s">
        <v>3126</v>
      </c>
      <c r="E113" s="865"/>
      <c r="F113" s="865"/>
      <c r="J113" s="482">
        <f>J96*0.032</f>
        <v>0</v>
      </c>
      <c r="L113" s="364"/>
      <c r="N113" s="483" t="s">
        <v>185</v>
      </c>
      <c r="AY113" s="357" t="s">
        <v>1333</v>
      </c>
      <c r="BE113" s="456">
        <f>IF(N113="základná",J113,0)</f>
        <v>0</v>
      </c>
      <c r="BF113" s="456">
        <f>IF(N113="znížená",J113,0)</f>
        <v>0</v>
      </c>
      <c r="BG113" s="456">
        <f>IF(N113="zákl. prenesená",J113,0)</f>
        <v>0</v>
      </c>
      <c r="BH113" s="456">
        <f>IF(N113="zníž. prenesená",J113,0)</f>
        <v>0</v>
      </c>
      <c r="BI113" s="456">
        <f>IF(N113="nulová",J113,0)</f>
        <v>0</v>
      </c>
      <c r="BJ113" s="357" t="s">
        <v>108</v>
      </c>
    </row>
    <row r="114" spans="2:62" s="365" customFormat="1" ht="18" customHeight="1" x14ac:dyDescent="0.25">
      <c r="B114" s="364"/>
      <c r="L114" s="364"/>
    </row>
    <row r="115" spans="2:62" s="365" customFormat="1" ht="29.25" customHeight="1" x14ac:dyDescent="0.25">
      <c r="B115" s="364"/>
      <c r="C115" s="416" t="s">
        <v>3063</v>
      </c>
      <c r="D115" s="384"/>
      <c r="E115" s="384"/>
      <c r="F115" s="384"/>
      <c r="G115" s="384"/>
      <c r="H115" s="384"/>
      <c r="I115" s="384"/>
      <c r="J115" s="417">
        <f>ROUND(J96+J112,2)</f>
        <v>0</v>
      </c>
      <c r="K115" s="384"/>
      <c r="L115" s="364"/>
    </row>
    <row r="116" spans="2:62" s="365" customFormat="1" ht="6.95" customHeight="1" x14ac:dyDescent="0.25">
      <c r="B116" s="397"/>
      <c r="C116" s="398"/>
      <c r="D116" s="398"/>
      <c r="E116" s="398"/>
      <c r="F116" s="398"/>
      <c r="G116" s="398"/>
      <c r="H116" s="398"/>
      <c r="I116" s="398"/>
      <c r="J116" s="398"/>
      <c r="K116" s="398"/>
      <c r="L116" s="364"/>
    </row>
    <row r="120" spans="2:62" s="365" customFormat="1" ht="6.95" customHeight="1" x14ac:dyDescent="0.25">
      <c r="B120" s="399"/>
      <c r="C120" s="400"/>
      <c r="D120" s="400"/>
      <c r="E120" s="400"/>
      <c r="F120" s="400"/>
      <c r="G120" s="400"/>
      <c r="H120" s="400"/>
      <c r="I120" s="400"/>
      <c r="J120" s="400"/>
      <c r="K120" s="400"/>
      <c r="L120" s="364"/>
    </row>
    <row r="121" spans="2:62" s="365" customFormat="1" ht="24.95" customHeight="1" x14ac:dyDescent="0.25">
      <c r="B121" s="364"/>
      <c r="C121" s="361" t="s">
        <v>203</v>
      </c>
      <c r="L121" s="364"/>
    </row>
    <row r="122" spans="2:62" s="365" customFormat="1" ht="6.95" customHeight="1" x14ac:dyDescent="0.25">
      <c r="B122" s="364"/>
      <c r="L122" s="364"/>
    </row>
    <row r="123" spans="2:62" s="365" customFormat="1" ht="12" customHeight="1" x14ac:dyDescent="0.25">
      <c r="B123" s="364"/>
      <c r="C123" s="363" t="s">
        <v>169</v>
      </c>
      <c r="L123" s="364"/>
    </row>
    <row r="124" spans="2:62" s="365" customFormat="1" ht="16.5" customHeight="1" x14ac:dyDescent="0.25">
      <c r="B124" s="364"/>
      <c r="E124" s="859" t="str">
        <f>E7</f>
        <v>Cyklotrasa - Devín_RP1</v>
      </c>
      <c r="F124" s="860"/>
      <c r="G124" s="860"/>
      <c r="H124" s="860"/>
      <c r="L124" s="364"/>
    </row>
    <row r="125" spans="2:62" s="365" customFormat="1" ht="12" customHeight="1" x14ac:dyDescent="0.25">
      <c r="B125" s="364"/>
      <c r="C125" s="363" t="s">
        <v>408</v>
      </c>
      <c r="L125" s="364"/>
    </row>
    <row r="126" spans="2:62" s="365" customFormat="1" ht="16.5" customHeight="1" x14ac:dyDescent="0.25">
      <c r="B126" s="364"/>
      <c r="E126" s="857" t="str">
        <f>E9</f>
        <v>SO 200.A - Verejné osvetlenie, úsek A</v>
      </c>
      <c r="F126" s="858"/>
      <c r="G126" s="858"/>
      <c r="H126" s="858"/>
      <c r="L126" s="364"/>
    </row>
    <row r="127" spans="2:62" s="365" customFormat="1" ht="6.95" customHeight="1" x14ac:dyDescent="0.25">
      <c r="B127" s="364"/>
      <c r="L127" s="364"/>
    </row>
    <row r="128" spans="2:62" s="365" customFormat="1" ht="12" customHeight="1" x14ac:dyDescent="0.25">
      <c r="B128" s="364"/>
      <c r="C128" s="363" t="s">
        <v>172</v>
      </c>
      <c r="F128" s="366" t="str">
        <f>F12</f>
        <v>Bratislava Devín</v>
      </c>
      <c r="I128" s="363" t="s">
        <v>174</v>
      </c>
      <c r="J128" s="367">
        <f>IF(J12="","",J12)</f>
        <v>45908</v>
      </c>
      <c r="L128" s="364"/>
    </row>
    <row r="129" spans="2:65" s="365" customFormat="1" ht="6.95" customHeight="1" x14ac:dyDescent="0.25">
      <c r="B129" s="364"/>
      <c r="L129" s="364"/>
    </row>
    <row r="130" spans="2:65" s="365" customFormat="1" ht="15.2" customHeight="1" x14ac:dyDescent="0.25">
      <c r="B130" s="364"/>
      <c r="C130" s="363" t="s">
        <v>122</v>
      </c>
      <c r="F130" s="366" t="str">
        <f>E15</f>
        <v>JTRE a. s.,Dvořákovo nábrežie 10,811 02 Bratislava</v>
      </c>
      <c r="I130" s="363" t="s">
        <v>176</v>
      </c>
      <c r="J130" s="370" t="str">
        <f>E21</f>
        <v>PROKOS, s.r.o.</v>
      </c>
      <c r="L130" s="364"/>
    </row>
    <row r="131" spans="2:65" s="365" customFormat="1" ht="15.2" customHeight="1" x14ac:dyDescent="0.25">
      <c r="B131" s="364"/>
      <c r="C131" s="363" t="s">
        <v>175</v>
      </c>
      <c r="F131" s="366" t="str">
        <f>IF(E18="","",E18)</f>
        <v>Hlavné mesto SR Bratislava</v>
      </c>
      <c r="I131" s="363" t="s">
        <v>177</v>
      </c>
      <c r="J131" s="370" t="str">
        <f>E24</f>
        <v>Ing. Ondrej Májek</v>
      </c>
      <c r="L131" s="364"/>
    </row>
    <row r="132" spans="2:65" s="365" customFormat="1" ht="10.35" customHeight="1" x14ac:dyDescent="0.25">
      <c r="B132" s="364"/>
      <c r="L132" s="364"/>
    </row>
    <row r="133" spans="2:65" s="426" customFormat="1" ht="29.25" customHeight="1" x14ac:dyDescent="0.25">
      <c r="B133" s="418"/>
      <c r="C133" s="419" t="s">
        <v>204</v>
      </c>
      <c r="D133" s="420" t="s">
        <v>205</v>
      </c>
      <c r="E133" s="420" t="s">
        <v>206</v>
      </c>
      <c r="F133" s="420" t="s">
        <v>121</v>
      </c>
      <c r="G133" s="420" t="s">
        <v>120</v>
      </c>
      <c r="H133" s="420" t="s">
        <v>207</v>
      </c>
      <c r="I133" s="420" t="s">
        <v>208</v>
      </c>
      <c r="J133" s="421" t="s">
        <v>200</v>
      </c>
      <c r="K133" s="422" t="s">
        <v>209</v>
      </c>
      <c r="L133" s="418"/>
      <c r="M133" s="423" t="s">
        <v>171</v>
      </c>
      <c r="N133" s="424" t="s">
        <v>183</v>
      </c>
      <c r="O133" s="424" t="s">
        <v>210</v>
      </c>
      <c r="P133" s="424" t="s">
        <v>211</v>
      </c>
      <c r="Q133" s="424" t="s">
        <v>212</v>
      </c>
      <c r="R133" s="424" t="s">
        <v>213</v>
      </c>
      <c r="S133" s="424" t="s">
        <v>214</v>
      </c>
      <c r="T133" s="425" t="s">
        <v>215</v>
      </c>
    </row>
    <row r="134" spans="2:65" s="365" customFormat="1" ht="22.9" customHeight="1" x14ac:dyDescent="0.25">
      <c r="B134" s="364"/>
      <c r="C134" s="427" t="s">
        <v>201</v>
      </c>
      <c r="J134" s="428">
        <f>BK134</f>
        <v>0</v>
      </c>
      <c r="L134" s="364"/>
      <c r="M134" s="429"/>
      <c r="N134" s="371"/>
      <c r="O134" s="371"/>
      <c r="P134" s="430">
        <f>P135+P182+P190+P250</f>
        <v>3399.8924122400003</v>
      </c>
      <c r="Q134" s="371"/>
      <c r="R134" s="430">
        <f>R135+R182+R190+R250</f>
        <v>156.65322765510797</v>
      </c>
      <c r="S134" s="371"/>
      <c r="T134" s="431">
        <f>T135+T182+T190+T250</f>
        <v>77.468999999999994</v>
      </c>
      <c r="AT134" s="357" t="s">
        <v>216</v>
      </c>
      <c r="AU134" s="357" t="s">
        <v>202</v>
      </c>
      <c r="BK134" s="432">
        <f>BK135+BK182+BK190+BK250</f>
        <v>0</v>
      </c>
    </row>
    <row r="135" spans="2:65" s="434" customFormat="1" ht="25.9" customHeight="1" x14ac:dyDescent="0.2">
      <c r="B135" s="433"/>
      <c r="D135" s="435" t="s">
        <v>216</v>
      </c>
      <c r="E135" s="436" t="s">
        <v>418</v>
      </c>
      <c r="F135" s="436" t="s">
        <v>419</v>
      </c>
      <c r="J135" s="437">
        <f>BK135</f>
        <v>0</v>
      </c>
      <c r="L135" s="433"/>
      <c r="M135" s="438"/>
      <c r="P135" s="439">
        <f>P136+P144+P151+P162+P166+P175</f>
        <v>479.26806671999998</v>
      </c>
      <c r="R135" s="439">
        <f>R136+R144+R151+R162+R166+R175</f>
        <v>65.87097859144798</v>
      </c>
      <c r="T135" s="440">
        <f>T136+T144+T151+T162+T166+T175</f>
        <v>77.468999999999994</v>
      </c>
      <c r="AR135" s="435" t="s">
        <v>109</v>
      </c>
      <c r="AT135" s="441" t="s">
        <v>216</v>
      </c>
      <c r="AU135" s="441" t="s">
        <v>165</v>
      </c>
      <c r="AY135" s="435" t="s">
        <v>217</v>
      </c>
      <c r="BK135" s="442">
        <f>BK136+BK144+BK151+BK162+BK166+BK175</f>
        <v>0</v>
      </c>
    </row>
    <row r="136" spans="2:65" s="434" customFormat="1" ht="22.9" customHeight="1" x14ac:dyDescent="0.2">
      <c r="B136" s="433"/>
      <c r="D136" s="435" t="s">
        <v>216</v>
      </c>
      <c r="E136" s="443" t="s">
        <v>109</v>
      </c>
      <c r="F136" s="443" t="s">
        <v>220</v>
      </c>
      <c r="J136" s="444">
        <f>BK136</f>
        <v>0</v>
      </c>
      <c r="L136" s="433"/>
      <c r="M136" s="438"/>
      <c r="P136" s="439">
        <f>SUM(P137:P143)</f>
        <v>110.65359100000001</v>
      </c>
      <c r="R136" s="439">
        <f>SUM(R137:R143)</f>
        <v>0</v>
      </c>
      <c r="T136" s="440">
        <f>SUM(T137:T143)</f>
        <v>42.5</v>
      </c>
      <c r="AR136" s="435" t="s">
        <v>109</v>
      </c>
      <c r="AT136" s="441" t="s">
        <v>216</v>
      </c>
      <c r="AU136" s="441" t="s">
        <v>109</v>
      </c>
      <c r="AY136" s="435" t="s">
        <v>217</v>
      </c>
      <c r="BK136" s="442">
        <f>SUM(BK137:BK143)</f>
        <v>0</v>
      </c>
    </row>
    <row r="137" spans="2:65" s="365" customFormat="1" ht="33" customHeight="1" x14ac:dyDescent="0.25">
      <c r="B137" s="364"/>
      <c r="C137" s="445" t="s">
        <v>109</v>
      </c>
      <c r="D137" s="445" t="s">
        <v>218</v>
      </c>
      <c r="E137" s="446" t="s">
        <v>2158</v>
      </c>
      <c r="F137" s="447" t="s">
        <v>2159</v>
      </c>
      <c r="G137" s="448" t="s">
        <v>111</v>
      </c>
      <c r="H137" s="449">
        <v>34</v>
      </c>
      <c r="I137" s="329">
        <v>0</v>
      </c>
      <c r="J137" s="450">
        <f t="shared" ref="J137:J143" si="0">ROUND(I137*H137,2)</f>
        <v>0</v>
      </c>
      <c r="K137" s="451"/>
      <c r="L137" s="364"/>
      <c r="M137" s="452" t="s">
        <v>171</v>
      </c>
      <c r="N137" s="415" t="s">
        <v>185</v>
      </c>
      <c r="O137" s="453">
        <v>1.97</v>
      </c>
      <c r="P137" s="453">
        <f t="shared" ref="P137:P143" si="1">O137*H137</f>
        <v>66.98</v>
      </c>
      <c r="Q137" s="453">
        <v>0</v>
      </c>
      <c r="R137" s="453">
        <f t="shared" ref="R137:R143" si="2">Q137*H137</f>
        <v>0</v>
      </c>
      <c r="S137" s="453">
        <v>0.5</v>
      </c>
      <c r="T137" s="454">
        <f t="shared" ref="T137:T143" si="3">S137*H137</f>
        <v>17</v>
      </c>
      <c r="AR137" s="455" t="s">
        <v>110</v>
      </c>
      <c r="AT137" s="455" t="s">
        <v>218</v>
      </c>
      <c r="AU137" s="455" t="s">
        <v>108</v>
      </c>
      <c r="AY137" s="357" t="s">
        <v>217</v>
      </c>
      <c r="BE137" s="456">
        <f t="shared" ref="BE137:BE143" si="4">IF(N137="základná",J137,0)</f>
        <v>0</v>
      </c>
      <c r="BF137" s="456">
        <f t="shared" ref="BF137:BF143" si="5">IF(N137="znížená",J137,0)</f>
        <v>0</v>
      </c>
      <c r="BG137" s="456">
        <f t="shared" ref="BG137:BG143" si="6">IF(N137="zákl. prenesená",J137,0)</f>
        <v>0</v>
      </c>
      <c r="BH137" s="456">
        <f t="shared" ref="BH137:BH143" si="7">IF(N137="zníž. prenesená",J137,0)</f>
        <v>0</v>
      </c>
      <c r="BI137" s="456">
        <f t="shared" ref="BI137:BI143" si="8">IF(N137="nulová",J137,0)</f>
        <v>0</v>
      </c>
      <c r="BJ137" s="357" t="s">
        <v>108</v>
      </c>
      <c r="BK137" s="456">
        <f t="shared" ref="BK137:BK143" si="9">ROUND(I137*H137,2)</f>
        <v>0</v>
      </c>
      <c r="BL137" s="357" t="s">
        <v>110</v>
      </c>
      <c r="BM137" s="455" t="s">
        <v>2160</v>
      </c>
    </row>
    <row r="138" spans="2:65" s="365" customFormat="1" ht="24.2" customHeight="1" x14ac:dyDescent="0.25">
      <c r="B138" s="364"/>
      <c r="C138" s="445" t="s">
        <v>108</v>
      </c>
      <c r="D138" s="445" t="s">
        <v>218</v>
      </c>
      <c r="E138" s="446" t="s">
        <v>2161</v>
      </c>
      <c r="F138" s="447" t="s">
        <v>2162</v>
      </c>
      <c r="G138" s="448" t="s">
        <v>111</v>
      </c>
      <c r="H138" s="449">
        <v>34</v>
      </c>
      <c r="I138" s="329">
        <v>0</v>
      </c>
      <c r="J138" s="450">
        <f t="shared" si="0"/>
        <v>0</v>
      </c>
      <c r="K138" s="451"/>
      <c r="L138" s="364"/>
      <c r="M138" s="452" t="s">
        <v>171</v>
      </c>
      <c r="N138" s="415" t="s">
        <v>185</v>
      </c>
      <c r="O138" s="453">
        <v>0.35499999999999998</v>
      </c>
      <c r="P138" s="453">
        <f t="shared" si="1"/>
        <v>12.07</v>
      </c>
      <c r="Q138" s="453">
        <v>0</v>
      </c>
      <c r="R138" s="453">
        <f t="shared" si="2"/>
        <v>0</v>
      </c>
      <c r="S138" s="453">
        <v>0.25</v>
      </c>
      <c r="T138" s="454">
        <f t="shared" si="3"/>
        <v>8.5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2163</v>
      </c>
    </row>
    <row r="139" spans="2:65" s="365" customFormat="1" ht="24.2" customHeight="1" x14ac:dyDescent="0.25">
      <c r="B139" s="364"/>
      <c r="C139" s="445" t="s">
        <v>119</v>
      </c>
      <c r="D139" s="445" t="s">
        <v>218</v>
      </c>
      <c r="E139" s="446" t="s">
        <v>2164</v>
      </c>
      <c r="F139" s="447" t="s">
        <v>2165</v>
      </c>
      <c r="G139" s="448" t="s">
        <v>111</v>
      </c>
      <c r="H139" s="449">
        <v>34</v>
      </c>
      <c r="I139" s="329">
        <v>0</v>
      </c>
      <c r="J139" s="450">
        <f t="shared" si="0"/>
        <v>0</v>
      </c>
      <c r="K139" s="451"/>
      <c r="L139" s="364"/>
      <c r="M139" s="452" t="s">
        <v>171</v>
      </c>
      <c r="N139" s="415" t="s">
        <v>185</v>
      </c>
      <c r="O139" s="453">
        <v>0.82699999999999996</v>
      </c>
      <c r="P139" s="453">
        <f t="shared" si="1"/>
        <v>28.117999999999999</v>
      </c>
      <c r="Q139" s="453">
        <v>0</v>
      </c>
      <c r="R139" s="453">
        <f t="shared" si="2"/>
        <v>0</v>
      </c>
      <c r="S139" s="453">
        <v>0.5</v>
      </c>
      <c r="T139" s="454">
        <f t="shared" si="3"/>
        <v>17</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2166</v>
      </c>
    </row>
    <row r="140" spans="2:65" s="365" customFormat="1" ht="37.9" customHeight="1" x14ac:dyDescent="0.25">
      <c r="B140" s="364"/>
      <c r="C140" s="445" t="s">
        <v>110</v>
      </c>
      <c r="D140" s="445" t="s">
        <v>218</v>
      </c>
      <c r="E140" s="446" t="s">
        <v>712</v>
      </c>
      <c r="F140" s="447" t="s">
        <v>2167</v>
      </c>
      <c r="G140" s="448" t="s">
        <v>114</v>
      </c>
      <c r="H140" s="449">
        <v>21.16</v>
      </c>
      <c r="I140" s="329">
        <v>0</v>
      </c>
      <c r="J140" s="450">
        <f t="shared" si="0"/>
        <v>0</v>
      </c>
      <c r="K140" s="451"/>
      <c r="L140" s="364"/>
      <c r="M140" s="452" t="s">
        <v>171</v>
      </c>
      <c r="N140" s="415" t="s">
        <v>185</v>
      </c>
      <c r="O140" s="453">
        <v>4.8899999999999999E-2</v>
      </c>
      <c r="P140" s="453">
        <f t="shared" si="1"/>
        <v>1.034724</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2168</v>
      </c>
    </row>
    <row r="141" spans="2:65" s="365" customFormat="1" ht="44.25" customHeight="1" x14ac:dyDescent="0.25">
      <c r="B141" s="364"/>
      <c r="C141" s="445" t="s">
        <v>118</v>
      </c>
      <c r="D141" s="445" t="s">
        <v>218</v>
      </c>
      <c r="E141" s="446" t="s">
        <v>714</v>
      </c>
      <c r="F141" s="447" t="s">
        <v>2169</v>
      </c>
      <c r="G141" s="448" t="s">
        <v>114</v>
      </c>
      <c r="H141" s="449">
        <v>423.3</v>
      </c>
      <c r="I141" s="329">
        <v>0</v>
      </c>
      <c r="J141" s="450">
        <f t="shared" si="0"/>
        <v>0</v>
      </c>
      <c r="K141" s="451"/>
      <c r="L141" s="364"/>
      <c r="M141" s="452" t="s">
        <v>171</v>
      </c>
      <c r="N141" s="415" t="s">
        <v>185</v>
      </c>
      <c r="O141" s="453">
        <v>5.3899999999999998E-3</v>
      </c>
      <c r="P141" s="453">
        <f t="shared" si="1"/>
        <v>2.281587</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2170</v>
      </c>
    </row>
    <row r="142" spans="2:65" s="365" customFormat="1" ht="21.75" customHeight="1" x14ac:dyDescent="0.25">
      <c r="B142" s="364"/>
      <c r="C142" s="445" t="s">
        <v>117</v>
      </c>
      <c r="D142" s="445" t="s">
        <v>218</v>
      </c>
      <c r="E142" s="446" t="s">
        <v>717</v>
      </c>
      <c r="F142" s="447" t="s">
        <v>224</v>
      </c>
      <c r="G142" s="448" t="s">
        <v>114</v>
      </c>
      <c r="H142" s="449">
        <v>21.16</v>
      </c>
      <c r="I142" s="329">
        <v>0</v>
      </c>
      <c r="J142" s="450">
        <f t="shared" si="0"/>
        <v>0</v>
      </c>
      <c r="K142" s="451"/>
      <c r="L142" s="364"/>
      <c r="M142" s="452" t="s">
        <v>171</v>
      </c>
      <c r="N142" s="415" t="s">
        <v>185</v>
      </c>
      <c r="O142" s="453">
        <v>8.0000000000000002E-3</v>
      </c>
      <c r="P142" s="453">
        <f t="shared" si="1"/>
        <v>0.16928000000000001</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2171</v>
      </c>
    </row>
    <row r="143" spans="2:65" s="365" customFormat="1" ht="24.2" customHeight="1" x14ac:dyDescent="0.25">
      <c r="B143" s="364"/>
      <c r="C143" s="445" t="s">
        <v>116</v>
      </c>
      <c r="D143" s="481" t="s">
        <v>218</v>
      </c>
      <c r="E143" s="479" t="s">
        <v>1101</v>
      </c>
      <c r="F143" s="472" t="s">
        <v>3144</v>
      </c>
      <c r="G143" s="473" t="s">
        <v>112</v>
      </c>
      <c r="H143" s="474">
        <f>Ponuka!S132</f>
        <v>33.861000000000004</v>
      </c>
      <c r="I143" s="329">
        <v>0</v>
      </c>
      <c r="J143" s="450">
        <f t="shared" si="0"/>
        <v>0</v>
      </c>
      <c r="K143" s="451"/>
      <c r="L143" s="364"/>
      <c r="M143" s="452" t="s">
        <v>171</v>
      </c>
      <c r="N143" s="415" t="s">
        <v>185</v>
      </c>
      <c r="O143" s="453">
        <v>0</v>
      </c>
      <c r="P143" s="453">
        <f t="shared" si="1"/>
        <v>0</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2172</v>
      </c>
    </row>
    <row r="144" spans="2:65" s="434" customFormat="1" ht="22.9" customHeight="1" x14ac:dyDescent="0.2">
      <c r="B144" s="433"/>
      <c r="D144" s="435" t="s">
        <v>216</v>
      </c>
      <c r="E144" s="443" t="s">
        <v>108</v>
      </c>
      <c r="F144" s="443" t="s">
        <v>469</v>
      </c>
      <c r="I144" s="467"/>
      <c r="J144" s="444">
        <f>BK144</f>
        <v>0</v>
      </c>
      <c r="L144" s="433"/>
      <c r="M144" s="438"/>
      <c r="P144" s="439">
        <f>SUM(P145:P150)</f>
        <v>118.53410172</v>
      </c>
      <c r="R144" s="439">
        <f>SUM(R145:R150)</f>
        <v>64.724737791447993</v>
      </c>
      <c r="T144" s="440">
        <f>SUM(T145:T150)</f>
        <v>0</v>
      </c>
      <c r="AR144" s="435" t="s">
        <v>109</v>
      </c>
      <c r="AT144" s="441" t="s">
        <v>216</v>
      </c>
      <c r="AU144" s="441" t="s">
        <v>109</v>
      </c>
      <c r="AY144" s="435" t="s">
        <v>217</v>
      </c>
      <c r="BK144" s="442">
        <f>SUM(BK145:BK150)</f>
        <v>0</v>
      </c>
    </row>
    <row r="145" spans="2:65" s="365" customFormat="1" ht="16.5" customHeight="1" x14ac:dyDescent="0.25">
      <c r="B145" s="364"/>
      <c r="C145" s="445" t="s">
        <v>115</v>
      </c>
      <c r="D145" s="445" t="s">
        <v>218</v>
      </c>
      <c r="E145" s="446" t="s">
        <v>2173</v>
      </c>
      <c r="F145" s="447" t="s">
        <v>2174</v>
      </c>
      <c r="G145" s="448" t="s">
        <v>114</v>
      </c>
      <c r="H145" s="449">
        <v>4.5</v>
      </c>
      <c r="I145" s="329">
        <v>0</v>
      </c>
      <c r="J145" s="450">
        <f t="shared" ref="J145:J150" si="10">ROUND(I145*H145,2)</f>
        <v>0</v>
      </c>
      <c r="K145" s="451"/>
      <c r="L145" s="364"/>
      <c r="M145" s="452" t="s">
        <v>171</v>
      </c>
      <c r="N145" s="415" t="s">
        <v>185</v>
      </c>
      <c r="O145" s="453">
        <v>0.58055000000000001</v>
      </c>
      <c r="P145" s="453">
        <f t="shared" ref="P145:P150" si="11">O145*H145</f>
        <v>2.6124749999999999</v>
      </c>
      <c r="Q145" s="453">
        <v>2.204E-6</v>
      </c>
      <c r="R145" s="453">
        <f t="shared" ref="R145:R150" si="12">Q145*H145</f>
        <v>9.9180000000000006E-6</v>
      </c>
      <c r="S145" s="453">
        <v>0</v>
      </c>
      <c r="T145" s="454">
        <f t="shared" ref="T145:T150" si="13">S145*H145</f>
        <v>0</v>
      </c>
      <c r="AR145" s="455" t="s">
        <v>110</v>
      </c>
      <c r="AT145" s="455" t="s">
        <v>218</v>
      </c>
      <c r="AU145" s="455" t="s">
        <v>108</v>
      </c>
      <c r="AY145" s="357" t="s">
        <v>217</v>
      </c>
      <c r="BE145" s="456">
        <f t="shared" ref="BE145:BE150" si="14">IF(N145="základná",J145,0)</f>
        <v>0</v>
      </c>
      <c r="BF145" s="456">
        <f t="shared" ref="BF145:BF150" si="15">IF(N145="znížená",J145,0)</f>
        <v>0</v>
      </c>
      <c r="BG145" s="456">
        <f t="shared" ref="BG145:BG150" si="16">IF(N145="zákl. prenesená",J145,0)</f>
        <v>0</v>
      </c>
      <c r="BH145" s="456">
        <f t="shared" ref="BH145:BH150" si="17">IF(N145="zníž. prenesená",J145,0)</f>
        <v>0</v>
      </c>
      <c r="BI145" s="456">
        <f t="shared" ref="BI145:BI150" si="18">IF(N145="nulová",J145,0)</f>
        <v>0</v>
      </c>
      <c r="BJ145" s="357" t="s">
        <v>108</v>
      </c>
      <c r="BK145" s="456">
        <f t="shared" ref="BK145:BK150" si="19">ROUND(I145*H145,2)</f>
        <v>0</v>
      </c>
      <c r="BL145" s="357" t="s">
        <v>110</v>
      </c>
      <c r="BM145" s="455" t="s">
        <v>2175</v>
      </c>
    </row>
    <row r="146" spans="2:65" s="365" customFormat="1" ht="24.2" customHeight="1" x14ac:dyDescent="0.25">
      <c r="B146" s="364"/>
      <c r="C146" s="457" t="s">
        <v>162</v>
      </c>
      <c r="D146" s="457" t="s">
        <v>259</v>
      </c>
      <c r="E146" s="458" t="s">
        <v>2176</v>
      </c>
      <c r="F146" s="459" t="s">
        <v>2177</v>
      </c>
      <c r="G146" s="460" t="s">
        <v>114</v>
      </c>
      <c r="H146" s="461">
        <v>4.5</v>
      </c>
      <c r="I146" s="330">
        <v>0</v>
      </c>
      <c r="J146" s="462">
        <f t="shared" si="10"/>
        <v>0</v>
      </c>
      <c r="K146" s="463"/>
      <c r="L146" s="464"/>
      <c r="M146" s="465" t="s">
        <v>171</v>
      </c>
      <c r="N146" s="466" t="s">
        <v>185</v>
      </c>
      <c r="O146" s="453">
        <v>0</v>
      </c>
      <c r="P146" s="453">
        <f t="shared" si="11"/>
        <v>0</v>
      </c>
      <c r="Q146" s="453">
        <v>2.1723499999999998</v>
      </c>
      <c r="R146" s="453">
        <f t="shared" si="12"/>
        <v>9.7755749999999999</v>
      </c>
      <c r="S146" s="453">
        <v>0</v>
      </c>
      <c r="T146" s="454">
        <f t="shared" si="13"/>
        <v>0</v>
      </c>
      <c r="AR146" s="455" t="s">
        <v>115</v>
      </c>
      <c r="AT146" s="455" t="s">
        <v>259</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2178</v>
      </c>
    </row>
    <row r="147" spans="2:65" s="365" customFormat="1" ht="16.5" customHeight="1" x14ac:dyDescent="0.25">
      <c r="B147" s="364"/>
      <c r="C147" s="445" t="s">
        <v>221</v>
      </c>
      <c r="D147" s="445" t="s">
        <v>218</v>
      </c>
      <c r="E147" s="446" t="s">
        <v>2179</v>
      </c>
      <c r="F147" s="447" t="s">
        <v>2180</v>
      </c>
      <c r="G147" s="448" t="s">
        <v>114</v>
      </c>
      <c r="H147" s="449">
        <v>11.512</v>
      </c>
      <c r="I147" s="329">
        <v>0</v>
      </c>
      <c r="J147" s="450">
        <f t="shared" si="10"/>
        <v>0</v>
      </c>
      <c r="K147" s="451"/>
      <c r="L147" s="364"/>
      <c r="M147" s="452" t="s">
        <v>171</v>
      </c>
      <c r="N147" s="415" t="s">
        <v>185</v>
      </c>
      <c r="O147" s="453">
        <v>0.58055999999999996</v>
      </c>
      <c r="P147" s="453">
        <f t="shared" si="11"/>
        <v>6.6834067199999998</v>
      </c>
      <c r="Q147" s="453">
        <v>2.2375227039999999</v>
      </c>
      <c r="R147" s="453">
        <f t="shared" si="12"/>
        <v>25.758361368448</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2181</v>
      </c>
    </row>
    <row r="148" spans="2:65" s="365" customFormat="1" ht="24.2" customHeight="1" x14ac:dyDescent="0.25">
      <c r="B148" s="364"/>
      <c r="C148" s="457" t="s">
        <v>222</v>
      </c>
      <c r="D148" s="457" t="s">
        <v>259</v>
      </c>
      <c r="E148" s="458" t="s">
        <v>2182</v>
      </c>
      <c r="F148" s="459" t="s">
        <v>2183</v>
      </c>
      <c r="G148" s="460" t="s">
        <v>114</v>
      </c>
      <c r="H148" s="461">
        <v>11.512</v>
      </c>
      <c r="I148" s="330">
        <v>0</v>
      </c>
      <c r="J148" s="462">
        <f t="shared" si="10"/>
        <v>0</v>
      </c>
      <c r="K148" s="463"/>
      <c r="L148" s="464"/>
      <c r="M148" s="465" t="s">
        <v>171</v>
      </c>
      <c r="N148" s="466" t="s">
        <v>185</v>
      </c>
      <c r="O148" s="453">
        <v>0</v>
      </c>
      <c r="P148" s="453">
        <f t="shared" si="11"/>
        <v>0</v>
      </c>
      <c r="Q148" s="453">
        <v>2.1791999999999998</v>
      </c>
      <c r="R148" s="453">
        <f t="shared" si="12"/>
        <v>25.086950399999999</v>
      </c>
      <c r="S148" s="453">
        <v>0</v>
      </c>
      <c r="T148" s="454">
        <f t="shared" si="13"/>
        <v>0</v>
      </c>
      <c r="AR148" s="455" t="s">
        <v>115</v>
      </c>
      <c r="AT148" s="455" t="s">
        <v>259</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2184</v>
      </c>
    </row>
    <row r="149" spans="2:65" s="365" customFormat="1" ht="21.75" customHeight="1" x14ac:dyDescent="0.25">
      <c r="B149" s="364"/>
      <c r="C149" s="445" t="s">
        <v>223</v>
      </c>
      <c r="D149" s="445" t="s">
        <v>218</v>
      </c>
      <c r="E149" s="446" t="s">
        <v>2185</v>
      </c>
      <c r="F149" s="447" t="s">
        <v>2186</v>
      </c>
      <c r="G149" s="448" t="s">
        <v>111</v>
      </c>
      <c r="H149" s="449">
        <v>73.709999999999994</v>
      </c>
      <c r="I149" s="329">
        <v>0</v>
      </c>
      <c r="J149" s="450">
        <f t="shared" si="10"/>
        <v>0</v>
      </c>
      <c r="K149" s="451"/>
      <c r="L149" s="364"/>
      <c r="M149" s="452" t="s">
        <v>171</v>
      </c>
      <c r="N149" s="415" t="s">
        <v>185</v>
      </c>
      <c r="O149" s="453">
        <v>1.052</v>
      </c>
      <c r="P149" s="453">
        <f t="shared" si="11"/>
        <v>77.542919999999995</v>
      </c>
      <c r="Q149" s="453">
        <v>5.5675500000000003E-2</v>
      </c>
      <c r="R149" s="453">
        <f t="shared" si="12"/>
        <v>4.1038411049999999</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2187</v>
      </c>
    </row>
    <row r="150" spans="2:65" s="365" customFormat="1" ht="24.2" customHeight="1" x14ac:dyDescent="0.25">
      <c r="B150" s="364"/>
      <c r="C150" s="445" t="s">
        <v>225</v>
      </c>
      <c r="D150" s="445" t="s">
        <v>218</v>
      </c>
      <c r="E150" s="446" t="s">
        <v>2188</v>
      </c>
      <c r="F150" s="447" t="s">
        <v>2189</v>
      </c>
      <c r="G150" s="448" t="s">
        <v>111</v>
      </c>
      <c r="H150" s="449">
        <v>73.709999999999994</v>
      </c>
      <c r="I150" s="329">
        <v>0</v>
      </c>
      <c r="J150" s="450">
        <f t="shared" si="10"/>
        <v>0</v>
      </c>
      <c r="K150" s="451"/>
      <c r="L150" s="364"/>
      <c r="M150" s="452" t="s">
        <v>171</v>
      </c>
      <c r="N150" s="415" t="s">
        <v>185</v>
      </c>
      <c r="O150" s="453">
        <v>0.43</v>
      </c>
      <c r="P150" s="453">
        <f t="shared" si="11"/>
        <v>31.695299999999996</v>
      </c>
      <c r="Q150" s="453">
        <v>0</v>
      </c>
      <c r="R150" s="453">
        <f t="shared" si="12"/>
        <v>0</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2190</v>
      </c>
    </row>
    <row r="151" spans="2:65" s="434" customFormat="1" ht="22.9" customHeight="1" x14ac:dyDescent="0.2">
      <c r="B151" s="433"/>
      <c r="D151" s="435" t="s">
        <v>216</v>
      </c>
      <c r="E151" s="443" t="s">
        <v>119</v>
      </c>
      <c r="F151" s="443" t="s">
        <v>541</v>
      </c>
      <c r="I151" s="467"/>
      <c r="J151" s="444">
        <f>BK151</f>
        <v>0</v>
      </c>
      <c r="L151" s="433"/>
      <c r="M151" s="438"/>
      <c r="P151" s="439">
        <f>SUM(P152:P161)</f>
        <v>66.915999999999983</v>
      </c>
      <c r="R151" s="439">
        <f>SUM(R152:R161)</f>
        <v>0.54559999999999997</v>
      </c>
      <c r="T151" s="440">
        <f>SUM(T152:T161)</f>
        <v>0</v>
      </c>
      <c r="AR151" s="435" t="s">
        <v>109</v>
      </c>
      <c r="AT151" s="441" t="s">
        <v>216</v>
      </c>
      <c r="AU151" s="441" t="s">
        <v>109</v>
      </c>
      <c r="AY151" s="435" t="s">
        <v>217</v>
      </c>
      <c r="BK151" s="442">
        <f>SUM(BK152:BK161)</f>
        <v>0</v>
      </c>
    </row>
    <row r="152" spans="2:65" s="365" customFormat="1" ht="24.2" customHeight="1" x14ac:dyDescent="0.25">
      <c r="B152" s="364"/>
      <c r="C152" s="445" t="s">
        <v>226</v>
      </c>
      <c r="D152" s="445" t="s">
        <v>218</v>
      </c>
      <c r="E152" s="446" t="s">
        <v>2191</v>
      </c>
      <c r="F152" s="447" t="s">
        <v>2192</v>
      </c>
      <c r="G152" s="448" t="s">
        <v>113</v>
      </c>
      <c r="H152" s="449">
        <v>1364</v>
      </c>
      <c r="I152" s="329">
        <v>0</v>
      </c>
      <c r="J152" s="450">
        <f t="shared" ref="J152:J161" si="20">ROUND(I152*H152,2)</f>
        <v>0</v>
      </c>
      <c r="K152" s="451"/>
      <c r="L152" s="364"/>
      <c r="M152" s="452" t="s">
        <v>171</v>
      </c>
      <c r="N152" s="415" t="s">
        <v>185</v>
      </c>
      <c r="O152" s="453">
        <v>3.6999999999999998E-2</v>
      </c>
      <c r="P152" s="453">
        <f t="shared" ref="P152:P161" si="21">O152*H152</f>
        <v>50.467999999999996</v>
      </c>
      <c r="Q152" s="453">
        <v>0</v>
      </c>
      <c r="R152" s="453">
        <f t="shared" ref="R152:R161" si="22">Q152*H152</f>
        <v>0</v>
      </c>
      <c r="S152" s="453">
        <v>0</v>
      </c>
      <c r="T152" s="454">
        <f t="shared" ref="T152:T161" si="23">S152*H152</f>
        <v>0</v>
      </c>
      <c r="AR152" s="455" t="s">
        <v>110</v>
      </c>
      <c r="AT152" s="455" t="s">
        <v>218</v>
      </c>
      <c r="AU152" s="455" t="s">
        <v>108</v>
      </c>
      <c r="AY152" s="357" t="s">
        <v>217</v>
      </c>
      <c r="BE152" s="456">
        <f t="shared" ref="BE152:BE161" si="24">IF(N152="základná",J152,0)</f>
        <v>0</v>
      </c>
      <c r="BF152" s="456">
        <f t="shared" ref="BF152:BF161" si="25">IF(N152="znížená",J152,0)</f>
        <v>0</v>
      </c>
      <c r="BG152" s="456">
        <f t="shared" ref="BG152:BG161" si="26">IF(N152="zákl. prenesená",J152,0)</f>
        <v>0</v>
      </c>
      <c r="BH152" s="456">
        <f t="shared" ref="BH152:BH161" si="27">IF(N152="zníž. prenesená",J152,0)</f>
        <v>0</v>
      </c>
      <c r="BI152" s="456">
        <f t="shared" ref="BI152:BI161" si="28">IF(N152="nulová",J152,0)</f>
        <v>0</v>
      </c>
      <c r="BJ152" s="357" t="s">
        <v>108</v>
      </c>
      <c r="BK152" s="456">
        <f t="shared" ref="BK152:BK161" si="29">ROUND(I152*H152,2)</f>
        <v>0</v>
      </c>
      <c r="BL152" s="357" t="s">
        <v>110</v>
      </c>
      <c r="BM152" s="455" t="s">
        <v>2193</v>
      </c>
    </row>
    <row r="153" spans="2:65" s="365" customFormat="1" ht="24.2" customHeight="1" x14ac:dyDescent="0.25">
      <c r="B153" s="364"/>
      <c r="C153" s="457" t="s">
        <v>227</v>
      </c>
      <c r="D153" s="457" t="s">
        <v>259</v>
      </c>
      <c r="E153" s="458" t="s">
        <v>2194</v>
      </c>
      <c r="F153" s="459" t="s">
        <v>2195</v>
      </c>
      <c r="G153" s="460" t="s">
        <v>113</v>
      </c>
      <c r="H153" s="461">
        <v>1364</v>
      </c>
      <c r="I153" s="330">
        <v>0</v>
      </c>
      <c r="J153" s="462">
        <f t="shared" si="20"/>
        <v>0</v>
      </c>
      <c r="K153" s="463"/>
      <c r="L153" s="464"/>
      <c r="M153" s="465" t="s">
        <v>171</v>
      </c>
      <c r="N153" s="466" t="s">
        <v>185</v>
      </c>
      <c r="O153" s="453">
        <v>0</v>
      </c>
      <c r="P153" s="453">
        <f t="shared" si="21"/>
        <v>0</v>
      </c>
      <c r="Q153" s="453">
        <v>4.0000000000000002E-4</v>
      </c>
      <c r="R153" s="453">
        <f t="shared" si="22"/>
        <v>0.54559999999999997</v>
      </c>
      <c r="S153" s="453">
        <v>0</v>
      </c>
      <c r="T153" s="454">
        <f t="shared" si="23"/>
        <v>0</v>
      </c>
      <c r="AR153" s="455" t="s">
        <v>115</v>
      </c>
      <c r="AT153" s="455" t="s">
        <v>259</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2196</v>
      </c>
    </row>
    <row r="154" spans="2:65" s="365" customFormat="1" ht="16.5" customHeight="1" x14ac:dyDescent="0.25">
      <c r="B154" s="364"/>
      <c r="C154" s="445" t="s">
        <v>228</v>
      </c>
      <c r="D154" s="445" t="s">
        <v>218</v>
      </c>
      <c r="E154" s="446" t="s">
        <v>2197</v>
      </c>
      <c r="F154" s="447" t="s">
        <v>2198</v>
      </c>
      <c r="G154" s="448" t="s">
        <v>2199</v>
      </c>
      <c r="H154" s="449">
        <v>10</v>
      </c>
      <c r="I154" s="329">
        <v>0</v>
      </c>
      <c r="J154" s="450">
        <f t="shared" si="20"/>
        <v>0</v>
      </c>
      <c r="K154" s="451"/>
      <c r="L154" s="364"/>
      <c r="M154" s="452" t="s">
        <v>171</v>
      </c>
      <c r="N154" s="415" t="s">
        <v>185</v>
      </c>
      <c r="O154" s="453">
        <v>4.8000000000000001E-2</v>
      </c>
      <c r="P154" s="453">
        <f t="shared" si="21"/>
        <v>0.48</v>
      </c>
      <c r="Q154" s="453">
        <v>0</v>
      </c>
      <c r="R154" s="453">
        <f t="shared" si="22"/>
        <v>0</v>
      </c>
      <c r="S154" s="453">
        <v>0</v>
      </c>
      <c r="T154" s="454">
        <f t="shared" si="23"/>
        <v>0</v>
      </c>
      <c r="AR154" s="455" t="s">
        <v>110</v>
      </c>
      <c r="AT154" s="455" t="s">
        <v>218</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2200</v>
      </c>
    </row>
    <row r="155" spans="2:65" s="365" customFormat="1" ht="16.5" customHeight="1" x14ac:dyDescent="0.25">
      <c r="B155" s="364"/>
      <c r="C155" s="445" t="s">
        <v>229</v>
      </c>
      <c r="D155" s="445" t="s">
        <v>218</v>
      </c>
      <c r="E155" s="446" t="s">
        <v>2201</v>
      </c>
      <c r="F155" s="447" t="s">
        <v>2202</v>
      </c>
      <c r="G155" s="448" t="s">
        <v>2199</v>
      </c>
      <c r="H155" s="449">
        <v>10</v>
      </c>
      <c r="I155" s="329">
        <v>0</v>
      </c>
      <c r="J155" s="450">
        <f t="shared" si="20"/>
        <v>0</v>
      </c>
      <c r="K155" s="451"/>
      <c r="L155" s="364"/>
      <c r="M155" s="452" t="s">
        <v>171</v>
      </c>
      <c r="N155" s="415" t="s">
        <v>185</v>
      </c>
      <c r="O155" s="453">
        <v>4.8000000000000001E-2</v>
      </c>
      <c r="P155" s="453">
        <f t="shared" si="21"/>
        <v>0.48</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2203</v>
      </c>
    </row>
    <row r="156" spans="2:65" s="365" customFormat="1" ht="16.5" customHeight="1" x14ac:dyDescent="0.25">
      <c r="B156" s="364"/>
      <c r="C156" s="445" t="s">
        <v>231</v>
      </c>
      <c r="D156" s="445" t="s">
        <v>218</v>
      </c>
      <c r="E156" s="446" t="s">
        <v>1648</v>
      </c>
      <c r="F156" s="447" t="s">
        <v>1649</v>
      </c>
      <c r="G156" s="448" t="s">
        <v>123</v>
      </c>
      <c r="H156" s="449">
        <v>56</v>
      </c>
      <c r="I156" s="329">
        <v>0</v>
      </c>
      <c r="J156" s="450">
        <f t="shared" si="20"/>
        <v>0</v>
      </c>
      <c r="K156" s="451"/>
      <c r="L156" s="364"/>
      <c r="M156" s="452" t="s">
        <v>171</v>
      </c>
      <c r="N156" s="415" t="s">
        <v>185</v>
      </c>
      <c r="O156" s="453">
        <v>5.5E-2</v>
      </c>
      <c r="P156" s="453">
        <f t="shared" si="21"/>
        <v>3.08</v>
      </c>
      <c r="Q156" s="453">
        <v>0</v>
      </c>
      <c r="R156" s="453">
        <f t="shared" si="22"/>
        <v>0</v>
      </c>
      <c r="S156" s="453">
        <v>0</v>
      </c>
      <c r="T156" s="454">
        <f t="shared" si="23"/>
        <v>0</v>
      </c>
      <c r="AR156" s="455" t="s">
        <v>110</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2204</v>
      </c>
    </row>
    <row r="157" spans="2:65" s="365" customFormat="1" ht="16.5" customHeight="1" x14ac:dyDescent="0.25">
      <c r="B157" s="364"/>
      <c r="C157" s="445" t="s">
        <v>232</v>
      </c>
      <c r="D157" s="445" t="s">
        <v>218</v>
      </c>
      <c r="E157" s="446" t="s">
        <v>2205</v>
      </c>
      <c r="F157" s="447" t="s">
        <v>2206</v>
      </c>
      <c r="G157" s="448" t="s">
        <v>123</v>
      </c>
      <c r="H157" s="449">
        <v>56</v>
      </c>
      <c r="I157" s="329">
        <v>0</v>
      </c>
      <c r="J157" s="450">
        <f t="shared" si="20"/>
        <v>0</v>
      </c>
      <c r="K157" s="451"/>
      <c r="L157" s="364"/>
      <c r="M157" s="452" t="s">
        <v>171</v>
      </c>
      <c r="N157" s="415" t="s">
        <v>185</v>
      </c>
      <c r="O157" s="453">
        <v>0</v>
      </c>
      <c r="P157" s="453">
        <f t="shared" si="21"/>
        <v>0</v>
      </c>
      <c r="Q157" s="453">
        <v>0</v>
      </c>
      <c r="R157" s="453">
        <f t="shared" si="22"/>
        <v>0</v>
      </c>
      <c r="S157" s="453">
        <v>0</v>
      </c>
      <c r="T157" s="454">
        <f t="shared" si="23"/>
        <v>0</v>
      </c>
      <c r="AR157" s="455" t="s">
        <v>2207</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2207</v>
      </c>
      <c r="BM157" s="455" t="s">
        <v>2208</v>
      </c>
    </row>
    <row r="158" spans="2:65" s="365" customFormat="1" ht="16.5" customHeight="1" x14ac:dyDescent="0.25">
      <c r="B158" s="364"/>
      <c r="C158" s="445" t="s">
        <v>234</v>
      </c>
      <c r="D158" s="445" t="s">
        <v>218</v>
      </c>
      <c r="E158" s="446" t="s">
        <v>1654</v>
      </c>
      <c r="F158" s="447" t="s">
        <v>2209</v>
      </c>
      <c r="G158" s="448" t="s">
        <v>123</v>
      </c>
      <c r="H158" s="449">
        <v>8</v>
      </c>
      <c r="I158" s="329">
        <v>0</v>
      </c>
      <c r="J158" s="450">
        <f t="shared" si="20"/>
        <v>0</v>
      </c>
      <c r="K158" s="451"/>
      <c r="L158" s="364"/>
      <c r="M158" s="452" t="s">
        <v>171</v>
      </c>
      <c r="N158" s="415" t="s">
        <v>185</v>
      </c>
      <c r="O158" s="453">
        <v>1.4770000000000001</v>
      </c>
      <c r="P158" s="453">
        <f t="shared" si="21"/>
        <v>11.816000000000001</v>
      </c>
      <c r="Q158" s="453">
        <v>0</v>
      </c>
      <c r="R158" s="453">
        <f t="shared" si="22"/>
        <v>0</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2210</v>
      </c>
    </row>
    <row r="159" spans="2:65" s="365" customFormat="1" ht="24.2" customHeight="1" x14ac:dyDescent="0.25">
      <c r="B159" s="364"/>
      <c r="C159" s="445" t="s">
        <v>235</v>
      </c>
      <c r="D159" s="445" t="s">
        <v>218</v>
      </c>
      <c r="E159" s="446" t="s">
        <v>2211</v>
      </c>
      <c r="F159" s="447" t="s">
        <v>2212</v>
      </c>
      <c r="G159" s="448" t="s">
        <v>123</v>
      </c>
      <c r="H159" s="449">
        <v>8</v>
      </c>
      <c r="I159" s="329">
        <v>0</v>
      </c>
      <c r="J159" s="450">
        <f t="shared" si="20"/>
        <v>0</v>
      </c>
      <c r="K159" s="451"/>
      <c r="L159" s="364"/>
      <c r="M159" s="452" t="s">
        <v>171</v>
      </c>
      <c r="N159" s="415" t="s">
        <v>185</v>
      </c>
      <c r="O159" s="453">
        <v>0</v>
      </c>
      <c r="P159" s="453">
        <f t="shared" si="21"/>
        <v>0</v>
      </c>
      <c r="Q159" s="453">
        <v>0</v>
      </c>
      <c r="R159" s="453">
        <f t="shared" si="22"/>
        <v>0</v>
      </c>
      <c r="S159" s="453">
        <v>0</v>
      </c>
      <c r="T159" s="454">
        <f t="shared" si="23"/>
        <v>0</v>
      </c>
      <c r="AR159" s="455" t="s">
        <v>2207</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2207</v>
      </c>
      <c r="BM159" s="455" t="s">
        <v>2213</v>
      </c>
    </row>
    <row r="160" spans="2:65" s="365" customFormat="1" ht="21.75" customHeight="1" x14ac:dyDescent="0.25">
      <c r="B160" s="364"/>
      <c r="C160" s="445" t="s">
        <v>236</v>
      </c>
      <c r="D160" s="445" t="s">
        <v>218</v>
      </c>
      <c r="E160" s="446" t="s">
        <v>2214</v>
      </c>
      <c r="F160" s="447" t="s">
        <v>2215</v>
      </c>
      <c r="G160" s="448" t="s">
        <v>123</v>
      </c>
      <c r="H160" s="449">
        <v>4</v>
      </c>
      <c r="I160" s="329">
        <v>0</v>
      </c>
      <c r="J160" s="450">
        <f t="shared" si="20"/>
        <v>0</v>
      </c>
      <c r="K160" s="451"/>
      <c r="L160" s="364"/>
      <c r="M160" s="452" t="s">
        <v>171</v>
      </c>
      <c r="N160" s="415" t="s">
        <v>185</v>
      </c>
      <c r="O160" s="453">
        <v>0.14799999999999999</v>
      </c>
      <c r="P160" s="453">
        <f t="shared" si="21"/>
        <v>0.59199999999999997</v>
      </c>
      <c r="Q160" s="453">
        <v>0</v>
      </c>
      <c r="R160" s="453">
        <f t="shared" si="22"/>
        <v>0</v>
      </c>
      <c r="S160" s="453">
        <v>0</v>
      </c>
      <c r="T160" s="454">
        <f t="shared" si="23"/>
        <v>0</v>
      </c>
      <c r="AR160" s="455" t="s">
        <v>110</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2216</v>
      </c>
    </row>
    <row r="161" spans="2:65" s="365" customFormat="1" ht="16.5" customHeight="1" x14ac:dyDescent="0.25">
      <c r="B161" s="364"/>
      <c r="C161" s="445" t="s">
        <v>237</v>
      </c>
      <c r="D161" s="445" t="s">
        <v>218</v>
      </c>
      <c r="E161" s="446" t="s">
        <v>2217</v>
      </c>
      <c r="F161" s="447" t="s">
        <v>2218</v>
      </c>
      <c r="G161" s="448" t="s">
        <v>123</v>
      </c>
      <c r="H161" s="449">
        <v>4</v>
      </c>
      <c r="I161" s="329">
        <v>0</v>
      </c>
      <c r="J161" s="450">
        <f t="shared" si="20"/>
        <v>0</v>
      </c>
      <c r="K161" s="451"/>
      <c r="L161" s="364"/>
      <c r="M161" s="452" t="s">
        <v>171</v>
      </c>
      <c r="N161" s="415" t="s">
        <v>185</v>
      </c>
      <c r="O161" s="453">
        <v>0</v>
      </c>
      <c r="P161" s="453">
        <f t="shared" si="21"/>
        <v>0</v>
      </c>
      <c r="Q161" s="453">
        <v>0</v>
      </c>
      <c r="R161" s="453">
        <f t="shared" si="22"/>
        <v>0</v>
      </c>
      <c r="S161" s="453">
        <v>0</v>
      </c>
      <c r="T161" s="454">
        <f t="shared" si="23"/>
        <v>0</v>
      </c>
      <c r="AR161" s="455" t="s">
        <v>2207</v>
      </c>
      <c r="AT161" s="455" t="s">
        <v>218</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2207</v>
      </c>
      <c r="BM161" s="455" t="s">
        <v>2219</v>
      </c>
    </row>
    <row r="162" spans="2:65" s="434" customFormat="1" ht="22.9" customHeight="1" x14ac:dyDescent="0.2">
      <c r="B162" s="433"/>
      <c r="D162" s="435" t="s">
        <v>216</v>
      </c>
      <c r="E162" s="443" t="s">
        <v>115</v>
      </c>
      <c r="F162" s="443" t="s">
        <v>1023</v>
      </c>
      <c r="I162" s="467"/>
      <c r="J162" s="444">
        <f>BK162</f>
        <v>0</v>
      </c>
      <c r="L162" s="433"/>
      <c r="M162" s="438"/>
      <c r="P162" s="439">
        <f>SUM(P163:P165)</f>
        <v>31.56</v>
      </c>
      <c r="R162" s="439">
        <f>SUM(R163:R165)</f>
        <v>0.6</v>
      </c>
      <c r="T162" s="440">
        <f>SUM(T163:T165)</f>
        <v>0</v>
      </c>
      <c r="AR162" s="435" t="s">
        <v>109</v>
      </c>
      <c r="AT162" s="441" t="s">
        <v>216</v>
      </c>
      <c r="AU162" s="441" t="s">
        <v>109</v>
      </c>
      <c r="AY162" s="435" t="s">
        <v>217</v>
      </c>
      <c r="BK162" s="442">
        <f>SUM(BK163:BK165)</f>
        <v>0</v>
      </c>
    </row>
    <row r="163" spans="2:65" s="365" customFormat="1" ht="24.2" customHeight="1" x14ac:dyDescent="0.25">
      <c r="B163" s="364"/>
      <c r="C163" s="445" t="s">
        <v>238</v>
      </c>
      <c r="D163" s="445" t="s">
        <v>218</v>
      </c>
      <c r="E163" s="446" t="s">
        <v>2220</v>
      </c>
      <c r="F163" s="447" t="s">
        <v>2221</v>
      </c>
      <c r="G163" s="448" t="s">
        <v>123</v>
      </c>
      <c r="H163" s="449">
        <v>8</v>
      </c>
      <c r="I163" s="329">
        <v>0</v>
      </c>
      <c r="J163" s="450">
        <f>ROUND(I163*H163,2)</f>
        <v>0</v>
      </c>
      <c r="K163" s="451"/>
      <c r="L163" s="364"/>
      <c r="M163" s="452" t="s">
        <v>171</v>
      </c>
      <c r="N163" s="415" t="s">
        <v>185</v>
      </c>
      <c r="O163" s="453">
        <v>3.9449999999999998</v>
      </c>
      <c r="P163" s="453">
        <f>O163*H163</f>
        <v>31.56</v>
      </c>
      <c r="Q163" s="453">
        <v>7.4999999999999997E-2</v>
      </c>
      <c r="R163" s="453">
        <f>Q163*H163</f>
        <v>0.6</v>
      </c>
      <c r="S163" s="453">
        <v>0</v>
      </c>
      <c r="T163" s="454">
        <f>S163*H163</f>
        <v>0</v>
      </c>
      <c r="AR163" s="455" t="s">
        <v>109</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109</v>
      </c>
      <c r="BM163" s="455" t="s">
        <v>2222</v>
      </c>
    </row>
    <row r="164" spans="2:65" s="365" customFormat="1" ht="16.5" customHeight="1" x14ac:dyDescent="0.25">
      <c r="B164" s="364"/>
      <c r="C164" s="445" t="s">
        <v>239</v>
      </c>
      <c r="D164" s="445" t="s">
        <v>218</v>
      </c>
      <c r="E164" s="446" t="s">
        <v>2223</v>
      </c>
      <c r="F164" s="447" t="s">
        <v>2224</v>
      </c>
      <c r="G164" s="448" t="s">
        <v>123</v>
      </c>
      <c r="H164" s="449">
        <v>8</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2225</v>
      </c>
    </row>
    <row r="165" spans="2:65" s="365" customFormat="1" ht="24.2" customHeight="1" x14ac:dyDescent="0.25">
      <c r="B165" s="364"/>
      <c r="C165" s="445" t="s">
        <v>240</v>
      </c>
      <c r="D165" s="445" t="s">
        <v>218</v>
      </c>
      <c r="E165" s="446" t="s">
        <v>2226</v>
      </c>
      <c r="F165" s="447" t="s">
        <v>2227</v>
      </c>
      <c r="G165" s="448" t="s">
        <v>123</v>
      </c>
      <c r="H165" s="449">
        <v>8</v>
      </c>
      <c r="I165" s="329">
        <v>0</v>
      </c>
      <c r="J165" s="450">
        <f>ROUND(I165*H165,2)</f>
        <v>0</v>
      </c>
      <c r="K165" s="451"/>
      <c r="L165" s="364"/>
      <c r="M165" s="452" t="s">
        <v>171</v>
      </c>
      <c r="N165" s="415" t="s">
        <v>185</v>
      </c>
      <c r="O165" s="453">
        <v>0</v>
      </c>
      <c r="P165" s="453">
        <f>O165*H165</f>
        <v>0</v>
      </c>
      <c r="Q165" s="453">
        <v>0</v>
      </c>
      <c r="R165" s="453">
        <f>Q165*H165</f>
        <v>0</v>
      </c>
      <c r="S165" s="453">
        <v>0</v>
      </c>
      <c r="T165" s="454">
        <f>S165*H165</f>
        <v>0</v>
      </c>
      <c r="AR165" s="455" t="s">
        <v>625</v>
      </c>
      <c r="AT165" s="455" t="s">
        <v>218</v>
      </c>
      <c r="AU165" s="455" t="s">
        <v>108</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625</v>
      </c>
      <c r="BM165" s="455" t="s">
        <v>2228</v>
      </c>
    </row>
    <row r="166" spans="2:65" s="434" customFormat="1" ht="22.9" customHeight="1" x14ac:dyDescent="0.2">
      <c r="B166" s="433"/>
      <c r="D166" s="435" t="s">
        <v>216</v>
      </c>
      <c r="E166" s="443" t="s">
        <v>162</v>
      </c>
      <c r="F166" s="443" t="s">
        <v>633</v>
      </c>
      <c r="I166" s="467"/>
      <c r="J166" s="444">
        <f>BK166</f>
        <v>0</v>
      </c>
      <c r="L166" s="433"/>
      <c r="M166" s="438"/>
      <c r="P166" s="439">
        <f>SUM(P167:P174)</f>
        <v>142.292554</v>
      </c>
      <c r="R166" s="439">
        <f>SUM(R167:R174)</f>
        <v>6.4079999999999996E-4</v>
      </c>
      <c r="T166" s="440">
        <f>SUM(T167:T174)</f>
        <v>34.969000000000001</v>
      </c>
      <c r="AR166" s="435" t="s">
        <v>109</v>
      </c>
      <c r="AT166" s="441" t="s">
        <v>216</v>
      </c>
      <c r="AU166" s="441" t="s">
        <v>109</v>
      </c>
      <c r="AY166" s="435" t="s">
        <v>217</v>
      </c>
      <c r="BK166" s="442">
        <f>SUM(BK167:BK174)</f>
        <v>0</v>
      </c>
    </row>
    <row r="167" spans="2:65" s="365" customFormat="1" ht="24.2" customHeight="1" x14ac:dyDescent="0.25">
      <c r="B167" s="364"/>
      <c r="C167" s="445" t="s">
        <v>241</v>
      </c>
      <c r="D167" s="445" t="s">
        <v>218</v>
      </c>
      <c r="E167" s="446" t="s">
        <v>2229</v>
      </c>
      <c r="F167" s="447" t="s">
        <v>2230</v>
      </c>
      <c r="G167" s="448" t="s">
        <v>113</v>
      </c>
      <c r="H167" s="449">
        <v>40</v>
      </c>
      <c r="I167" s="329">
        <v>0</v>
      </c>
      <c r="J167" s="450">
        <f t="shared" ref="J167:J174" si="30">ROUND(I167*H167,2)</f>
        <v>0</v>
      </c>
      <c r="K167" s="451"/>
      <c r="L167" s="364"/>
      <c r="M167" s="452" t="s">
        <v>171</v>
      </c>
      <c r="N167" s="415" t="s">
        <v>185</v>
      </c>
      <c r="O167" s="453">
        <v>0.314</v>
      </c>
      <c r="P167" s="453">
        <f t="shared" ref="P167:P174" si="31">O167*H167</f>
        <v>12.56</v>
      </c>
      <c r="Q167" s="453">
        <v>8.9999999999999996E-7</v>
      </c>
      <c r="R167" s="453">
        <f t="shared" ref="R167:R174" si="32">Q167*H167</f>
        <v>3.6000000000000001E-5</v>
      </c>
      <c r="S167" s="453">
        <v>0</v>
      </c>
      <c r="T167" s="454">
        <f t="shared" ref="T167:T174" si="33">S167*H167</f>
        <v>0</v>
      </c>
      <c r="AR167" s="455" t="s">
        <v>110</v>
      </c>
      <c r="AT167" s="455" t="s">
        <v>218</v>
      </c>
      <c r="AU167" s="455" t="s">
        <v>108</v>
      </c>
      <c r="AY167" s="357" t="s">
        <v>217</v>
      </c>
      <c r="BE167" s="456">
        <f t="shared" ref="BE167:BE174" si="34">IF(N167="základná",J167,0)</f>
        <v>0</v>
      </c>
      <c r="BF167" s="456">
        <f t="shared" ref="BF167:BF174" si="35">IF(N167="znížená",J167,0)</f>
        <v>0</v>
      </c>
      <c r="BG167" s="456">
        <f t="shared" ref="BG167:BG174" si="36">IF(N167="zákl. prenesená",J167,0)</f>
        <v>0</v>
      </c>
      <c r="BH167" s="456">
        <f t="shared" ref="BH167:BH174" si="37">IF(N167="zníž. prenesená",J167,0)</f>
        <v>0</v>
      </c>
      <c r="BI167" s="456">
        <f t="shared" ref="BI167:BI174" si="38">IF(N167="nulová",J167,0)</f>
        <v>0</v>
      </c>
      <c r="BJ167" s="357" t="s">
        <v>108</v>
      </c>
      <c r="BK167" s="456">
        <f t="shared" ref="BK167:BK174" si="39">ROUND(I167*H167,2)</f>
        <v>0</v>
      </c>
      <c r="BL167" s="357" t="s">
        <v>110</v>
      </c>
      <c r="BM167" s="455" t="s">
        <v>2231</v>
      </c>
    </row>
    <row r="168" spans="2:65" s="365" customFormat="1" ht="24.2" customHeight="1" x14ac:dyDescent="0.25">
      <c r="B168" s="364"/>
      <c r="C168" s="445" t="s">
        <v>242</v>
      </c>
      <c r="D168" s="445" t="s">
        <v>218</v>
      </c>
      <c r="E168" s="446" t="s">
        <v>2232</v>
      </c>
      <c r="F168" s="447" t="s">
        <v>2233</v>
      </c>
      <c r="G168" s="448" t="s">
        <v>113</v>
      </c>
      <c r="H168" s="449">
        <v>40</v>
      </c>
      <c r="I168" s="329">
        <v>0</v>
      </c>
      <c r="J168" s="450">
        <f t="shared" si="30"/>
        <v>0</v>
      </c>
      <c r="K168" s="451"/>
      <c r="L168" s="364"/>
      <c r="M168" s="452" t="s">
        <v>171</v>
      </c>
      <c r="N168" s="415" t="s">
        <v>185</v>
      </c>
      <c r="O168" s="453">
        <v>0.85702</v>
      </c>
      <c r="P168" s="453">
        <f t="shared" si="31"/>
        <v>34.280799999999999</v>
      </c>
      <c r="Q168" s="453">
        <v>1.5119999999999999E-5</v>
      </c>
      <c r="R168" s="453">
        <f t="shared" si="32"/>
        <v>6.0479999999999996E-4</v>
      </c>
      <c r="S168" s="453">
        <v>0</v>
      </c>
      <c r="T168" s="454">
        <f t="shared" si="33"/>
        <v>0</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2234</v>
      </c>
    </row>
    <row r="169" spans="2:65" s="365" customFormat="1" ht="37.9" customHeight="1" x14ac:dyDescent="0.25">
      <c r="B169" s="364"/>
      <c r="C169" s="445" t="s">
        <v>243</v>
      </c>
      <c r="D169" s="445" t="s">
        <v>218</v>
      </c>
      <c r="E169" s="446" t="s">
        <v>1488</v>
      </c>
      <c r="F169" s="447" t="s">
        <v>1489</v>
      </c>
      <c r="G169" s="448" t="s">
        <v>114</v>
      </c>
      <c r="H169" s="449">
        <v>15.895</v>
      </c>
      <c r="I169" s="329">
        <v>0</v>
      </c>
      <c r="J169" s="450">
        <f t="shared" si="30"/>
        <v>0</v>
      </c>
      <c r="K169" s="451"/>
      <c r="L169" s="364"/>
      <c r="M169" s="452" t="s">
        <v>171</v>
      </c>
      <c r="N169" s="415" t="s">
        <v>185</v>
      </c>
      <c r="O169" s="453">
        <v>5.1219999999999999</v>
      </c>
      <c r="P169" s="453">
        <f t="shared" si="31"/>
        <v>81.414189999999991</v>
      </c>
      <c r="Q169" s="453">
        <v>0</v>
      </c>
      <c r="R169" s="453">
        <f t="shared" si="32"/>
        <v>0</v>
      </c>
      <c r="S169" s="453">
        <v>2.2000000000000002</v>
      </c>
      <c r="T169" s="454">
        <f t="shared" si="33"/>
        <v>34.969000000000001</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2235</v>
      </c>
    </row>
    <row r="170" spans="2:65" s="365" customFormat="1" ht="24.2" customHeight="1" x14ac:dyDescent="0.25">
      <c r="B170" s="364"/>
      <c r="C170" s="445" t="s">
        <v>244</v>
      </c>
      <c r="D170" s="445" t="s">
        <v>218</v>
      </c>
      <c r="E170" s="446" t="s">
        <v>652</v>
      </c>
      <c r="F170" s="447" t="s">
        <v>2236</v>
      </c>
      <c r="G170" s="448" t="s">
        <v>112</v>
      </c>
      <c r="H170" s="449">
        <f>H177+H178</f>
        <v>23.241000000000003</v>
      </c>
      <c r="I170" s="329">
        <v>0</v>
      </c>
      <c r="J170" s="450">
        <f t="shared" si="30"/>
        <v>0</v>
      </c>
      <c r="K170" s="451"/>
      <c r="L170" s="364"/>
      <c r="M170" s="452" t="s">
        <v>171</v>
      </c>
      <c r="N170" s="415" t="s">
        <v>185</v>
      </c>
      <c r="O170" s="453">
        <v>0.59799999999999998</v>
      </c>
      <c r="P170" s="453">
        <f t="shared" si="31"/>
        <v>13.898118000000002</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2237</v>
      </c>
    </row>
    <row r="171" spans="2:65" s="365" customFormat="1" ht="62.65" customHeight="1" x14ac:dyDescent="0.25">
      <c r="B171" s="364"/>
      <c r="C171" s="445" t="s">
        <v>245</v>
      </c>
      <c r="D171" s="445" t="s">
        <v>218</v>
      </c>
      <c r="E171" s="446" t="s">
        <v>635</v>
      </c>
      <c r="F171" s="447" t="s">
        <v>3145</v>
      </c>
      <c r="G171" s="448" t="s">
        <v>112</v>
      </c>
      <c r="H171" s="449">
        <f>Ponuka!L132</f>
        <v>36.378999999999998</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2238</v>
      </c>
    </row>
    <row r="172" spans="2:65" s="365" customFormat="1" ht="62.65" customHeight="1" x14ac:dyDescent="0.25">
      <c r="B172" s="364"/>
      <c r="C172" s="445" t="s">
        <v>246</v>
      </c>
      <c r="D172" s="445" t="s">
        <v>218</v>
      </c>
      <c r="E172" s="446" t="s">
        <v>926</v>
      </c>
      <c r="F172" s="447" t="s">
        <v>3146</v>
      </c>
      <c r="G172" s="448" t="s">
        <v>112</v>
      </c>
      <c r="H172" s="449">
        <f>Ponuka!N132</f>
        <v>17.849999999999998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2239</v>
      </c>
    </row>
    <row r="173" spans="2:65" s="365" customFormat="1" ht="66.75" customHeight="1" x14ac:dyDescent="0.25">
      <c r="B173" s="364"/>
      <c r="C173" s="445" t="s">
        <v>247</v>
      </c>
      <c r="D173" s="445" t="s">
        <v>218</v>
      </c>
      <c r="E173" s="446" t="s">
        <v>638</v>
      </c>
      <c r="F173" s="447" t="s">
        <v>3147</v>
      </c>
      <c r="G173" s="448" t="s">
        <v>112</v>
      </c>
      <c r="H173" s="449">
        <f>Ponuka!R132</f>
        <v>79.009</v>
      </c>
      <c r="I173" s="329">
        <v>0</v>
      </c>
      <c r="J173" s="450">
        <f t="shared" si="30"/>
        <v>0</v>
      </c>
      <c r="K173" s="451"/>
      <c r="L173" s="364"/>
      <c r="M173" s="452" t="s">
        <v>171</v>
      </c>
      <c r="N173" s="415" t="s">
        <v>185</v>
      </c>
      <c r="O173" s="453">
        <v>0</v>
      </c>
      <c r="P173" s="453">
        <f t="shared" si="31"/>
        <v>0</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2240</v>
      </c>
    </row>
    <row r="174" spans="2:65" s="365" customFormat="1" ht="24.2" customHeight="1" x14ac:dyDescent="0.25">
      <c r="B174" s="364"/>
      <c r="C174" s="445" t="s">
        <v>248</v>
      </c>
      <c r="D174" s="445" t="s">
        <v>218</v>
      </c>
      <c r="E174" s="446" t="s">
        <v>641</v>
      </c>
      <c r="F174" s="447" t="s">
        <v>642</v>
      </c>
      <c r="G174" s="448" t="s">
        <v>112</v>
      </c>
      <c r="H174" s="449">
        <f>H170</f>
        <v>23.241000000000003</v>
      </c>
      <c r="I174" s="329">
        <v>0</v>
      </c>
      <c r="J174" s="450">
        <f t="shared" si="30"/>
        <v>0</v>
      </c>
      <c r="K174" s="451"/>
      <c r="L174" s="364"/>
      <c r="M174" s="452" t="s">
        <v>171</v>
      </c>
      <c r="N174" s="415" t="s">
        <v>185</v>
      </c>
      <c r="O174" s="453">
        <v>6.0000000000000001E-3</v>
      </c>
      <c r="P174" s="453">
        <f t="shared" si="31"/>
        <v>0.13944600000000001</v>
      </c>
      <c r="Q174" s="453">
        <v>0</v>
      </c>
      <c r="R174" s="453">
        <f t="shared" si="32"/>
        <v>0</v>
      </c>
      <c r="S174" s="453">
        <v>0</v>
      </c>
      <c r="T174" s="454">
        <f t="shared" si="33"/>
        <v>0</v>
      </c>
      <c r="AR174" s="455" t="s">
        <v>110</v>
      </c>
      <c r="AT174" s="455" t="s">
        <v>218</v>
      </c>
      <c r="AU174" s="455" t="s">
        <v>108</v>
      </c>
      <c r="AY174" s="357" t="s">
        <v>217</v>
      </c>
      <c r="BE174" s="456">
        <f t="shared" si="34"/>
        <v>0</v>
      </c>
      <c r="BF174" s="456">
        <f t="shared" si="35"/>
        <v>0</v>
      </c>
      <c r="BG174" s="456">
        <f t="shared" si="36"/>
        <v>0</v>
      </c>
      <c r="BH174" s="456">
        <f t="shared" si="37"/>
        <v>0</v>
      </c>
      <c r="BI174" s="456">
        <f t="shared" si="38"/>
        <v>0</v>
      </c>
      <c r="BJ174" s="357" t="s">
        <v>108</v>
      </c>
      <c r="BK174" s="456">
        <f t="shared" si="39"/>
        <v>0</v>
      </c>
      <c r="BL174" s="357" t="s">
        <v>110</v>
      </c>
      <c r="BM174" s="455" t="s">
        <v>2241</v>
      </c>
    </row>
    <row r="175" spans="2:65" s="434" customFormat="1" ht="22.9" customHeight="1" x14ac:dyDescent="0.2">
      <c r="B175" s="433"/>
      <c r="D175" s="435" t="s">
        <v>216</v>
      </c>
      <c r="E175" s="443" t="s">
        <v>649</v>
      </c>
      <c r="F175" s="443" t="s">
        <v>650</v>
      </c>
      <c r="I175" s="467"/>
      <c r="J175" s="444">
        <f>BK175</f>
        <v>0</v>
      </c>
      <c r="L175" s="433"/>
      <c r="M175" s="438"/>
      <c r="P175" s="439">
        <f>SUM(P176:P181)</f>
        <v>9.3118200000000009</v>
      </c>
      <c r="R175" s="439">
        <f>SUM(R176:R181)</f>
        <v>0</v>
      </c>
      <c r="T175" s="440">
        <f>SUM(T176:T181)</f>
        <v>0</v>
      </c>
      <c r="AR175" s="435" t="s">
        <v>109</v>
      </c>
      <c r="AT175" s="441" t="s">
        <v>216</v>
      </c>
      <c r="AU175" s="441" t="s">
        <v>109</v>
      </c>
      <c r="AY175" s="435" t="s">
        <v>217</v>
      </c>
      <c r="BK175" s="442">
        <f>SUM(BK176:BK181)</f>
        <v>0</v>
      </c>
    </row>
    <row r="176" spans="2:65" s="365" customFormat="1" ht="24.2" customHeight="1" x14ac:dyDescent="0.25">
      <c r="B176" s="364"/>
      <c r="C176" s="445" t="s">
        <v>249</v>
      </c>
      <c r="D176" s="445" t="s">
        <v>218</v>
      </c>
      <c r="E176" s="446" t="s">
        <v>942</v>
      </c>
      <c r="F176" s="447" t="s">
        <v>2242</v>
      </c>
      <c r="G176" s="448" t="s">
        <v>112</v>
      </c>
      <c r="H176" s="449">
        <f>H174*22</f>
        <v>511.30200000000008</v>
      </c>
      <c r="I176" s="329">
        <v>0</v>
      </c>
      <c r="J176" s="450">
        <f t="shared" ref="J176:J181" si="40">ROUND(I176*H176,2)</f>
        <v>0</v>
      </c>
      <c r="K176" s="451"/>
      <c r="L176" s="364"/>
      <c r="M176" s="452" t="s">
        <v>171</v>
      </c>
      <c r="N176" s="415" t="s">
        <v>185</v>
      </c>
      <c r="O176" s="453">
        <v>7.0000000000000001E-3</v>
      </c>
      <c r="P176" s="453">
        <f t="shared" ref="P176:P181" si="41">O176*H176</f>
        <v>3.5791140000000006</v>
      </c>
      <c r="Q176" s="453">
        <v>0</v>
      </c>
      <c r="R176" s="453">
        <f t="shared" ref="R176:R181" si="42">Q176*H176</f>
        <v>0</v>
      </c>
      <c r="S176" s="453">
        <v>0</v>
      </c>
      <c r="T176" s="454">
        <f t="shared" ref="T176:T181" si="43">S176*H176</f>
        <v>0</v>
      </c>
      <c r="AR176" s="455" t="s">
        <v>110</v>
      </c>
      <c r="AT176" s="455" t="s">
        <v>218</v>
      </c>
      <c r="AU176" s="455" t="s">
        <v>108</v>
      </c>
      <c r="AY176" s="357" t="s">
        <v>217</v>
      </c>
      <c r="BE176" s="456">
        <f t="shared" ref="BE176:BE181" si="44">IF(N176="základná",J176,0)</f>
        <v>0</v>
      </c>
      <c r="BF176" s="456">
        <f t="shared" ref="BF176:BF181" si="45">IF(N176="znížená",J176,0)</f>
        <v>0</v>
      </c>
      <c r="BG176" s="456">
        <f t="shared" ref="BG176:BG181" si="46">IF(N176="zákl. prenesená",J176,0)</f>
        <v>0</v>
      </c>
      <c r="BH176" s="456">
        <f t="shared" ref="BH176:BH181" si="47">IF(N176="zníž. prenesená",J176,0)</f>
        <v>0</v>
      </c>
      <c r="BI176" s="456">
        <f t="shared" ref="BI176:BI181" si="48">IF(N176="nulová",J176,0)</f>
        <v>0</v>
      </c>
      <c r="BJ176" s="357" t="s">
        <v>108</v>
      </c>
      <c r="BK176" s="456">
        <f t="shared" ref="BK176:BK181" si="49">ROUND(I176*H176,2)</f>
        <v>0</v>
      </c>
      <c r="BL176" s="357" t="s">
        <v>110</v>
      </c>
      <c r="BM176" s="455" t="s">
        <v>2243</v>
      </c>
    </row>
    <row r="177" spans="2:65" s="365" customFormat="1" ht="24.2" customHeight="1" x14ac:dyDescent="0.25">
      <c r="B177" s="364"/>
      <c r="C177" s="445" t="s">
        <v>250</v>
      </c>
      <c r="D177" s="445" t="s">
        <v>218</v>
      </c>
      <c r="E177" s="446" t="s">
        <v>946</v>
      </c>
      <c r="F177" s="447" t="s">
        <v>3148</v>
      </c>
      <c r="G177" s="448" t="s">
        <v>112</v>
      </c>
      <c r="H177" s="449">
        <f>Ponuka!M132</f>
        <v>15.591000000000001</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2244</v>
      </c>
    </row>
    <row r="178" spans="2:65" s="365" customFormat="1" ht="24.2" customHeight="1" x14ac:dyDescent="0.25">
      <c r="B178" s="364"/>
      <c r="C178" s="445" t="s">
        <v>251</v>
      </c>
      <c r="D178" s="445" t="s">
        <v>218</v>
      </c>
      <c r="E178" s="446" t="s">
        <v>949</v>
      </c>
      <c r="F178" s="447" t="s">
        <v>2245</v>
      </c>
      <c r="G178" s="448" t="s">
        <v>112</v>
      </c>
      <c r="H178" s="449">
        <f>Ponuka!O132</f>
        <v>7.6500000000000021</v>
      </c>
      <c r="I178" s="329">
        <v>0</v>
      </c>
      <c r="J178" s="450">
        <f t="shared" si="40"/>
        <v>0</v>
      </c>
      <c r="K178" s="451"/>
      <c r="L178" s="364"/>
      <c r="M178" s="452" t="s">
        <v>171</v>
      </c>
      <c r="N178" s="415" t="s">
        <v>185</v>
      </c>
      <c r="O178" s="453">
        <v>0</v>
      </c>
      <c r="P178" s="453">
        <f t="shared" si="41"/>
        <v>0</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2246</v>
      </c>
    </row>
    <row r="179" spans="2:65" s="365" customFormat="1" ht="24.2" customHeight="1" x14ac:dyDescent="0.25">
      <c r="B179" s="364"/>
      <c r="C179" s="445" t="s">
        <v>252</v>
      </c>
      <c r="D179" s="445" t="s">
        <v>218</v>
      </c>
      <c r="E179" s="446" t="s">
        <v>2247</v>
      </c>
      <c r="F179" s="447" t="s">
        <v>2248</v>
      </c>
      <c r="G179" s="448" t="s">
        <v>112</v>
      </c>
      <c r="H179" s="449">
        <v>77.468999999999994</v>
      </c>
      <c r="I179" s="329">
        <v>0</v>
      </c>
      <c r="J179" s="450">
        <f t="shared" si="40"/>
        <v>0</v>
      </c>
      <c r="K179" s="451"/>
      <c r="L179" s="364"/>
      <c r="M179" s="452" t="s">
        <v>171</v>
      </c>
      <c r="N179" s="415" t="s">
        <v>185</v>
      </c>
      <c r="O179" s="453">
        <v>0.03</v>
      </c>
      <c r="P179" s="453">
        <f t="shared" si="41"/>
        <v>2.3240699999999999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2249</v>
      </c>
    </row>
    <row r="180" spans="2:65" s="365" customFormat="1" ht="49.15" customHeight="1" x14ac:dyDescent="0.25">
      <c r="B180" s="364"/>
      <c r="C180" s="445" t="s">
        <v>253</v>
      </c>
      <c r="D180" s="445" t="s">
        <v>218</v>
      </c>
      <c r="E180" s="446" t="s">
        <v>2250</v>
      </c>
      <c r="F180" s="447" t="s">
        <v>2251</v>
      </c>
      <c r="G180" s="448" t="s">
        <v>112</v>
      </c>
      <c r="H180" s="449">
        <v>77.468999999999994</v>
      </c>
      <c r="I180" s="329">
        <v>0</v>
      </c>
      <c r="J180" s="450">
        <f t="shared" si="40"/>
        <v>0</v>
      </c>
      <c r="K180" s="451"/>
      <c r="L180" s="364"/>
      <c r="M180" s="452" t="s">
        <v>171</v>
      </c>
      <c r="N180" s="415" t="s">
        <v>185</v>
      </c>
      <c r="O180" s="453">
        <v>1.4E-2</v>
      </c>
      <c r="P180" s="453">
        <f t="shared" si="41"/>
        <v>1.0845659999999999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2252</v>
      </c>
    </row>
    <row r="181" spans="2:65" s="365" customFormat="1" ht="37.9" customHeight="1" x14ac:dyDescent="0.25">
      <c r="B181" s="364"/>
      <c r="C181" s="445" t="s">
        <v>254</v>
      </c>
      <c r="D181" s="445" t="s">
        <v>218</v>
      </c>
      <c r="E181" s="446" t="s">
        <v>2253</v>
      </c>
      <c r="F181" s="447" t="s">
        <v>2254</v>
      </c>
      <c r="G181" s="448" t="s">
        <v>112</v>
      </c>
      <c r="H181" s="449">
        <v>387.34500000000003</v>
      </c>
      <c r="I181" s="329">
        <v>0</v>
      </c>
      <c r="J181" s="450">
        <f t="shared" si="40"/>
        <v>0</v>
      </c>
      <c r="K181" s="451"/>
      <c r="L181" s="364"/>
      <c r="M181" s="452" t="s">
        <v>171</v>
      </c>
      <c r="N181" s="415" t="s">
        <v>185</v>
      </c>
      <c r="O181" s="453">
        <v>6.0000000000000001E-3</v>
      </c>
      <c r="P181" s="453">
        <f t="shared" si="41"/>
        <v>2.3240700000000003</v>
      </c>
      <c r="Q181" s="453">
        <v>0</v>
      </c>
      <c r="R181" s="453">
        <f t="shared" si="42"/>
        <v>0</v>
      </c>
      <c r="S181" s="453">
        <v>0</v>
      </c>
      <c r="T181" s="454">
        <f t="shared" si="43"/>
        <v>0</v>
      </c>
      <c r="AR181" s="455" t="s">
        <v>110</v>
      </c>
      <c r="AT181" s="455" t="s">
        <v>218</v>
      </c>
      <c r="AU181" s="455" t="s">
        <v>108</v>
      </c>
      <c r="AY181" s="357" t="s">
        <v>217</v>
      </c>
      <c r="BE181" s="456">
        <f t="shared" si="44"/>
        <v>0</v>
      </c>
      <c r="BF181" s="456">
        <f t="shared" si="45"/>
        <v>0</v>
      </c>
      <c r="BG181" s="456">
        <f t="shared" si="46"/>
        <v>0</v>
      </c>
      <c r="BH181" s="456">
        <f t="shared" si="47"/>
        <v>0</v>
      </c>
      <c r="BI181" s="456">
        <f t="shared" si="48"/>
        <v>0</v>
      </c>
      <c r="BJ181" s="357" t="s">
        <v>108</v>
      </c>
      <c r="BK181" s="456">
        <f t="shared" si="49"/>
        <v>0</v>
      </c>
      <c r="BL181" s="357" t="s">
        <v>110</v>
      </c>
      <c r="BM181" s="455" t="s">
        <v>2255</v>
      </c>
    </row>
    <row r="182" spans="2:65" s="434" customFormat="1" ht="25.9" customHeight="1" x14ac:dyDescent="0.2">
      <c r="B182" s="433"/>
      <c r="D182" s="435" t="s">
        <v>216</v>
      </c>
      <c r="E182" s="436" t="s">
        <v>662</v>
      </c>
      <c r="F182" s="436" t="s">
        <v>663</v>
      </c>
      <c r="I182" s="467"/>
      <c r="J182" s="437">
        <f>BK182</f>
        <v>0</v>
      </c>
      <c r="L182" s="433"/>
      <c r="M182" s="438"/>
      <c r="P182" s="439">
        <f>P183</f>
        <v>10.63309162</v>
      </c>
      <c r="R182" s="439">
        <f>R183</f>
        <v>3.4146313659999997E-2</v>
      </c>
      <c r="T182" s="440">
        <f>T183</f>
        <v>0</v>
      </c>
      <c r="AR182" s="435" t="s">
        <v>108</v>
      </c>
      <c r="AT182" s="441" t="s">
        <v>216</v>
      </c>
      <c r="AU182" s="441" t="s">
        <v>165</v>
      </c>
      <c r="AY182" s="435" t="s">
        <v>217</v>
      </c>
      <c r="BK182" s="442">
        <f>BK183</f>
        <v>0</v>
      </c>
    </row>
    <row r="183" spans="2:65" s="434" customFormat="1" ht="22.9" customHeight="1" x14ac:dyDescent="0.2">
      <c r="B183" s="433"/>
      <c r="D183" s="435" t="s">
        <v>216</v>
      </c>
      <c r="E183" s="443" t="s">
        <v>668</v>
      </c>
      <c r="F183" s="443" t="s">
        <v>669</v>
      </c>
      <c r="I183" s="467"/>
      <c r="J183" s="444">
        <f>BK183</f>
        <v>0</v>
      </c>
      <c r="L183" s="433"/>
      <c r="M183" s="438"/>
      <c r="P183" s="439">
        <f>SUM(P184:P189)</f>
        <v>10.63309162</v>
      </c>
      <c r="R183" s="439">
        <f>SUM(R184:R189)</f>
        <v>3.4146313659999997E-2</v>
      </c>
      <c r="T183" s="440">
        <f>SUM(T184:T189)</f>
        <v>0</v>
      </c>
      <c r="AR183" s="435" t="s">
        <v>108</v>
      </c>
      <c r="AT183" s="441" t="s">
        <v>216</v>
      </c>
      <c r="AU183" s="441" t="s">
        <v>109</v>
      </c>
      <c r="AY183" s="435" t="s">
        <v>217</v>
      </c>
      <c r="BK183" s="442">
        <f>SUM(BK184:BK189)</f>
        <v>0</v>
      </c>
    </row>
    <row r="184" spans="2:65" s="365" customFormat="1" ht="24.2" customHeight="1" x14ac:dyDescent="0.25">
      <c r="B184" s="364"/>
      <c r="C184" s="445" t="s">
        <v>255</v>
      </c>
      <c r="D184" s="445" t="s">
        <v>218</v>
      </c>
      <c r="E184" s="446" t="s">
        <v>2256</v>
      </c>
      <c r="F184" s="447" t="s">
        <v>2257</v>
      </c>
      <c r="G184" s="448" t="s">
        <v>111</v>
      </c>
      <c r="H184" s="449">
        <v>13.371</v>
      </c>
      <c r="I184" s="329">
        <v>0</v>
      </c>
      <c r="J184" s="450">
        <f t="shared" ref="J184:J189" si="50">ROUND(I184*H184,2)</f>
        <v>0</v>
      </c>
      <c r="K184" s="451"/>
      <c r="L184" s="364"/>
      <c r="M184" s="452" t="s">
        <v>171</v>
      </c>
      <c r="N184" s="415" t="s">
        <v>185</v>
      </c>
      <c r="O184" s="453">
        <v>0.16400000000000001</v>
      </c>
      <c r="P184" s="453">
        <f t="shared" ref="P184:P189" si="51">O184*H184</f>
        <v>2.192844</v>
      </c>
      <c r="Q184" s="453">
        <v>5.5345999999999998E-4</v>
      </c>
      <c r="R184" s="453">
        <f t="shared" ref="R184:R189" si="52">Q184*H184</f>
        <v>7.4003136600000003E-3</v>
      </c>
      <c r="S184" s="453">
        <v>0</v>
      </c>
      <c r="T184" s="454">
        <f t="shared" ref="T184:T189" si="53">S184*H184</f>
        <v>0</v>
      </c>
      <c r="AR184" s="455" t="s">
        <v>228</v>
      </c>
      <c r="AT184" s="455" t="s">
        <v>218</v>
      </c>
      <c r="AU184" s="455" t="s">
        <v>108</v>
      </c>
      <c r="AY184" s="357" t="s">
        <v>217</v>
      </c>
      <c r="BE184" s="456">
        <f t="shared" ref="BE184:BE189" si="54">IF(N184="základná",J184,0)</f>
        <v>0</v>
      </c>
      <c r="BF184" s="456">
        <f t="shared" ref="BF184:BF189" si="55">IF(N184="znížená",J184,0)</f>
        <v>0</v>
      </c>
      <c r="BG184" s="456">
        <f t="shared" ref="BG184:BG189" si="56">IF(N184="zákl. prenesená",J184,0)</f>
        <v>0</v>
      </c>
      <c r="BH184" s="456">
        <f t="shared" ref="BH184:BH189" si="57">IF(N184="zníž. prenesená",J184,0)</f>
        <v>0</v>
      </c>
      <c r="BI184" s="456">
        <f t="shared" ref="BI184:BI189" si="58">IF(N184="nulová",J184,0)</f>
        <v>0</v>
      </c>
      <c r="BJ184" s="357" t="s">
        <v>108</v>
      </c>
      <c r="BK184" s="456">
        <f t="shared" ref="BK184:BK189" si="59">ROUND(I184*H184,2)</f>
        <v>0</v>
      </c>
      <c r="BL184" s="357" t="s">
        <v>228</v>
      </c>
      <c r="BM184" s="455" t="s">
        <v>2258</v>
      </c>
    </row>
    <row r="185" spans="2:65" s="365" customFormat="1" ht="24.2" customHeight="1" x14ac:dyDescent="0.25">
      <c r="B185" s="364"/>
      <c r="C185" s="457" t="s">
        <v>256</v>
      </c>
      <c r="D185" s="457" t="s">
        <v>259</v>
      </c>
      <c r="E185" s="458" t="s">
        <v>2259</v>
      </c>
      <c r="F185" s="459" t="s">
        <v>2260</v>
      </c>
      <c r="G185" s="460" t="s">
        <v>536</v>
      </c>
      <c r="H185" s="461">
        <v>2.5419999999999998</v>
      </c>
      <c r="I185" s="330">
        <v>0</v>
      </c>
      <c r="J185" s="462">
        <f t="shared" si="50"/>
        <v>0</v>
      </c>
      <c r="K185" s="463"/>
      <c r="L185" s="464"/>
      <c r="M185" s="465" t="s">
        <v>171</v>
      </c>
      <c r="N185" s="466" t="s">
        <v>185</v>
      </c>
      <c r="O185" s="453">
        <v>0</v>
      </c>
      <c r="P185" s="453">
        <f t="shared" si="51"/>
        <v>0</v>
      </c>
      <c r="Q185" s="453">
        <v>1E-3</v>
      </c>
      <c r="R185" s="453">
        <f t="shared" si="52"/>
        <v>2.542E-3</v>
      </c>
      <c r="S185" s="453">
        <v>0</v>
      </c>
      <c r="T185" s="454">
        <f t="shared" si="53"/>
        <v>0</v>
      </c>
      <c r="AR185" s="455" t="s">
        <v>246</v>
      </c>
      <c r="AT185" s="455" t="s">
        <v>259</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2261</v>
      </c>
    </row>
    <row r="186" spans="2:65" s="365" customFormat="1" ht="24.2" customHeight="1" x14ac:dyDescent="0.25">
      <c r="B186" s="364"/>
      <c r="C186" s="445" t="s">
        <v>257</v>
      </c>
      <c r="D186" s="445" t="s">
        <v>218</v>
      </c>
      <c r="E186" s="446" t="s">
        <v>2262</v>
      </c>
      <c r="F186" s="447" t="s">
        <v>2263</v>
      </c>
      <c r="G186" s="448" t="s">
        <v>111</v>
      </c>
      <c r="H186" s="449">
        <v>6.6849999999999996</v>
      </c>
      <c r="I186" s="329">
        <v>0</v>
      </c>
      <c r="J186" s="450">
        <f t="shared" si="50"/>
        <v>0</v>
      </c>
      <c r="K186" s="451"/>
      <c r="L186" s="364"/>
      <c r="M186" s="452" t="s">
        <v>171</v>
      </c>
      <c r="N186" s="415" t="s">
        <v>185</v>
      </c>
      <c r="O186" s="453">
        <v>0.04</v>
      </c>
      <c r="P186" s="453">
        <f t="shared" si="51"/>
        <v>0.26739999999999997</v>
      </c>
      <c r="Q186" s="453">
        <v>2.5999999999999998E-4</v>
      </c>
      <c r="R186" s="453">
        <f t="shared" si="52"/>
        <v>1.7380999999999998E-3</v>
      </c>
      <c r="S186" s="453">
        <v>0</v>
      </c>
      <c r="T186" s="454">
        <f t="shared" si="53"/>
        <v>0</v>
      </c>
      <c r="AR186" s="455" t="s">
        <v>228</v>
      </c>
      <c r="AT186" s="455" t="s">
        <v>218</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2264</v>
      </c>
    </row>
    <row r="187" spans="2:65" s="365" customFormat="1" ht="24.2" customHeight="1" x14ac:dyDescent="0.25">
      <c r="B187" s="364"/>
      <c r="C187" s="457" t="s">
        <v>258</v>
      </c>
      <c r="D187" s="457" t="s">
        <v>259</v>
      </c>
      <c r="E187" s="458" t="s">
        <v>2265</v>
      </c>
      <c r="F187" s="459" t="s">
        <v>2266</v>
      </c>
      <c r="G187" s="460" t="s">
        <v>536</v>
      </c>
      <c r="H187" s="461">
        <v>1.304</v>
      </c>
      <c r="I187" s="330">
        <v>0</v>
      </c>
      <c r="J187" s="462">
        <f t="shared" si="50"/>
        <v>0</v>
      </c>
      <c r="K187" s="463"/>
      <c r="L187" s="464"/>
      <c r="M187" s="465" t="s">
        <v>171</v>
      </c>
      <c r="N187" s="466" t="s">
        <v>185</v>
      </c>
      <c r="O187" s="453">
        <v>0</v>
      </c>
      <c r="P187" s="453">
        <f t="shared" si="51"/>
        <v>0</v>
      </c>
      <c r="Q187" s="453">
        <v>1E-3</v>
      </c>
      <c r="R187" s="453">
        <f t="shared" si="52"/>
        <v>1.304E-3</v>
      </c>
      <c r="S187" s="453">
        <v>0</v>
      </c>
      <c r="T187" s="454">
        <f t="shared" si="53"/>
        <v>0</v>
      </c>
      <c r="AR187" s="455" t="s">
        <v>246</v>
      </c>
      <c r="AT187" s="455" t="s">
        <v>259</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2267</v>
      </c>
    </row>
    <row r="188" spans="2:65" s="365" customFormat="1" ht="24.2" customHeight="1" x14ac:dyDescent="0.25">
      <c r="B188" s="364"/>
      <c r="C188" s="445" t="s">
        <v>260</v>
      </c>
      <c r="D188" s="445" t="s">
        <v>218</v>
      </c>
      <c r="E188" s="446" t="s">
        <v>2268</v>
      </c>
      <c r="F188" s="447" t="s">
        <v>2269</v>
      </c>
      <c r="G188" s="448" t="s">
        <v>111</v>
      </c>
      <c r="H188" s="449">
        <v>60.459000000000003</v>
      </c>
      <c r="I188" s="329">
        <v>0</v>
      </c>
      <c r="J188" s="450">
        <f t="shared" si="50"/>
        <v>0</v>
      </c>
      <c r="K188" s="451"/>
      <c r="L188" s="364"/>
      <c r="M188" s="452" t="s">
        <v>171</v>
      </c>
      <c r="N188" s="415" t="s">
        <v>185</v>
      </c>
      <c r="O188" s="453">
        <v>0.13517999999999999</v>
      </c>
      <c r="P188" s="453">
        <f t="shared" si="51"/>
        <v>8.1728476200000006</v>
      </c>
      <c r="Q188" s="453">
        <v>1E-4</v>
      </c>
      <c r="R188" s="453">
        <f t="shared" si="52"/>
        <v>6.0459000000000008E-3</v>
      </c>
      <c r="S188" s="453">
        <v>0</v>
      </c>
      <c r="T188" s="454">
        <f t="shared" si="53"/>
        <v>0</v>
      </c>
      <c r="AR188" s="455" t="s">
        <v>228</v>
      </c>
      <c r="AT188" s="455" t="s">
        <v>218</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2270</v>
      </c>
    </row>
    <row r="189" spans="2:65" s="365" customFormat="1" ht="24.2" customHeight="1" x14ac:dyDescent="0.25">
      <c r="B189" s="364"/>
      <c r="C189" s="457" t="s">
        <v>262</v>
      </c>
      <c r="D189" s="457" t="s">
        <v>259</v>
      </c>
      <c r="E189" s="458" t="s">
        <v>2271</v>
      </c>
      <c r="F189" s="459" t="s">
        <v>2272</v>
      </c>
      <c r="G189" s="460" t="s">
        <v>536</v>
      </c>
      <c r="H189" s="461">
        <v>15.116</v>
      </c>
      <c r="I189" s="330">
        <v>0</v>
      </c>
      <c r="J189" s="462">
        <f t="shared" si="50"/>
        <v>0</v>
      </c>
      <c r="K189" s="463"/>
      <c r="L189" s="464"/>
      <c r="M189" s="465" t="s">
        <v>171</v>
      </c>
      <c r="N189" s="466" t="s">
        <v>185</v>
      </c>
      <c r="O189" s="453">
        <v>0</v>
      </c>
      <c r="P189" s="453">
        <f t="shared" si="51"/>
        <v>0</v>
      </c>
      <c r="Q189" s="453">
        <v>1E-3</v>
      </c>
      <c r="R189" s="453">
        <f t="shared" si="52"/>
        <v>1.5115999999999999E-2</v>
      </c>
      <c r="S189" s="453">
        <v>0</v>
      </c>
      <c r="T189" s="454">
        <f t="shared" si="53"/>
        <v>0</v>
      </c>
      <c r="AR189" s="455" t="s">
        <v>246</v>
      </c>
      <c r="AT189" s="455" t="s">
        <v>259</v>
      </c>
      <c r="AU189" s="455" t="s">
        <v>108</v>
      </c>
      <c r="AY189" s="357" t="s">
        <v>217</v>
      </c>
      <c r="BE189" s="456">
        <f t="shared" si="54"/>
        <v>0</v>
      </c>
      <c r="BF189" s="456">
        <f t="shared" si="55"/>
        <v>0</v>
      </c>
      <c r="BG189" s="456">
        <f t="shared" si="56"/>
        <v>0</v>
      </c>
      <c r="BH189" s="456">
        <f t="shared" si="57"/>
        <v>0</v>
      </c>
      <c r="BI189" s="456">
        <f t="shared" si="58"/>
        <v>0</v>
      </c>
      <c r="BJ189" s="357" t="s">
        <v>108</v>
      </c>
      <c r="BK189" s="456">
        <f t="shared" si="59"/>
        <v>0</v>
      </c>
      <c r="BL189" s="357" t="s">
        <v>228</v>
      </c>
      <c r="BM189" s="455" t="s">
        <v>2273</v>
      </c>
    </row>
    <row r="190" spans="2:65" s="434" customFormat="1" ht="25.9" customHeight="1" x14ac:dyDescent="0.2">
      <c r="B190" s="433"/>
      <c r="D190" s="435" t="s">
        <v>216</v>
      </c>
      <c r="E190" s="436" t="s">
        <v>259</v>
      </c>
      <c r="F190" s="436" t="s">
        <v>1667</v>
      </c>
      <c r="I190" s="467"/>
      <c r="J190" s="437">
        <f>BK190</f>
        <v>0</v>
      </c>
      <c r="L190" s="433"/>
      <c r="M190" s="438"/>
      <c r="P190" s="439">
        <f>P191+P236</f>
        <v>2561.1912539</v>
      </c>
      <c r="R190" s="439">
        <f>R191+R236</f>
        <v>90.748102750000001</v>
      </c>
      <c r="T190" s="440">
        <f>T191+T236</f>
        <v>0</v>
      </c>
      <c r="AR190" s="435" t="s">
        <v>119</v>
      </c>
      <c r="AT190" s="441" t="s">
        <v>216</v>
      </c>
      <c r="AU190" s="441" t="s">
        <v>165</v>
      </c>
      <c r="AY190" s="435" t="s">
        <v>217</v>
      </c>
      <c r="BK190" s="442">
        <f>BK191+BK236</f>
        <v>0</v>
      </c>
    </row>
    <row r="191" spans="2:65" s="434" customFormat="1" ht="22.9" customHeight="1" x14ac:dyDescent="0.2">
      <c r="B191" s="433"/>
      <c r="D191" s="435" t="s">
        <v>216</v>
      </c>
      <c r="E191" s="443" t="s">
        <v>2274</v>
      </c>
      <c r="F191" s="443" t="s">
        <v>2275</v>
      </c>
      <c r="I191" s="467"/>
      <c r="J191" s="444">
        <f>BK191</f>
        <v>0</v>
      </c>
      <c r="L191" s="433"/>
      <c r="M191" s="438"/>
      <c r="P191" s="439">
        <f>SUM(P192:P235)</f>
        <v>928.98599999999988</v>
      </c>
      <c r="R191" s="439">
        <f>SUM(R192:R235)</f>
        <v>10.850102750000001</v>
      </c>
      <c r="T191" s="440">
        <f>SUM(T192:T235)</f>
        <v>0</v>
      </c>
      <c r="AR191" s="435" t="s">
        <v>119</v>
      </c>
      <c r="AT191" s="441" t="s">
        <v>216</v>
      </c>
      <c r="AU191" s="441" t="s">
        <v>109</v>
      </c>
      <c r="AY191" s="435" t="s">
        <v>217</v>
      </c>
      <c r="BK191" s="442">
        <f>SUM(BK192:BK235)</f>
        <v>0</v>
      </c>
    </row>
    <row r="192" spans="2:65" s="365" customFormat="1" ht="24.2" customHeight="1" x14ac:dyDescent="0.25">
      <c r="B192" s="364"/>
      <c r="C192" s="445" t="s">
        <v>263</v>
      </c>
      <c r="D192" s="445" t="s">
        <v>218</v>
      </c>
      <c r="E192" s="446" t="s">
        <v>2276</v>
      </c>
      <c r="F192" s="447" t="s">
        <v>2277</v>
      </c>
      <c r="G192" s="448" t="s">
        <v>113</v>
      </c>
      <c r="H192" s="449">
        <v>1850</v>
      </c>
      <c r="I192" s="329">
        <v>0</v>
      </c>
      <c r="J192" s="450">
        <f t="shared" ref="J192:J235" si="60">ROUND(I192*H192,2)</f>
        <v>0</v>
      </c>
      <c r="K192" s="451"/>
      <c r="L192" s="364"/>
      <c r="M192" s="452" t="s">
        <v>171</v>
      </c>
      <c r="N192" s="415" t="s">
        <v>185</v>
      </c>
      <c r="O192" s="453">
        <v>0.124</v>
      </c>
      <c r="P192" s="453">
        <f t="shared" ref="P192:P235" si="61">O192*H192</f>
        <v>229.4</v>
      </c>
      <c r="Q192" s="453">
        <v>0</v>
      </c>
      <c r="R192" s="453">
        <f t="shared" ref="R192:R235" si="62">Q192*H192</f>
        <v>0</v>
      </c>
      <c r="S192" s="453">
        <v>0</v>
      </c>
      <c r="T192" s="454">
        <f t="shared" ref="T192:T235" si="63">S192*H192</f>
        <v>0</v>
      </c>
      <c r="AR192" s="455" t="s">
        <v>625</v>
      </c>
      <c r="AT192" s="455" t="s">
        <v>218</v>
      </c>
      <c r="AU192" s="455" t="s">
        <v>108</v>
      </c>
      <c r="AY192" s="357" t="s">
        <v>217</v>
      </c>
      <c r="BE192" s="456">
        <f t="shared" ref="BE192:BE235" si="64">IF(N192="základná",J192,0)</f>
        <v>0</v>
      </c>
      <c r="BF192" s="456">
        <f t="shared" ref="BF192:BF235" si="65">IF(N192="znížená",J192,0)</f>
        <v>0</v>
      </c>
      <c r="BG192" s="456">
        <f t="shared" ref="BG192:BG235" si="66">IF(N192="zákl. prenesená",J192,0)</f>
        <v>0</v>
      </c>
      <c r="BH192" s="456">
        <f t="shared" ref="BH192:BH235" si="67">IF(N192="zníž. prenesená",J192,0)</f>
        <v>0</v>
      </c>
      <c r="BI192" s="456">
        <f t="shared" ref="BI192:BI235" si="68">IF(N192="nulová",J192,0)</f>
        <v>0</v>
      </c>
      <c r="BJ192" s="357" t="s">
        <v>108</v>
      </c>
      <c r="BK192" s="456">
        <f t="shared" ref="BK192:BK235" si="69">ROUND(I192*H192,2)</f>
        <v>0</v>
      </c>
      <c r="BL192" s="357" t="s">
        <v>625</v>
      </c>
      <c r="BM192" s="455" t="s">
        <v>2278</v>
      </c>
    </row>
    <row r="193" spans="2:65" s="365" customFormat="1" ht="24.2" customHeight="1" x14ac:dyDescent="0.25">
      <c r="B193" s="364"/>
      <c r="C193" s="457" t="s">
        <v>264</v>
      </c>
      <c r="D193" s="457" t="s">
        <v>259</v>
      </c>
      <c r="E193" s="458" t="s">
        <v>2279</v>
      </c>
      <c r="F193" s="459" t="s">
        <v>2280</v>
      </c>
      <c r="G193" s="460" t="s">
        <v>123</v>
      </c>
      <c r="H193" s="461">
        <v>24.355</v>
      </c>
      <c r="I193" s="330">
        <v>0</v>
      </c>
      <c r="J193" s="462">
        <f t="shared" si="60"/>
        <v>0</v>
      </c>
      <c r="K193" s="463"/>
      <c r="L193" s="464"/>
      <c r="M193" s="465" t="s">
        <v>171</v>
      </c>
      <c r="N193" s="466" t="s">
        <v>185</v>
      </c>
      <c r="O193" s="453">
        <v>0</v>
      </c>
      <c r="P193" s="453">
        <f t="shared" si="61"/>
        <v>0</v>
      </c>
      <c r="Q193" s="453">
        <v>5.0000000000000002E-5</v>
      </c>
      <c r="R193" s="453">
        <f t="shared" si="62"/>
        <v>1.2177500000000001E-3</v>
      </c>
      <c r="S193" s="453">
        <v>0</v>
      </c>
      <c r="T193" s="454">
        <f t="shared" si="63"/>
        <v>0</v>
      </c>
      <c r="AR193" s="455" t="s">
        <v>1631</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1631</v>
      </c>
      <c r="BM193" s="455" t="s">
        <v>2281</v>
      </c>
    </row>
    <row r="194" spans="2:65" s="365" customFormat="1" ht="24.2" customHeight="1" x14ac:dyDescent="0.25">
      <c r="B194" s="364"/>
      <c r="C194" s="457" t="s">
        <v>265</v>
      </c>
      <c r="D194" s="457" t="s">
        <v>259</v>
      </c>
      <c r="E194" s="458" t="s">
        <v>2282</v>
      </c>
      <c r="F194" s="459" t="s">
        <v>2283</v>
      </c>
      <c r="G194" s="460" t="s">
        <v>113</v>
      </c>
      <c r="H194" s="461">
        <v>1850</v>
      </c>
      <c r="I194" s="330">
        <v>0</v>
      </c>
      <c r="J194" s="462">
        <f t="shared" si="60"/>
        <v>0</v>
      </c>
      <c r="K194" s="463"/>
      <c r="L194" s="464"/>
      <c r="M194" s="465" t="s">
        <v>171</v>
      </c>
      <c r="N194" s="466" t="s">
        <v>185</v>
      </c>
      <c r="O194" s="453">
        <v>0</v>
      </c>
      <c r="P194" s="453">
        <f t="shared" si="61"/>
        <v>0</v>
      </c>
      <c r="Q194" s="453">
        <v>2.2000000000000001E-4</v>
      </c>
      <c r="R194" s="453">
        <f t="shared" si="62"/>
        <v>0.40700000000000003</v>
      </c>
      <c r="S194" s="453">
        <v>0</v>
      </c>
      <c r="T194" s="454">
        <f t="shared" si="63"/>
        <v>0</v>
      </c>
      <c r="AR194" s="455" t="s">
        <v>1631</v>
      </c>
      <c r="AT194" s="455" t="s">
        <v>259</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1631</v>
      </c>
      <c r="BM194" s="455" t="s">
        <v>2284</v>
      </c>
    </row>
    <row r="195" spans="2:65" s="365" customFormat="1" ht="24.2" customHeight="1" x14ac:dyDescent="0.25">
      <c r="B195" s="364"/>
      <c r="C195" s="445" t="s">
        <v>266</v>
      </c>
      <c r="D195" s="445" t="s">
        <v>218</v>
      </c>
      <c r="E195" s="446" t="s">
        <v>2285</v>
      </c>
      <c r="F195" s="447" t="s">
        <v>2286</v>
      </c>
      <c r="G195" s="448" t="s">
        <v>113</v>
      </c>
      <c r="H195" s="449">
        <v>90</v>
      </c>
      <c r="I195" s="329">
        <v>0</v>
      </c>
      <c r="J195" s="450">
        <f t="shared" si="60"/>
        <v>0</v>
      </c>
      <c r="K195" s="451"/>
      <c r="L195" s="364"/>
      <c r="M195" s="452" t="s">
        <v>171</v>
      </c>
      <c r="N195" s="415" t="s">
        <v>185</v>
      </c>
      <c r="O195" s="453">
        <v>0.17199999999999999</v>
      </c>
      <c r="P195" s="453">
        <f t="shared" si="61"/>
        <v>15.479999999999999</v>
      </c>
      <c r="Q195" s="453">
        <v>0</v>
      </c>
      <c r="R195" s="453">
        <f t="shared" si="62"/>
        <v>0</v>
      </c>
      <c r="S195" s="453">
        <v>0</v>
      </c>
      <c r="T195" s="454">
        <f t="shared" si="63"/>
        <v>0</v>
      </c>
      <c r="AR195" s="455" t="s">
        <v>625</v>
      </c>
      <c r="AT195" s="455" t="s">
        <v>218</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625</v>
      </c>
      <c r="BM195" s="455" t="s">
        <v>2287</v>
      </c>
    </row>
    <row r="196" spans="2:65" s="365" customFormat="1" ht="24.2" customHeight="1" x14ac:dyDescent="0.25">
      <c r="B196" s="364"/>
      <c r="C196" s="457" t="s">
        <v>573</v>
      </c>
      <c r="D196" s="457" t="s">
        <v>259</v>
      </c>
      <c r="E196" s="458" t="s">
        <v>2288</v>
      </c>
      <c r="F196" s="459" t="s">
        <v>2289</v>
      </c>
      <c r="G196" s="460" t="s">
        <v>113</v>
      </c>
      <c r="H196" s="461">
        <v>90</v>
      </c>
      <c r="I196" s="330">
        <v>0</v>
      </c>
      <c r="J196" s="462">
        <f t="shared" si="60"/>
        <v>0</v>
      </c>
      <c r="K196" s="463"/>
      <c r="L196" s="464"/>
      <c r="M196" s="465" t="s">
        <v>171</v>
      </c>
      <c r="N196" s="466" t="s">
        <v>185</v>
      </c>
      <c r="O196" s="453">
        <v>0</v>
      </c>
      <c r="P196" s="453">
        <f t="shared" si="61"/>
        <v>0</v>
      </c>
      <c r="Q196" s="453">
        <v>5.0000000000000001E-4</v>
      </c>
      <c r="R196" s="453">
        <f t="shared" si="62"/>
        <v>4.4999999999999998E-2</v>
      </c>
      <c r="S196" s="453">
        <v>0</v>
      </c>
      <c r="T196" s="454">
        <f t="shared" si="63"/>
        <v>0</v>
      </c>
      <c r="AR196" s="455" t="s">
        <v>1631</v>
      </c>
      <c r="AT196" s="455" t="s">
        <v>259</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1631</v>
      </c>
      <c r="BM196" s="455" t="s">
        <v>2290</v>
      </c>
    </row>
    <row r="197" spans="2:65" s="365" customFormat="1" ht="24.2" customHeight="1" x14ac:dyDescent="0.25">
      <c r="B197" s="364"/>
      <c r="C197" s="445" t="s">
        <v>577</v>
      </c>
      <c r="D197" s="445" t="s">
        <v>218</v>
      </c>
      <c r="E197" s="446" t="s">
        <v>2291</v>
      </c>
      <c r="F197" s="447" t="s">
        <v>2292</v>
      </c>
      <c r="G197" s="448" t="s">
        <v>123</v>
      </c>
      <c r="H197" s="449">
        <v>340</v>
      </c>
      <c r="I197" s="329">
        <v>0</v>
      </c>
      <c r="J197" s="450">
        <f t="shared" si="60"/>
        <v>0</v>
      </c>
      <c r="K197" s="451"/>
      <c r="L197" s="364"/>
      <c r="M197" s="452" t="s">
        <v>171</v>
      </c>
      <c r="N197" s="415" t="s">
        <v>185</v>
      </c>
      <c r="O197" s="453">
        <v>0.124</v>
      </c>
      <c r="P197" s="453">
        <f t="shared" si="61"/>
        <v>42.16</v>
      </c>
      <c r="Q197" s="453">
        <v>0</v>
      </c>
      <c r="R197" s="453">
        <f t="shared" si="62"/>
        <v>0</v>
      </c>
      <c r="S197" s="453">
        <v>0</v>
      </c>
      <c r="T197" s="454">
        <f t="shared" si="63"/>
        <v>0</v>
      </c>
      <c r="AR197" s="455" t="s">
        <v>625</v>
      </c>
      <c r="AT197" s="455" t="s">
        <v>218</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625</v>
      </c>
      <c r="BM197" s="455" t="s">
        <v>2293</v>
      </c>
    </row>
    <row r="198" spans="2:65" s="365" customFormat="1" ht="16.5" customHeight="1" x14ac:dyDescent="0.25">
      <c r="B198" s="364"/>
      <c r="C198" s="457" t="s">
        <v>581</v>
      </c>
      <c r="D198" s="457" t="s">
        <v>259</v>
      </c>
      <c r="E198" s="458" t="s">
        <v>2294</v>
      </c>
      <c r="F198" s="459" t="s">
        <v>2295</v>
      </c>
      <c r="G198" s="460" t="s">
        <v>123</v>
      </c>
      <c r="H198" s="461">
        <v>340</v>
      </c>
      <c r="I198" s="330">
        <v>0</v>
      </c>
      <c r="J198" s="462">
        <f t="shared" si="60"/>
        <v>0</v>
      </c>
      <c r="K198" s="463"/>
      <c r="L198" s="464"/>
      <c r="M198" s="465" t="s">
        <v>171</v>
      </c>
      <c r="N198" s="466" t="s">
        <v>185</v>
      </c>
      <c r="O198" s="453">
        <v>0</v>
      </c>
      <c r="P198" s="453">
        <f t="shared" si="61"/>
        <v>0</v>
      </c>
      <c r="Q198" s="453">
        <v>3.0000000000000001E-5</v>
      </c>
      <c r="R198" s="453">
        <f t="shared" si="62"/>
        <v>1.0200000000000001E-2</v>
      </c>
      <c r="S198" s="453">
        <v>0</v>
      </c>
      <c r="T198" s="454">
        <f t="shared" si="63"/>
        <v>0</v>
      </c>
      <c r="AR198" s="455" t="s">
        <v>1631</v>
      </c>
      <c r="AT198" s="455" t="s">
        <v>259</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1631</v>
      </c>
      <c r="BM198" s="455" t="s">
        <v>2296</v>
      </c>
    </row>
    <row r="199" spans="2:65" s="365" customFormat="1" ht="37.9" customHeight="1" x14ac:dyDescent="0.25">
      <c r="B199" s="364"/>
      <c r="C199" s="445" t="s">
        <v>585</v>
      </c>
      <c r="D199" s="445" t="s">
        <v>218</v>
      </c>
      <c r="E199" s="446" t="s">
        <v>2297</v>
      </c>
      <c r="F199" s="447" t="s">
        <v>2298</v>
      </c>
      <c r="G199" s="448" t="s">
        <v>123</v>
      </c>
      <c r="H199" s="449">
        <v>85</v>
      </c>
      <c r="I199" s="329">
        <v>0</v>
      </c>
      <c r="J199" s="450">
        <f t="shared" si="60"/>
        <v>0</v>
      </c>
      <c r="K199" s="451"/>
      <c r="L199" s="364"/>
      <c r="M199" s="452" t="s">
        <v>171</v>
      </c>
      <c r="N199" s="415" t="s">
        <v>185</v>
      </c>
      <c r="O199" s="453">
        <v>0.3</v>
      </c>
      <c r="P199" s="453">
        <f t="shared" si="61"/>
        <v>25.5</v>
      </c>
      <c r="Q199" s="453">
        <v>0</v>
      </c>
      <c r="R199" s="453">
        <f t="shared" si="62"/>
        <v>0</v>
      </c>
      <c r="S199" s="453">
        <v>0</v>
      </c>
      <c r="T199" s="454">
        <f t="shared" si="63"/>
        <v>0</v>
      </c>
      <c r="AR199" s="455" t="s">
        <v>625</v>
      </c>
      <c r="AT199" s="455" t="s">
        <v>218</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625</v>
      </c>
      <c r="BM199" s="455" t="s">
        <v>2299</v>
      </c>
    </row>
    <row r="200" spans="2:65" s="365" customFormat="1" ht="24.2" customHeight="1" x14ac:dyDescent="0.25">
      <c r="B200" s="364"/>
      <c r="C200" s="457" t="s">
        <v>589</v>
      </c>
      <c r="D200" s="457" t="s">
        <v>259</v>
      </c>
      <c r="E200" s="458" t="s">
        <v>2300</v>
      </c>
      <c r="F200" s="459" t="s">
        <v>2301</v>
      </c>
      <c r="G200" s="460" t="s">
        <v>123</v>
      </c>
      <c r="H200" s="461">
        <v>85</v>
      </c>
      <c r="I200" s="330">
        <v>0</v>
      </c>
      <c r="J200" s="462">
        <f t="shared" si="60"/>
        <v>0</v>
      </c>
      <c r="K200" s="463"/>
      <c r="L200" s="464"/>
      <c r="M200" s="465" t="s">
        <v>171</v>
      </c>
      <c r="N200" s="466" t="s">
        <v>185</v>
      </c>
      <c r="O200" s="453">
        <v>0</v>
      </c>
      <c r="P200" s="453">
        <f t="shared" si="61"/>
        <v>0</v>
      </c>
      <c r="Q200" s="453">
        <v>1E-3</v>
      </c>
      <c r="R200" s="453">
        <f t="shared" si="62"/>
        <v>8.5000000000000006E-2</v>
      </c>
      <c r="S200" s="453">
        <v>0</v>
      </c>
      <c r="T200" s="454">
        <f t="shared" si="63"/>
        <v>0</v>
      </c>
      <c r="AR200" s="455" t="s">
        <v>1631</v>
      </c>
      <c r="AT200" s="455" t="s">
        <v>259</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1631</v>
      </c>
      <c r="BM200" s="455" t="s">
        <v>2302</v>
      </c>
    </row>
    <row r="201" spans="2:65" s="365" customFormat="1" ht="21.75" customHeight="1" x14ac:dyDescent="0.25">
      <c r="B201" s="364"/>
      <c r="C201" s="445" t="s">
        <v>593</v>
      </c>
      <c r="D201" s="445" t="s">
        <v>218</v>
      </c>
      <c r="E201" s="446" t="s">
        <v>2303</v>
      </c>
      <c r="F201" s="447" t="s">
        <v>2304</v>
      </c>
      <c r="G201" s="448" t="s">
        <v>123</v>
      </c>
      <c r="H201" s="449">
        <v>1</v>
      </c>
      <c r="I201" s="329">
        <v>0</v>
      </c>
      <c r="J201" s="450">
        <f t="shared" si="60"/>
        <v>0</v>
      </c>
      <c r="K201" s="451"/>
      <c r="L201" s="364"/>
      <c r="M201" s="452" t="s">
        <v>171</v>
      </c>
      <c r="N201" s="415" t="s">
        <v>185</v>
      </c>
      <c r="O201" s="453">
        <v>4.22</v>
      </c>
      <c r="P201" s="453">
        <f t="shared" si="61"/>
        <v>4.22</v>
      </c>
      <c r="Q201" s="453">
        <v>0</v>
      </c>
      <c r="R201" s="453">
        <f t="shared" si="62"/>
        <v>0</v>
      </c>
      <c r="S201" s="453">
        <v>0</v>
      </c>
      <c r="T201" s="454">
        <f t="shared" si="63"/>
        <v>0</v>
      </c>
      <c r="AR201" s="455" t="s">
        <v>625</v>
      </c>
      <c r="AT201" s="455" t="s">
        <v>218</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625</v>
      </c>
      <c r="BM201" s="455" t="s">
        <v>2305</v>
      </c>
    </row>
    <row r="202" spans="2:65" s="365" customFormat="1" ht="21.75" customHeight="1" x14ac:dyDescent="0.25">
      <c r="B202" s="364"/>
      <c r="C202" s="445" t="s">
        <v>597</v>
      </c>
      <c r="D202" s="445" t="s">
        <v>218</v>
      </c>
      <c r="E202" s="446" t="s">
        <v>2306</v>
      </c>
      <c r="F202" s="447" t="s">
        <v>2307</v>
      </c>
      <c r="G202" s="448" t="s">
        <v>123</v>
      </c>
      <c r="H202" s="449">
        <v>1</v>
      </c>
      <c r="I202" s="329">
        <v>0</v>
      </c>
      <c r="J202" s="450">
        <f t="shared" si="60"/>
        <v>0</v>
      </c>
      <c r="K202" s="451"/>
      <c r="L202" s="364"/>
      <c r="M202" s="452" t="s">
        <v>171</v>
      </c>
      <c r="N202" s="415" t="s">
        <v>185</v>
      </c>
      <c r="O202" s="453">
        <v>8.44</v>
      </c>
      <c r="P202" s="453">
        <f t="shared" si="61"/>
        <v>8.44</v>
      </c>
      <c r="Q202" s="453">
        <v>0</v>
      </c>
      <c r="R202" s="453">
        <f t="shared" si="62"/>
        <v>0</v>
      </c>
      <c r="S202" s="453">
        <v>0</v>
      </c>
      <c r="T202" s="454">
        <f t="shared" si="63"/>
        <v>0</v>
      </c>
      <c r="AR202" s="455" t="s">
        <v>625</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625</v>
      </c>
      <c r="BM202" s="455" t="s">
        <v>2308</v>
      </c>
    </row>
    <row r="203" spans="2:65" s="365" customFormat="1" ht="33" customHeight="1" x14ac:dyDescent="0.25">
      <c r="B203" s="364"/>
      <c r="C203" s="457" t="s">
        <v>601</v>
      </c>
      <c r="D203" s="457" t="s">
        <v>259</v>
      </c>
      <c r="E203" s="458" t="s">
        <v>2309</v>
      </c>
      <c r="F203" s="459" t="s">
        <v>2310</v>
      </c>
      <c r="G203" s="460" t="s">
        <v>123</v>
      </c>
      <c r="H203" s="461">
        <v>1</v>
      </c>
      <c r="I203" s="330">
        <v>0</v>
      </c>
      <c r="J203" s="462">
        <f t="shared" si="60"/>
        <v>0</v>
      </c>
      <c r="K203" s="463"/>
      <c r="L203" s="464"/>
      <c r="M203" s="465" t="s">
        <v>171</v>
      </c>
      <c r="N203" s="466" t="s">
        <v>185</v>
      </c>
      <c r="O203" s="453">
        <v>0</v>
      </c>
      <c r="P203" s="453">
        <f t="shared" si="61"/>
        <v>0</v>
      </c>
      <c r="Q203" s="453">
        <v>2.8000000000000001E-2</v>
      </c>
      <c r="R203" s="453">
        <f t="shared" si="62"/>
        <v>2.8000000000000001E-2</v>
      </c>
      <c r="S203" s="453">
        <v>0</v>
      </c>
      <c r="T203" s="454">
        <f t="shared" si="63"/>
        <v>0</v>
      </c>
      <c r="AR203" s="455" t="s">
        <v>1631</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1631</v>
      </c>
      <c r="BM203" s="455" t="s">
        <v>2311</v>
      </c>
    </row>
    <row r="204" spans="2:65" s="365" customFormat="1" ht="24.2" customHeight="1" x14ac:dyDescent="0.25">
      <c r="B204" s="364"/>
      <c r="C204" s="445" t="s">
        <v>605</v>
      </c>
      <c r="D204" s="445" t="s">
        <v>218</v>
      </c>
      <c r="E204" s="446" t="s">
        <v>2312</v>
      </c>
      <c r="F204" s="447" t="s">
        <v>2313</v>
      </c>
      <c r="G204" s="448" t="s">
        <v>123</v>
      </c>
      <c r="H204" s="449">
        <v>1</v>
      </c>
      <c r="I204" s="329">
        <v>0</v>
      </c>
      <c r="J204" s="450">
        <f t="shared" si="60"/>
        <v>0</v>
      </c>
      <c r="K204" s="451"/>
      <c r="L204" s="364"/>
      <c r="M204" s="452" t="s">
        <v>171</v>
      </c>
      <c r="N204" s="415" t="s">
        <v>185</v>
      </c>
      <c r="O204" s="453">
        <v>1.4870000000000001</v>
      </c>
      <c r="P204" s="453">
        <f t="shared" si="61"/>
        <v>1.4870000000000001</v>
      </c>
      <c r="Q204" s="453">
        <v>0</v>
      </c>
      <c r="R204" s="453">
        <f t="shared" si="62"/>
        <v>0</v>
      </c>
      <c r="S204" s="453">
        <v>0</v>
      </c>
      <c r="T204" s="454">
        <f t="shared" si="63"/>
        <v>0</v>
      </c>
      <c r="AR204" s="455" t="s">
        <v>110</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110</v>
      </c>
      <c r="BM204" s="455" t="s">
        <v>2314</v>
      </c>
    </row>
    <row r="205" spans="2:65" s="365" customFormat="1" ht="24.2" customHeight="1" x14ac:dyDescent="0.25">
      <c r="B205" s="364"/>
      <c r="C205" s="457" t="s">
        <v>609</v>
      </c>
      <c r="D205" s="457" t="s">
        <v>259</v>
      </c>
      <c r="E205" s="458" t="s">
        <v>2315</v>
      </c>
      <c r="F205" s="459" t="s">
        <v>2316</v>
      </c>
      <c r="G205" s="460" t="s">
        <v>123</v>
      </c>
      <c r="H205" s="461">
        <v>1</v>
      </c>
      <c r="I205" s="330">
        <v>0</v>
      </c>
      <c r="J205" s="462">
        <f t="shared" si="60"/>
        <v>0</v>
      </c>
      <c r="K205" s="463"/>
      <c r="L205" s="464"/>
      <c r="M205" s="465" t="s">
        <v>171</v>
      </c>
      <c r="N205" s="466" t="s">
        <v>185</v>
      </c>
      <c r="O205" s="453">
        <v>0</v>
      </c>
      <c r="P205" s="453">
        <f t="shared" si="61"/>
        <v>0</v>
      </c>
      <c r="Q205" s="453">
        <v>2.1999999999999999E-2</v>
      </c>
      <c r="R205" s="453">
        <f t="shared" si="62"/>
        <v>2.1999999999999999E-2</v>
      </c>
      <c r="S205" s="453">
        <v>0</v>
      </c>
      <c r="T205" s="454">
        <f t="shared" si="63"/>
        <v>0</v>
      </c>
      <c r="AR205" s="455" t="s">
        <v>1631</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1631</v>
      </c>
      <c r="BM205" s="455" t="s">
        <v>2317</v>
      </c>
    </row>
    <row r="206" spans="2:65" s="365" customFormat="1" ht="24.2" customHeight="1" x14ac:dyDescent="0.25">
      <c r="B206" s="364"/>
      <c r="C206" s="445" t="s">
        <v>613</v>
      </c>
      <c r="D206" s="445" t="s">
        <v>218</v>
      </c>
      <c r="E206" s="446" t="s">
        <v>2318</v>
      </c>
      <c r="F206" s="447" t="s">
        <v>2319</v>
      </c>
      <c r="G206" s="448" t="s">
        <v>123</v>
      </c>
      <c r="H206" s="449">
        <v>45</v>
      </c>
      <c r="I206" s="329">
        <v>0</v>
      </c>
      <c r="J206" s="450">
        <f t="shared" si="60"/>
        <v>0</v>
      </c>
      <c r="K206" s="451"/>
      <c r="L206" s="364"/>
      <c r="M206" s="452" t="s">
        <v>171</v>
      </c>
      <c r="N206" s="415" t="s">
        <v>185</v>
      </c>
      <c r="O206" s="453">
        <v>0.44</v>
      </c>
      <c r="P206" s="453">
        <f t="shared" si="61"/>
        <v>19.8</v>
      </c>
      <c r="Q206" s="453">
        <v>0</v>
      </c>
      <c r="R206" s="453">
        <f t="shared" si="62"/>
        <v>0</v>
      </c>
      <c r="S206" s="453">
        <v>0</v>
      </c>
      <c r="T206" s="454">
        <f t="shared" si="63"/>
        <v>0</v>
      </c>
      <c r="AR206" s="455" t="s">
        <v>625</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2320</v>
      </c>
    </row>
    <row r="207" spans="2:65" s="365" customFormat="1" ht="24.2" customHeight="1" x14ac:dyDescent="0.25">
      <c r="B207" s="364"/>
      <c r="C207" s="457" t="s">
        <v>617</v>
      </c>
      <c r="D207" s="457" t="s">
        <v>259</v>
      </c>
      <c r="E207" s="458" t="s">
        <v>2321</v>
      </c>
      <c r="F207" s="459" t="s">
        <v>2322</v>
      </c>
      <c r="G207" s="460" t="s">
        <v>123</v>
      </c>
      <c r="H207" s="461">
        <v>18</v>
      </c>
      <c r="I207" s="330">
        <v>0</v>
      </c>
      <c r="J207" s="462">
        <f t="shared" si="60"/>
        <v>0</v>
      </c>
      <c r="K207" s="463"/>
      <c r="L207" s="464"/>
      <c r="M207" s="465" t="s">
        <v>171</v>
      </c>
      <c r="N207" s="466" t="s">
        <v>185</v>
      </c>
      <c r="O207" s="453">
        <v>0</v>
      </c>
      <c r="P207" s="453">
        <f t="shared" si="61"/>
        <v>0</v>
      </c>
      <c r="Q207" s="453">
        <v>2.5000000000000001E-3</v>
      </c>
      <c r="R207" s="453">
        <f t="shared" si="62"/>
        <v>4.4999999999999998E-2</v>
      </c>
      <c r="S207" s="453">
        <v>0</v>
      </c>
      <c r="T207" s="454">
        <f t="shared" si="63"/>
        <v>0</v>
      </c>
      <c r="AR207" s="455" t="s">
        <v>1631</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1631</v>
      </c>
      <c r="BM207" s="455" t="s">
        <v>2323</v>
      </c>
    </row>
    <row r="208" spans="2:65" s="365" customFormat="1" ht="24.2" customHeight="1" x14ac:dyDescent="0.25">
      <c r="B208" s="364"/>
      <c r="C208" s="457" t="s">
        <v>621</v>
      </c>
      <c r="D208" s="457" t="s">
        <v>259</v>
      </c>
      <c r="E208" s="458" t="s">
        <v>2324</v>
      </c>
      <c r="F208" s="459" t="s">
        <v>2325</v>
      </c>
      <c r="G208" s="460" t="s">
        <v>123</v>
      </c>
      <c r="H208" s="461">
        <v>3</v>
      </c>
      <c r="I208" s="330">
        <v>0</v>
      </c>
      <c r="J208" s="462">
        <f t="shared" si="60"/>
        <v>0</v>
      </c>
      <c r="K208" s="463"/>
      <c r="L208" s="464"/>
      <c r="M208" s="465" t="s">
        <v>171</v>
      </c>
      <c r="N208" s="466" t="s">
        <v>185</v>
      </c>
      <c r="O208" s="453">
        <v>0</v>
      </c>
      <c r="P208" s="453">
        <f t="shared" si="61"/>
        <v>0</v>
      </c>
      <c r="Q208" s="453">
        <v>2.5000000000000001E-3</v>
      </c>
      <c r="R208" s="453">
        <f t="shared" si="62"/>
        <v>7.4999999999999997E-3</v>
      </c>
      <c r="S208" s="453">
        <v>0</v>
      </c>
      <c r="T208" s="454">
        <f t="shared" si="63"/>
        <v>0</v>
      </c>
      <c r="AR208" s="455" t="s">
        <v>1631</v>
      </c>
      <c r="AT208" s="455" t="s">
        <v>259</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1631</v>
      </c>
      <c r="BM208" s="455" t="s">
        <v>2326</v>
      </c>
    </row>
    <row r="209" spans="2:65" s="365" customFormat="1" ht="24.2" customHeight="1" x14ac:dyDescent="0.25">
      <c r="B209" s="364"/>
      <c r="C209" s="457" t="s">
        <v>625</v>
      </c>
      <c r="D209" s="457" t="s">
        <v>259</v>
      </c>
      <c r="E209" s="458" t="s">
        <v>2327</v>
      </c>
      <c r="F209" s="459" t="s">
        <v>2328</v>
      </c>
      <c r="G209" s="460" t="s">
        <v>123</v>
      </c>
      <c r="H209" s="461">
        <v>2</v>
      </c>
      <c r="I209" s="330">
        <v>0</v>
      </c>
      <c r="J209" s="462">
        <f t="shared" si="60"/>
        <v>0</v>
      </c>
      <c r="K209" s="463"/>
      <c r="L209" s="464"/>
      <c r="M209" s="465" t="s">
        <v>171</v>
      </c>
      <c r="N209" s="466" t="s">
        <v>185</v>
      </c>
      <c r="O209" s="453">
        <v>0</v>
      </c>
      <c r="P209" s="453">
        <f t="shared" si="61"/>
        <v>0</v>
      </c>
      <c r="Q209" s="453">
        <v>2.5000000000000001E-3</v>
      </c>
      <c r="R209" s="453">
        <f t="shared" si="62"/>
        <v>5.0000000000000001E-3</v>
      </c>
      <c r="S209" s="453">
        <v>0</v>
      </c>
      <c r="T209" s="454">
        <f t="shared" si="63"/>
        <v>0</v>
      </c>
      <c r="AR209" s="455" t="s">
        <v>1631</v>
      </c>
      <c r="AT209" s="455" t="s">
        <v>259</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1631</v>
      </c>
      <c r="BM209" s="455" t="s">
        <v>2329</v>
      </c>
    </row>
    <row r="210" spans="2:65" s="365" customFormat="1" ht="24.2" customHeight="1" x14ac:dyDescent="0.25">
      <c r="B210" s="364"/>
      <c r="C210" s="445" t="s">
        <v>629</v>
      </c>
      <c r="D210" s="445" t="s">
        <v>218</v>
      </c>
      <c r="E210" s="446" t="s">
        <v>2330</v>
      </c>
      <c r="F210" s="447" t="s">
        <v>2331</v>
      </c>
      <c r="G210" s="448" t="s">
        <v>123</v>
      </c>
      <c r="H210" s="449">
        <v>22</v>
      </c>
      <c r="I210" s="329">
        <v>0</v>
      </c>
      <c r="J210" s="450">
        <f t="shared" si="60"/>
        <v>0</v>
      </c>
      <c r="K210" s="451"/>
      <c r="L210" s="364"/>
      <c r="M210" s="452" t="s">
        <v>171</v>
      </c>
      <c r="N210" s="415" t="s">
        <v>185</v>
      </c>
      <c r="O210" s="453">
        <v>0.22</v>
      </c>
      <c r="P210" s="453">
        <f t="shared" si="61"/>
        <v>4.84</v>
      </c>
      <c r="Q210" s="453">
        <v>0</v>
      </c>
      <c r="R210" s="453">
        <f t="shared" si="62"/>
        <v>0</v>
      </c>
      <c r="S210" s="453">
        <v>0</v>
      </c>
      <c r="T210" s="454">
        <f t="shared" si="63"/>
        <v>0</v>
      </c>
      <c r="AR210" s="455" t="s">
        <v>625</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625</v>
      </c>
      <c r="BM210" s="455" t="s">
        <v>2332</v>
      </c>
    </row>
    <row r="211" spans="2:65" s="365" customFormat="1" ht="16.5" customHeight="1" x14ac:dyDescent="0.25">
      <c r="B211" s="364"/>
      <c r="C211" s="445" t="s">
        <v>634</v>
      </c>
      <c r="D211" s="445" t="s">
        <v>218</v>
      </c>
      <c r="E211" s="446" t="s">
        <v>2333</v>
      </c>
      <c r="F211" s="447" t="s">
        <v>2334</v>
      </c>
      <c r="G211" s="448" t="s">
        <v>123</v>
      </c>
      <c r="H211" s="449">
        <v>44</v>
      </c>
      <c r="I211" s="329">
        <v>0</v>
      </c>
      <c r="J211" s="450">
        <f t="shared" si="60"/>
        <v>0</v>
      </c>
      <c r="K211" s="451"/>
      <c r="L211" s="364"/>
      <c r="M211" s="452" t="s">
        <v>171</v>
      </c>
      <c r="N211" s="415" t="s">
        <v>185</v>
      </c>
      <c r="O211" s="453">
        <v>3.2160000000000002</v>
      </c>
      <c r="P211" s="453">
        <f t="shared" si="61"/>
        <v>141.50400000000002</v>
      </c>
      <c r="Q211" s="453">
        <v>0</v>
      </c>
      <c r="R211" s="453">
        <f t="shared" si="62"/>
        <v>0</v>
      </c>
      <c r="S211" s="453">
        <v>0</v>
      </c>
      <c r="T211" s="454">
        <f t="shared" si="63"/>
        <v>0</v>
      </c>
      <c r="AR211" s="455" t="s">
        <v>625</v>
      </c>
      <c r="AT211" s="455" t="s">
        <v>218</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625</v>
      </c>
      <c r="BM211" s="455" t="s">
        <v>2335</v>
      </c>
    </row>
    <row r="212" spans="2:65" s="365" customFormat="1" ht="33" customHeight="1" x14ac:dyDescent="0.25">
      <c r="B212" s="364"/>
      <c r="C212" s="457" t="s">
        <v>637</v>
      </c>
      <c r="D212" s="457" t="s">
        <v>259</v>
      </c>
      <c r="E212" s="458" t="s">
        <v>2336</v>
      </c>
      <c r="F212" s="459" t="s">
        <v>2337</v>
      </c>
      <c r="G212" s="460" t="s">
        <v>123</v>
      </c>
      <c r="H212" s="461">
        <v>19</v>
      </c>
      <c r="I212" s="330">
        <v>0</v>
      </c>
      <c r="J212" s="462">
        <f t="shared" si="60"/>
        <v>0</v>
      </c>
      <c r="K212" s="463"/>
      <c r="L212" s="464"/>
      <c r="M212" s="465" t="s">
        <v>171</v>
      </c>
      <c r="N212" s="466" t="s">
        <v>185</v>
      </c>
      <c r="O212" s="453">
        <v>0</v>
      </c>
      <c r="P212" s="453">
        <f t="shared" si="61"/>
        <v>0</v>
      </c>
      <c r="Q212" s="453">
        <v>0.16800000000000001</v>
      </c>
      <c r="R212" s="453">
        <f t="shared" si="62"/>
        <v>3.1920000000000002</v>
      </c>
      <c r="S212" s="453">
        <v>0</v>
      </c>
      <c r="T212" s="454">
        <f t="shared" si="63"/>
        <v>0</v>
      </c>
      <c r="AR212" s="455" t="s">
        <v>1631</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1631</v>
      </c>
      <c r="BM212" s="455" t="s">
        <v>2338</v>
      </c>
    </row>
    <row r="213" spans="2:65" s="365" customFormat="1" ht="33" customHeight="1" x14ac:dyDescent="0.25">
      <c r="B213" s="364"/>
      <c r="C213" s="457" t="s">
        <v>640</v>
      </c>
      <c r="D213" s="457" t="s">
        <v>259</v>
      </c>
      <c r="E213" s="458" t="s">
        <v>2339</v>
      </c>
      <c r="F213" s="459" t="s">
        <v>2340</v>
      </c>
      <c r="G213" s="460" t="s">
        <v>123</v>
      </c>
      <c r="H213" s="461">
        <v>3</v>
      </c>
      <c r="I213" s="330">
        <v>0</v>
      </c>
      <c r="J213" s="462">
        <f t="shared" si="60"/>
        <v>0</v>
      </c>
      <c r="K213" s="463"/>
      <c r="L213" s="464"/>
      <c r="M213" s="465" t="s">
        <v>171</v>
      </c>
      <c r="N213" s="466" t="s">
        <v>185</v>
      </c>
      <c r="O213" s="453">
        <v>0</v>
      </c>
      <c r="P213" s="453">
        <f t="shared" si="61"/>
        <v>0</v>
      </c>
      <c r="Q213" s="453">
        <v>0.17397000000000001</v>
      </c>
      <c r="R213" s="453">
        <f t="shared" si="62"/>
        <v>0.5219100000000001</v>
      </c>
      <c r="S213" s="453">
        <v>0</v>
      </c>
      <c r="T213" s="454">
        <f t="shared" si="63"/>
        <v>0</v>
      </c>
      <c r="AR213" s="455" t="s">
        <v>1631</v>
      </c>
      <c r="AT213" s="455" t="s">
        <v>259</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1631</v>
      </c>
      <c r="BM213" s="455" t="s">
        <v>2341</v>
      </c>
    </row>
    <row r="214" spans="2:65" s="365" customFormat="1" ht="66.75" customHeight="1" x14ac:dyDescent="0.25">
      <c r="B214" s="364"/>
      <c r="C214" s="457" t="s">
        <v>644</v>
      </c>
      <c r="D214" s="457" t="s">
        <v>259</v>
      </c>
      <c r="E214" s="458" t="s">
        <v>2342</v>
      </c>
      <c r="F214" s="459" t="s">
        <v>2343</v>
      </c>
      <c r="G214" s="460" t="s">
        <v>123</v>
      </c>
      <c r="H214" s="461">
        <v>22</v>
      </c>
      <c r="I214" s="330">
        <v>0</v>
      </c>
      <c r="J214" s="462">
        <f t="shared" si="60"/>
        <v>0</v>
      </c>
      <c r="K214" s="463"/>
      <c r="L214" s="464"/>
      <c r="M214" s="465" t="s">
        <v>171</v>
      </c>
      <c r="N214" s="466" t="s">
        <v>185</v>
      </c>
      <c r="O214" s="453">
        <v>0</v>
      </c>
      <c r="P214" s="453">
        <f t="shared" si="61"/>
        <v>0</v>
      </c>
      <c r="Q214" s="453">
        <v>0.17397000000000001</v>
      </c>
      <c r="R214" s="453">
        <f t="shared" si="62"/>
        <v>3.8273400000000004</v>
      </c>
      <c r="S214" s="453">
        <v>0</v>
      </c>
      <c r="T214" s="454">
        <f t="shared" si="63"/>
        <v>0</v>
      </c>
      <c r="AR214" s="455" t="s">
        <v>1631</v>
      </c>
      <c r="AT214" s="455" t="s">
        <v>259</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1631</v>
      </c>
      <c r="BM214" s="455" t="s">
        <v>2344</v>
      </c>
    </row>
    <row r="215" spans="2:65" s="365" customFormat="1" ht="21.75" customHeight="1" x14ac:dyDescent="0.25">
      <c r="B215" s="364"/>
      <c r="C215" s="445" t="s">
        <v>645</v>
      </c>
      <c r="D215" s="445" t="s">
        <v>218</v>
      </c>
      <c r="E215" s="446" t="s">
        <v>2345</v>
      </c>
      <c r="F215" s="447" t="s">
        <v>2346</v>
      </c>
      <c r="G215" s="448" t="s">
        <v>123</v>
      </c>
      <c r="H215" s="449">
        <v>22</v>
      </c>
      <c r="I215" s="329">
        <v>0</v>
      </c>
      <c r="J215" s="450">
        <f t="shared" si="60"/>
        <v>0</v>
      </c>
      <c r="K215" s="451"/>
      <c r="L215" s="364"/>
      <c r="M215" s="452" t="s">
        <v>171</v>
      </c>
      <c r="N215" s="415" t="s">
        <v>185</v>
      </c>
      <c r="O215" s="453">
        <v>1.6080000000000001</v>
      </c>
      <c r="P215" s="453">
        <f t="shared" si="61"/>
        <v>35.376000000000005</v>
      </c>
      <c r="Q215" s="453">
        <v>0</v>
      </c>
      <c r="R215" s="453">
        <f t="shared" si="62"/>
        <v>0</v>
      </c>
      <c r="S215" s="453">
        <v>0</v>
      </c>
      <c r="T215" s="454">
        <f t="shared" si="63"/>
        <v>0</v>
      </c>
      <c r="AR215" s="455" t="s">
        <v>625</v>
      </c>
      <c r="AT215" s="455" t="s">
        <v>218</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625</v>
      </c>
      <c r="BM215" s="455" t="s">
        <v>2347</v>
      </c>
    </row>
    <row r="216" spans="2:65" s="365" customFormat="1" ht="21.75" customHeight="1" x14ac:dyDescent="0.25">
      <c r="B216" s="364"/>
      <c r="C216" s="445" t="s">
        <v>651</v>
      </c>
      <c r="D216" s="445" t="s">
        <v>218</v>
      </c>
      <c r="E216" s="446" t="s">
        <v>2348</v>
      </c>
      <c r="F216" s="447" t="s">
        <v>2349</v>
      </c>
      <c r="G216" s="448" t="s">
        <v>123</v>
      </c>
      <c r="H216" s="449">
        <v>2</v>
      </c>
      <c r="I216" s="329">
        <v>0</v>
      </c>
      <c r="J216" s="450">
        <f t="shared" si="60"/>
        <v>0</v>
      </c>
      <c r="K216" s="451"/>
      <c r="L216" s="364"/>
      <c r="M216" s="452" t="s">
        <v>171</v>
      </c>
      <c r="N216" s="415" t="s">
        <v>185</v>
      </c>
      <c r="O216" s="453">
        <v>1.71</v>
      </c>
      <c r="P216" s="453">
        <f t="shared" si="61"/>
        <v>3.42</v>
      </c>
      <c r="Q216" s="453">
        <v>0</v>
      </c>
      <c r="R216" s="453">
        <f t="shared" si="62"/>
        <v>0</v>
      </c>
      <c r="S216" s="453">
        <v>0</v>
      </c>
      <c r="T216" s="454">
        <f t="shared" si="63"/>
        <v>0</v>
      </c>
      <c r="AR216" s="455" t="s">
        <v>625</v>
      </c>
      <c r="AT216" s="455" t="s">
        <v>218</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625</v>
      </c>
      <c r="BM216" s="455" t="s">
        <v>2350</v>
      </c>
    </row>
    <row r="217" spans="2:65" s="365" customFormat="1" ht="24.2" customHeight="1" x14ac:dyDescent="0.25">
      <c r="B217" s="364"/>
      <c r="C217" s="457" t="s">
        <v>655</v>
      </c>
      <c r="D217" s="457" t="s">
        <v>259</v>
      </c>
      <c r="E217" s="458" t="s">
        <v>2351</v>
      </c>
      <c r="F217" s="459" t="s">
        <v>2352</v>
      </c>
      <c r="G217" s="460" t="s">
        <v>123</v>
      </c>
      <c r="H217" s="461">
        <v>1</v>
      </c>
      <c r="I217" s="330">
        <v>0</v>
      </c>
      <c r="J217" s="462">
        <f t="shared" si="60"/>
        <v>0</v>
      </c>
      <c r="K217" s="463"/>
      <c r="L217" s="464"/>
      <c r="M217" s="465" t="s">
        <v>171</v>
      </c>
      <c r="N217" s="466" t="s">
        <v>185</v>
      </c>
      <c r="O217" s="453">
        <v>0</v>
      </c>
      <c r="P217" s="453">
        <f t="shared" si="61"/>
        <v>0</v>
      </c>
      <c r="Q217" s="453">
        <v>7.1500000000000001E-3</v>
      </c>
      <c r="R217" s="453">
        <f t="shared" si="62"/>
        <v>7.1500000000000001E-3</v>
      </c>
      <c r="S217" s="453">
        <v>0</v>
      </c>
      <c r="T217" s="454">
        <f t="shared" si="63"/>
        <v>0</v>
      </c>
      <c r="AR217" s="455" t="s">
        <v>1631</v>
      </c>
      <c r="AT217" s="455" t="s">
        <v>259</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1631</v>
      </c>
      <c r="BM217" s="455" t="s">
        <v>2353</v>
      </c>
    </row>
    <row r="218" spans="2:65" s="365" customFormat="1" ht="24.2" customHeight="1" x14ac:dyDescent="0.25">
      <c r="B218" s="364"/>
      <c r="C218" s="457" t="s">
        <v>659</v>
      </c>
      <c r="D218" s="457" t="s">
        <v>259</v>
      </c>
      <c r="E218" s="458" t="s">
        <v>2354</v>
      </c>
      <c r="F218" s="459" t="s">
        <v>2355</v>
      </c>
      <c r="G218" s="460" t="s">
        <v>123</v>
      </c>
      <c r="H218" s="461">
        <v>1</v>
      </c>
      <c r="I218" s="330">
        <v>0</v>
      </c>
      <c r="J218" s="462">
        <f t="shared" si="60"/>
        <v>0</v>
      </c>
      <c r="K218" s="463"/>
      <c r="L218" s="464"/>
      <c r="M218" s="465" t="s">
        <v>171</v>
      </c>
      <c r="N218" s="466" t="s">
        <v>185</v>
      </c>
      <c r="O218" s="453">
        <v>0</v>
      </c>
      <c r="P218" s="453">
        <f t="shared" si="61"/>
        <v>0</v>
      </c>
      <c r="Q218" s="453">
        <v>9.3500000000000007E-3</v>
      </c>
      <c r="R218" s="453">
        <f t="shared" si="62"/>
        <v>9.3500000000000007E-3</v>
      </c>
      <c r="S218" s="453">
        <v>0</v>
      </c>
      <c r="T218" s="454">
        <f t="shared" si="63"/>
        <v>0</v>
      </c>
      <c r="AR218" s="455" t="s">
        <v>1631</v>
      </c>
      <c r="AT218" s="455" t="s">
        <v>259</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1631</v>
      </c>
      <c r="BM218" s="455" t="s">
        <v>2356</v>
      </c>
    </row>
    <row r="219" spans="2:65" s="365" customFormat="1" ht="16.5" customHeight="1" x14ac:dyDescent="0.25">
      <c r="B219" s="364"/>
      <c r="C219" s="445" t="s">
        <v>664</v>
      </c>
      <c r="D219" s="445" t="s">
        <v>218</v>
      </c>
      <c r="E219" s="446" t="s">
        <v>2357</v>
      </c>
      <c r="F219" s="447" t="s">
        <v>2358</v>
      </c>
      <c r="G219" s="448" t="s">
        <v>123</v>
      </c>
      <c r="H219" s="449">
        <v>44</v>
      </c>
      <c r="I219" s="329">
        <v>0</v>
      </c>
      <c r="J219" s="450">
        <f t="shared" si="60"/>
        <v>0</v>
      </c>
      <c r="K219" s="451"/>
      <c r="L219" s="364"/>
      <c r="M219" s="452" t="s">
        <v>171</v>
      </c>
      <c r="N219" s="415" t="s">
        <v>185</v>
      </c>
      <c r="O219" s="453">
        <v>1.3340000000000001</v>
      </c>
      <c r="P219" s="453">
        <f t="shared" si="61"/>
        <v>58.696000000000005</v>
      </c>
      <c r="Q219" s="453">
        <v>0</v>
      </c>
      <c r="R219" s="453">
        <f t="shared" si="62"/>
        <v>0</v>
      </c>
      <c r="S219" s="453">
        <v>0</v>
      </c>
      <c r="T219" s="454">
        <f t="shared" si="63"/>
        <v>0</v>
      </c>
      <c r="AR219" s="455" t="s">
        <v>625</v>
      </c>
      <c r="AT219" s="455" t="s">
        <v>218</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625</v>
      </c>
      <c r="BM219" s="455" t="s">
        <v>2359</v>
      </c>
    </row>
    <row r="220" spans="2:65" s="365" customFormat="1" ht="24.2" customHeight="1" x14ac:dyDescent="0.25">
      <c r="B220" s="364"/>
      <c r="C220" s="457" t="s">
        <v>670</v>
      </c>
      <c r="D220" s="457" t="s">
        <v>259</v>
      </c>
      <c r="E220" s="458" t="s">
        <v>2360</v>
      </c>
      <c r="F220" s="459" t="s">
        <v>2361</v>
      </c>
      <c r="G220" s="460" t="s">
        <v>123</v>
      </c>
      <c r="H220" s="461">
        <v>44</v>
      </c>
      <c r="I220" s="330">
        <v>0</v>
      </c>
      <c r="J220" s="462">
        <f t="shared" si="60"/>
        <v>0</v>
      </c>
      <c r="K220" s="463"/>
      <c r="L220" s="464"/>
      <c r="M220" s="465" t="s">
        <v>171</v>
      </c>
      <c r="N220" s="466" t="s">
        <v>185</v>
      </c>
      <c r="O220" s="453">
        <v>0</v>
      </c>
      <c r="P220" s="453">
        <f t="shared" si="61"/>
        <v>0</v>
      </c>
      <c r="Q220" s="453">
        <v>0</v>
      </c>
      <c r="R220" s="453">
        <f t="shared" si="62"/>
        <v>0</v>
      </c>
      <c r="S220" s="453">
        <v>0</v>
      </c>
      <c r="T220" s="454">
        <f t="shared" si="63"/>
        <v>0</v>
      </c>
      <c r="AR220" s="455" t="s">
        <v>1631</v>
      </c>
      <c r="AT220" s="455" t="s">
        <v>259</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1631</v>
      </c>
      <c r="BM220" s="455" t="s">
        <v>2362</v>
      </c>
    </row>
    <row r="221" spans="2:65" s="365" customFormat="1" ht="16.5" customHeight="1" x14ac:dyDescent="0.25">
      <c r="B221" s="364"/>
      <c r="C221" s="457" t="s">
        <v>674</v>
      </c>
      <c r="D221" s="457" t="s">
        <v>259</v>
      </c>
      <c r="E221" s="458" t="s">
        <v>2363</v>
      </c>
      <c r="F221" s="459" t="s">
        <v>2364</v>
      </c>
      <c r="G221" s="460" t="s">
        <v>123</v>
      </c>
      <c r="H221" s="461">
        <v>88</v>
      </c>
      <c r="I221" s="330">
        <v>0</v>
      </c>
      <c r="J221" s="462">
        <f t="shared" si="60"/>
        <v>0</v>
      </c>
      <c r="K221" s="463"/>
      <c r="L221" s="464"/>
      <c r="M221" s="465" t="s">
        <v>171</v>
      </c>
      <c r="N221" s="466" t="s">
        <v>185</v>
      </c>
      <c r="O221" s="453">
        <v>0</v>
      </c>
      <c r="P221" s="453">
        <f t="shared" si="61"/>
        <v>0</v>
      </c>
      <c r="Q221" s="453">
        <v>6.0000000000000002E-5</v>
      </c>
      <c r="R221" s="453">
        <f t="shared" si="62"/>
        <v>5.28E-3</v>
      </c>
      <c r="S221" s="453">
        <v>0</v>
      </c>
      <c r="T221" s="454">
        <f t="shared" si="63"/>
        <v>0</v>
      </c>
      <c r="AR221" s="455" t="s">
        <v>1631</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1631</v>
      </c>
      <c r="BM221" s="455" t="s">
        <v>2365</v>
      </c>
    </row>
    <row r="222" spans="2:65" s="365" customFormat="1" ht="16.5" customHeight="1" x14ac:dyDescent="0.25">
      <c r="B222" s="364"/>
      <c r="C222" s="445" t="s">
        <v>678</v>
      </c>
      <c r="D222" s="445" t="s">
        <v>218</v>
      </c>
      <c r="E222" s="446" t="s">
        <v>2366</v>
      </c>
      <c r="F222" s="447" t="s">
        <v>2367</v>
      </c>
      <c r="G222" s="448" t="s">
        <v>123</v>
      </c>
      <c r="H222" s="449">
        <v>22</v>
      </c>
      <c r="I222" s="329">
        <v>0</v>
      </c>
      <c r="J222" s="450">
        <f t="shared" si="60"/>
        <v>0</v>
      </c>
      <c r="K222" s="451"/>
      <c r="L222" s="364"/>
      <c r="M222" s="452" t="s">
        <v>171</v>
      </c>
      <c r="N222" s="415" t="s">
        <v>185</v>
      </c>
      <c r="O222" s="453">
        <v>0.66700000000000004</v>
      </c>
      <c r="P222" s="453">
        <f t="shared" si="61"/>
        <v>14.674000000000001</v>
      </c>
      <c r="Q222" s="453">
        <v>0</v>
      </c>
      <c r="R222" s="453">
        <f t="shared" si="62"/>
        <v>0</v>
      </c>
      <c r="S222" s="453">
        <v>0</v>
      </c>
      <c r="T222" s="454">
        <f t="shared" si="63"/>
        <v>0</v>
      </c>
      <c r="AR222" s="455" t="s">
        <v>625</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625</v>
      </c>
      <c r="BM222" s="455" t="s">
        <v>2368</v>
      </c>
    </row>
    <row r="223" spans="2:65" s="365" customFormat="1" ht="24.2" customHeight="1" x14ac:dyDescent="0.25">
      <c r="B223" s="364"/>
      <c r="C223" s="445" t="s">
        <v>903</v>
      </c>
      <c r="D223" s="445" t="s">
        <v>218</v>
      </c>
      <c r="E223" s="446" t="s">
        <v>2369</v>
      </c>
      <c r="F223" s="447" t="s">
        <v>2370</v>
      </c>
      <c r="G223" s="448" t="s">
        <v>113</v>
      </c>
      <c r="H223" s="449">
        <v>67.5</v>
      </c>
      <c r="I223" s="329">
        <v>0</v>
      </c>
      <c r="J223" s="450">
        <f t="shared" si="60"/>
        <v>0</v>
      </c>
      <c r="K223" s="451"/>
      <c r="L223" s="364"/>
      <c r="M223" s="452" t="s">
        <v>171</v>
      </c>
      <c r="N223" s="415" t="s">
        <v>185</v>
      </c>
      <c r="O223" s="453">
        <v>0.15</v>
      </c>
      <c r="P223" s="453">
        <f t="shared" si="61"/>
        <v>10.125</v>
      </c>
      <c r="Q223" s="453">
        <v>0</v>
      </c>
      <c r="R223" s="453">
        <f t="shared" si="62"/>
        <v>0</v>
      </c>
      <c r="S223" s="453">
        <v>0</v>
      </c>
      <c r="T223" s="454">
        <f t="shared" si="63"/>
        <v>0</v>
      </c>
      <c r="AR223" s="455" t="s">
        <v>625</v>
      </c>
      <c r="AT223" s="455" t="s">
        <v>218</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625</v>
      </c>
      <c r="BM223" s="455" t="s">
        <v>2371</v>
      </c>
    </row>
    <row r="224" spans="2:65" s="365" customFormat="1" ht="16.5" customHeight="1" x14ac:dyDescent="0.25">
      <c r="B224" s="364"/>
      <c r="C224" s="457" t="s">
        <v>907</v>
      </c>
      <c r="D224" s="457" t="s">
        <v>259</v>
      </c>
      <c r="E224" s="458" t="s">
        <v>2372</v>
      </c>
      <c r="F224" s="459" t="s">
        <v>2373</v>
      </c>
      <c r="G224" s="460" t="s">
        <v>536</v>
      </c>
      <c r="H224" s="461">
        <v>47.25</v>
      </c>
      <c r="I224" s="330">
        <v>0</v>
      </c>
      <c r="J224" s="462">
        <f t="shared" si="60"/>
        <v>0</v>
      </c>
      <c r="K224" s="463"/>
      <c r="L224" s="464"/>
      <c r="M224" s="465" t="s">
        <v>171</v>
      </c>
      <c r="N224" s="466" t="s">
        <v>185</v>
      </c>
      <c r="O224" s="453">
        <v>0</v>
      </c>
      <c r="P224" s="453">
        <f t="shared" si="61"/>
        <v>0</v>
      </c>
      <c r="Q224" s="453">
        <v>1E-3</v>
      </c>
      <c r="R224" s="453">
        <f t="shared" si="62"/>
        <v>4.725E-2</v>
      </c>
      <c r="S224" s="453">
        <v>0</v>
      </c>
      <c r="T224" s="454">
        <f t="shared" si="63"/>
        <v>0</v>
      </c>
      <c r="AR224" s="455" t="s">
        <v>1631</v>
      </c>
      <c r="AT224" s="455" t="s">
        <v>259</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1631</v>
      </c>
      <c r="BM224" s="455" t="s">
        <v>2374</v>
      </c>
    </row>
    <row r="225" spans="2:65" s="365" customFormat="1" ht="24.2" customHeight="1" x14ac:dyDescent="0.25">
      <c r="B225" s="364"/>
      <c r="C225" s="445" t="s">
        <v>911</v>
      </c>
      <c r="D225" s="445" t="s">
        <v>218</v>
      </c>
      <c r="E225" s="446" t="s">
        <v>2375</v>
      </c>
      <c r="F225" s="447" t="s">
        <v>2376</v>
      </c>
      <c r="G225" s="448" t="s">
        <v>113</v>
      </c>
      <c r="H225" s="449">
        <v>1417.5</v>
      </c>
      <c r="I225" s="329">
        <v>0</v>
      </c>
      <c r="J225" s="450">
        <f t="shared" si="60"/>
        <v>0</v>
      </c>
      <c r="K225" s="451"/>
      <c r="L225" s="364"/>
      <c r="M225" s="452" t="s">
        <v>171</v>
      </c>
      <c r="N225" s="415" t="s">
        <v>185</v>
      </c>
      <c r="O225" s="453">
        <v>0.11799999999999999</v>
      </c>
      <c r="P225" s="453">
        <f t="shared" si="61"/>
        <v>167.26499999999999</v>
      </c>
      <c r="Q225" s="453">
        <v>0</v>
      </c>
      <c r="R225" s="453">
        <f t="shared" si="62"/>
        <v>0</v>
      </c>
      <c r="S225" s="453">
        <v>0</v>
      </c>
      <c r="T225" s="454">
        <f t="shared" si="63"/>
        <v>0</v>
      </c>
      <c r="AR225" s="455" t="s">
        <v>625</v>
      </c>
      <c r="AT225" s="455" t="s">
        <v>218</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625</v>
      </c>
      <c r="BM225" s="455" t="s">
        <v>2377</v>
      </c>
    </row>
    <row r="226" spans="2:65" s="365" customFormat="1" ht="16.5" customHeight="1" x14ac:dyDescent="0.25">
      <c r="B226" s="364"/>
      <c r="C226" s="457" t="s">
        <v>915</v>
      </c>
      <c r="D226" s="457" t="s">
        <v>259</v>
      </c>
      <c r="E226" s="458" t="s">
        <v>2378</v>
      </c>
      <c r="F226" s="459" t="s">
        <v>2379</v>
      </c>
      <c r="G226" s="460" t="s">
        <v>536</v>
      </c>
      <c r="H226" s="461">
        <v>1335.2850000000001</v>
      </c>
      <c r="I226" s="330">
        <v>0</v>
      </c>
      <c r="J226" s="462">
        <f t="shared" si="60"/>
        <v>0</v>
      </c>
      <c r="K226" s="463"/>
      <c r="L226" s="464"/>
      <c r="M226" s="465" t="s">
        <v>171</v>
      </c>
      <c r="N226" s="466" t="s">
        <v>185</v>
      </c>
      <c r="O226" s="453">
        <v>0</v>
      </c>
      <c r="P226" s="453">
        <f t="shared" si="61"/>
        <v>0</v>
      </c>
      <c r="Q226" s="453">
        <v>1E-3</v>
      </c>
      <c r="R226" s="453">
        <f t="shared" si="62"/>
        <v>1.3352850000000001</v>
      </c>
      <c r="S226" s="453">
        <v>0</v>
      </c>
      <c r="T226" s="454">
        <f t="shared" si="63"/>
        <v>0</v>
      </c>
      <c r="AR226" s="455" t="s">
        <v>1631</v>
      </c>
      <c r="AT226" s="455" t="s">
        <v>259</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1631</v>
      </c>
      <c r="BM226" s="455" t="s">
        <v>2380</v>
      </c>
    </row>
    <row r="227" spans="2:65" s="365" customFormat="1" ht="16.5" customHeight="1" x14ac:dyDescent="0.25">
      <c r="B227" s="364"/>
      <c r="C227" s="445" t="s">
        <v>919</v>
      </c>
      <c r="D227" s="445" t="s">
        <v>218</v>
      </c>
      <c r="E227" s="446" t="s">
        <v>2381</v>
      </c>
      <c r="F227" s="447" t="s">
        <v>2382</v>
      </c>
      <c r="G227" s="448" t="s">
        <v>123</v>
      </c>
      <c r="H227" s="449">
        <v>27</v>
      </c>
      <c r="I227" s="329">
        <v>0</v>
      </c>
      <c r="J227" s="450">
        <f t="shared" si="60"/>
        <v>0</v>
      </c>
      <c r="K227" s="451"/>
      <c r="L227" s="364"/>
      <c r="M227" s="452" t="s">
        <v>171</v>
      </c>
      <c r="N227" s="415" t="s">
        <v>185</v>
      </c>
      <c r="O227" s="453">
        <v>0.11700000000000001</v>
      </c>
      <c r="P227" s="453">
        <f t="shared" si="61"/>
        <v>3.1590000000000003</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2383</v>
      </c>
    </row>
    <row r="228" spans="2:65" s="365" customFormat="1" ht="24.2" customHeight="1" x14ac:dyDescent="0.25">
      <c r="B228" s="364"/>
      <c r="C228" s="457" t="s">
        <v>923</v>
      </c>
      <c r="D228" s="457" t="s">
        <v>259</v>
      </c>
      <c r="E228" s="458" t="s">
        <v>2384</v>
      </c>
      <c r="F228" s="459" t="s">
        <v>2385</v>
      </c>
      <c r="G228" s="460" t="s">
        <v>123</v>
      </c>
      <c r="H228" s="461">
        <v>27</v>
      </c>
      <c r="I228" s="330">
        <v>0</v>
      </c>
      <c r="J228" s="462">
        <f t="shared" si="60"/>
        <v>0</v>
      </c>
      <c r="K228" s="463"/>
      <c r="L228" s="464"/>
      <c r="M228" s="465" t="s">
        <v>171</v>
      </c>
      <c r="N228" s="466" t="s">
        <v>185</v>
      </c>
      <c r="O228" s="453">
        <v>0</v>
      </c>
      <c r="P228" s="453">
        <f t="shared" si="61"/>
        <v>0</v>
      </c>
      <c r="Q228" s="453">
        <v>1.6000000000000001E-4</v>
      </c>
      <c r="R228" s="453">
        <f t="shared" si="62"/>
        <v>4.3200000000000001E-3</v>
      </c>
      <c r="S228" s="453">
        <v>0</v>
      </c>
      <c r="T228" s="454">
        <f t="shared" si="63"/>
        <v>0</v>
      </c>
      <c r="AR228" s="455" t="s">
        <v>1631</v>
      </c>
      <c r="AT228" s="455" t="s">
        <v>259</v>
      </c>
      <c r="AU228" s="455" t="s">
        <v>108</v>
      </c>
      <c r="AY228" s="357" t="s">
        <v>217</v>
      </c>
      <c r="BE228" s="456">
        <f t="shared" si="64"/>
        <v>0</v>
      </c>
      <c r="BF228" s="456">
        <f t="shared" si="65"/>
        <v>0</v>
      </c>
      <c r="BG228" s="456">
        <f t="shared" si="66"/>
        <v>0</v>
      </c>
      <c r="BH228" s="456">
        <f t="shared" si="67"/>
        <v>0</v>
      </c>
      <c r="BI228" s="456">
        <f t="shared" si="68"/>
        <v>0</v>
      </c>
      <c r="BJ228" s="357" t="s">
        <v>108</v>
      </c>
      <c r="BK228" s="456">
        <f t="shared" si="69"/>
        <v>0</v>
      </c>
      <c r="BL228" s="357" t="s">
        <v>1631</v>
      </c>
      <c r="BM228" s="455" t="s">
        <v>2386</v>
      </c>
    </row>
    <row r="229" spans="2:65" s="365" customFormat="1" ht="16.5" customHeight="1" x14ac:dyDescent="0.25">
      <c r="B229" s="364"/>
      <c r="C229" s="445" t="s">
        <v>925</v>
      </c>
      <c r="D229" s="445" t="s">
        <v>218</v>
      </c>
      <c r="E229" s="446" t="s">
        <v>2387</v>
      </c>
      <c r="F229" s="447" t="s">
        <v>2388</v>
      </c>
      <c r="G229" s="448" t="s">
        <v>123</v>
      </c>
      <c r="H229" s="449">
        <v>45</v>
      </c>
      <c r="I229" s="329">
        <v>0</v>
      </c>
      <c r="J229" s="450">
        <f t="shared" si="60"/>
        <v>0</v>
      </c>
      <c r="K229" s="451"/>
      <c r="L229" s="364"/>
      <c r="M229" s="452" t="s">
        <v>171</v>
      </c>
      <c r="N229" s="415" t="s">
        <v>185</v>
      </c>
      <c r="O229" s="453">
        <v>0.11700000000000001</v>
      </c>
      <c r="P229" s="453">
        <f t="shared" si="61"/>
        <v>5.2650000000000006</v>
      </c>
      <c r="Q229" s="453">
        <v>0</v>
      </c>
      <c r="R229" s="453">
        <f t="shared" si="62"/>
        <v>0</v>
      </c>
      <c r="S229" s="453">
        <v>0</v>
      </c>
      <c r="T229" s="454">
        <f t="shared" si="63"/>
        <v>0</v>
      </c>
      <c r="AR229" s="455" t="s">
        <v>625</v>
      </c>
      <c r="AT229" s="455" t="s">
        <v>218</v>
      </c>
      <c r="AU229" s="455" t="s">
        <v>108</v>
      </c>
      <c r="AY229" s="357" t="s">
        <v>217</v>
      </c>
      <c r="BE229" s="456">
        <f t="shared" si="64"/>
        <v>0</v>
      </c>
      <c r="BF229" s="456">
        <f t="shared" si="65"/>
        <v>0</v>
      </c>
      <c r="BG229" s="456">
        <f t="shared" si="66"/>
        <v>0</v>
      </c>
      <c r="BH229" s="456">
        <f t="shared" si="67"/>
        <v>0</v>
      </c>
      <c r="BI229" s="456">
        <f t="shared" si="68"/>
        <v>0</v>
      </c>
      <c r="BJ229" s="357" t="s">
        <v>108</v>
      </c>
      <c r="BK229" s="456">
        <f t="shared" si="69"/>
        <v>0</v>
      </c>
      <c r="BL229" s="357" t="s">
        <v>625</v>
      </c>
      <c r="BM229" s="455" t="s">
        <v>2389</v>
      </c>
    </row>
    <row r="230" spans="2:65" s="365" customFormat="1" ht="16.5" customHeight="1" x14ac:dyDescent="0.25">
      <c r="B230" s="364"/>
      <c r="C230" s="457" t="s">
        <v>928</v>
      </c>
      <c r="D230" s="457" t="s">
        <v>259</v>
      </c>
      <c r="E230" s="458" t="s">
        <v>2390</v>
      </c>
      <c r="F230" s="459" t="s">
        <v>2391</v>
      </c>
      <c r="G230" s="460" t="s">
        <v>123</v>
      </c>
      <c r="H230" s="461">
        <v>45</v>
      </c>
      <c r="I230" s="330">
        <v>0</v>
      </c>
      <c r="J230" s="462">
        <f t="shared" si="60"/>
        <v>0</v>
      </c>
      <c r="K230" s="463"/>
      <c r="L230" s="464"/>
      <c r="M230" s="465" t="s">
        <v>171</v>
      </c>
      <c r="N230" s="466" t="s">
        <v>185</v>
      </c>
      <c r="O230" s="453">
        <v>0</v>
      </c>
      <c r="P230" s="453">
        <f t="shared" si="61"/>
        <v>0</v>
      </c>
      <c r="Q230" s="453">
        <v>1.3999999999999999E-4</v>
      </c>
      <c r="R230" s="453">
        <f t="shared" si="62"/>
        <v>6.2999999999999992E-3</v>
      </c>
      <c r="S230" s="453">
        <v>0</v>
      </c>
      <c r="T230" s="454">
        <f t="shared" si="63"/>
        <v>0</v>
      </c>
      <c r="AR230" s="455" t="s">
        <v>1631</v>
      </c>
      <c r="AT230" s="455" t="s">
        <v>259</v>
      </c>
      <c r="AU230" s="455" t="s">
        <v>108</v>
      </c>
      <c r="AY230" s="357" t="s">
        <v>217</v>
      </c>
      <c r="BE230" s="456">
        <f t="shared" si="64"/>
        <v>0</v>
      </c>
      <c r="BF230" s="456">
        <f t="shared" si="65"/>
        <v>0</v>
      </c>
      <c r="BG230" s="456">
        <f t="shared" si="66"/>
        <v>0</v>
      </c>
      <c r="BH230" s="456">
        <f t="shared" si="67"/>
        <v>0</v>
      </c>
      <c r="BI230" s="456">
        <f t="shared" si="68"/>
        <v>0</v>
      </c>
      <c r="BJ230" s="357" t="s">
        <v>108</v>
      </c>
      <c r="BK230" s="456">
        <f t="shared" si="69"/>
        <v>0</v>
      </c>
      <c r="BL230" s="357" t="s">
        <v>1631</v>
      </c>
      <c r="BM230" s="455" t="s">
        <v>2392</v>
      </c>
    </row>
    <row r="231" spans="2:65" s="365" customFormat="1" ht="21.75" customHeight="1" x14ac:dyDescent="0.25">
      <c r="B231" s="364"/>
      <c r="C231" s="445" t="s">
        <v>931</v>
      </c>
      <c r="D231" s="445" t="s">
        <v>218</v>
      </c>
      <c r="E231" s="446" t="s">
        <v>2393</v>
      </c>
      <c r="F231" s="447" t="s">
        <v>2394</v>
      </c>
      <c r="G231" s="448" t="s">
        <v>113</v>
      </c>
      <c r="H231" s="449">
        <v>1525</v>
      </c>
      <c r="I231" s="329">
        <v>0</v>
      </c>
      <c r="J231" s="450">
        <f t="shared" si="60"/>
        <v>0</v>
      </c>
      <c r="K231" s="451"/>
      <c r="L231" s="364"/>
      <c r="M231" s="452" t="s">
        <v>171</v>
      </c>
      <c r="N231" s="415" t="s">
        <v>185</v>
      </c>
      <c r="O231" s="453">
        <v>5.1999999999999998E-2</v>
      </c>
      <c r="P231" s="453">
        <f t="shared" si="61"/>
        <v>79.3</v>
      </c>
      <c r="Q231" s="453">
        <v>0</v>
      </c>
      <c r="R231" s="453">
        <f t="shared" si="62"/>
        <v>0</v>
      </c>
      <c r="S231" s="453">
        <v>0</v>
      </c>
      <c r="T231" s="454">
        <f t="shared" si="63"/>
        <v>0</v>
      </c>
      <c r="AR231" s="455" t="s">
        <v>625</v>
      </c>
      <c r="AT231" s="455" t="s">
        <v>218</v>
      </c>
      <c r="AU231" s="455" t="s">
        <v>108</v>
      </c>
      <c r="AY231" s="357" t="s">
        <v>217</v>
      </c>
      <c r="BE231" s="456">
        <f t="shared" si="64"/>
        <v>0</v>
      </c>
      <c r="BF231" s="456">
        <f t="shared" si="65"/>
        <v>0</v>
      </c>
      <c r="BG231" s="456">
        <f t="shared" si="66"/>
        <v>0</v>
      </c>
      <c r="BH231" s="456">
        <f t="shared" si="67"/>
        <v>0</v>
      </c>
      <c r="BI231" s="456">
        <f t="shared" si="68"/>
        <v>0</v>
      </c>
      <c r="BJ231" s="357" t="s">
        <v>108</v>
      </c>
      <c r="BK231" s="456">
        <f t="shared" si="69"/>
        <v>0</v>
      </c>
      <c r="BL231" s="357" t="s">
        <v>625</v>
      </c>
      <c r="BM231" s="455" t="s">
        <v>2395</v>
      </c>
    </row>
    <row r="232" spans="2:65" s="365" customFormat="1" ht="16.5" customHeight="1" x14ac:dyDescent="0.25">
      <c r="B232" s="364"/>
      <c r="C232" s="457" t="s">
        <v>933</v>
      </c>
      <c r="D232" s="457" t="s">
        <v>259</v>
      </c>
      <c r="E232" s="458" t="s">
        <v>2396</v>
      </c>
      <c r="F232" s="459" t="s">
        <v>2397</v>
      </c>
      <c r="G232" s="460" t="s">
        <v>113</v>
      </c>
      <c r="H232" s="461">
        <v>1525</v>
      </c>
      <c r="I232" s="330">
        <v>0</v>
      </c>
      <c r="J232" s="462">
        <f t="shared" si="60"/>
        <v>0</v>
      </c>
      <c r="K232" s="463"/>
      <c r="L232" s="464"/>
      <c r="M232" s="465" t="s">
        <v>171</v>
      </c>
      <c r="N232" s="466" t="s">
        <v>185</v>
      </c>
      <c r="O232" s="453">
        <v>0</v>
      </c>
      <c r="P232" s="453">
        <f t="shared" si="61"/>
        <v>0</v>
      </c>
      <c r="Q232" s="453">
        <v>6.2E-4</v>
      </c>
      <c r="R232" s="453">
        <f t="shared" si="62"/>
        <v>0.94550000000000001</v>
      </c>
      <c r="S232" s="453">
        <v>0</v>
      </c>
      <c r="T232" s="454">
        <f t="shared" si="63"/>
        <v>0</v>
      </c>
      <c r="AR232" s="455" t="s">
        <v>1631</v>
      </c>
      <c r="AT232" s="455" t="s">
        <v>259</v>
      </c>
      <c r="AU232" s="455" t="s">
        <v>108</v>
      </c>
      <c r="AY232" s="357" t="s">
        <v>217</v>
      </c>
      <c r="BE232" s="456">
        <f t="shared" si="64"/>
        <v>0</v>
      </c>
      <c r="BF232" s="456">
        <f t="shared" si="65"/>
        <v>0</v>
      </c>
      <c r="BG232" s="456">
        <f t="shared" si="66"/>
        <v>0</v>
      </c>
      <c r="BH232" s="456">
        <f t="shared" si="67"/>
        <v>0</v>
      </c>
      <c r="BI232" s="456">
        <f t="shared" si="68"/>
        <v>0</v>
      </c>
      <c r="BJ232" s="357" t="s">
        <v>108</v>
      </c>
      <c r="BK232" s="456">
        <f t="shared" si="69"/>
        <v>0</v>
      </c>
      <c r="BL232" s="357" t="s">
        <v>1631</v>
      </c>
      <c r="BM232" s="455" t="s">
        <v>2398</v>
      </c>
    </row>
    <row r="233" spans="2:65" s="365" customFormat="1" ht="21.75" customHeight="1" x14ac:dyDescent="0.25">
      <c r="B233" s="364"/>
      <c r="C233" s="445" t="s">
        <v>935</v>
      </c>
      <c r="D233" s="445" t="s">
        <v>218</v>
      </c>
      <c r="E233" s="446" t="s">
        <v>2399</v>
      </c>
      <c r="F233" s="447" t="s">
        <v>2400</v>
      </c>
      <c r="G233" s="448" t="s">
        <v>113</v>
      </c>
      <c r="H233" s="449">
        <v>325</v>
      </c>
      <c r="I233" s="329">
        <v>0</v>
      </c>
      <c r="J233" s="450">
        <f t="shared" si="60"/>
        <v>0</v>
      </c>
      <c r="K233" s="451"/>
      <c r="L233" s="364"/>
      <c r="M233" s="452" t="s">
        <v>171</v>
      </c>
      <c r="N233" s="415" t="s">
        <v>185</v>
      </c>
      <c r="O233" s="453">
        <v>6.3E-2</v>
      </c>
      <c r="P233" s="453">
        <f t="shared" si="61"/>
        <v>20.475000000000001</v>
      </c>
      <c r="Q233" s="453">
        <v>0</v>
      </c>
      <c r="R233" s="453">
        <f t="shared" si="62"/>
        <v>0</v>
      </c>
      <c r="S233" s="453">
        <v>0</v>
      </c>
      <c r="T233" s="454">
        <f t="shared" si="63"/>
        <v>0</v>
      </c>
      <c r="AR233" s="455" t="s">
        <v>625</v>
      </c>
      <c r="AT233" s="455" t="s">
        <v>218</v>
      </c>
      <c r="AU233" s="455" t="s">
        <v>108</v>
      </c>
      <c r="AY233" s="357" t="s">
        <v>217</v>
      </c>
      <c r="BE233" s="456">
        <f t="shared" si="64"/>
        <v>0</v>
      </c>
      <c r="BF233" s="456">
        <f t="shared" si="65"/>
        <v>0</v>
      </c>
      <c r="BG233" s="456">
        <f t="shared" si="66"/>
        <v>0</v>
      </c>
      <c r="BH233" s="456">
        <f t="shared" si="67"/>
        <v>0</v>
      </c>
      <c r="BI233" s="456">
        <f t="shared" si="68"/>
        <v>0</v>
      </c>
      <c r="BJ233" s="357" t="s">
        <v>108</v>
      </c>
      <c r="BK233" s="456">
        <f t="shared" si="69"/>
        <v>0</v>
      </c>
      <c r="BL233" s="357" t="s">
        <v>625</v>
      </c>
      <c r="BM233" s="455" t="s">
        <v>2401</v>
      </c>
    </row>
    <row r="234" spans="2:65" s="365" customFormat="1" ht="16.5" customHeight="1" x14ac:dyDescent="0.25">
      <c r="B234" s="364"/>
      <c r="C234" s="457" t="s">
        <v>938</v>
      </c>
      <c r="D234" s="457" t="s">
        <v>259</v>
      </c>
      <c r="E234" s="458" t="s">
        <v>2402</v>
      </c>
      <c r="F234" s="459" t="s">
        <v>2403</v>
      </c>
      <c r="G234" s="460" t="s">
        <v>113</v>
      </c>
      <c r="H234" s="461">
        <v>325</v>
      </c>
      <c r="I234" s="330">
        <v>0</v>
      </c>
      <c r="J234" s="462">
        <f t="shared" si="60"/>
        <v>0</v>
      </c>
      <c r="K234" s="463"/>
      <c r="L234" s="464"/>
      <c r="M234" s="465" t="s">
        <v>171</v>
      </c>
      <c r="N234" s="466" t="s">
        <v>185</v>
      </c>
      <c r="O234" s="453">
        <v>0</v>
      </c>
      <c r="P234" s="453">
        <f t="shared" si="61"/>
        <v>0</v>
      </c>
      <c r="Q234" s="453">
        <v>8.9999999999999998E-4</v>
      </c>
      <c r="R234" s="453">
        <f t="shared" si="62"/>
        <v>0.29249999999999998</v>
      </c>
      <c r="S234" s="453">
        <v>0</v>
      </c>
      <c r="T234" s="454">
        <f t="shared" si="63"/>
        <v>0</v>
      </c>
      <c r="AR234" s="455" t="s">
        <v>1631</v>
      </c>
      <c r="AT234" s="455" t="s">
        <v>259</v>
      </c>
      <c r="AU234" s="455" t="s">
        <v>108</v>
      </c>
      <c r="AY234" s="357" t="s">
        <v>217</v>
      </c>
      <c r="BE234" s="456">
        <f t="shared" si="64"/>
        <v>0</v>
      </c>
      <c r="BF234" s="456">
        <f t="shared" si="65"/>
        <v>0</v>
      </c>
      <c r="BG234" s="456">
        <f t="shared" si="66"/>
        <v>0</v>
      </c>
      <c r="BH234" s="456">
        <f t="shared" si="67"/>
        <v>0</v>
      </c>
      <c r="BI234" s="456">
        <f t="shared" si="68"/>
        <v>0</v>
      </c>
      <c r="BJ234" s="357" t="s">
        <v>108</v>
      </c>
      <c r="BK234" s="456">
        <f t="shared" si="69"/>
        <v>0</v>
      </c>
      <c r="BL234" s="357" t="s">
        <v>1631</v>
      </c>
      <c r="BM234" s="455" t="s">
        <v>2404</v>
      </c>
    </row>
    <row r="235" spans="2:65" s="365" customFormat="1" ht="21.75" customHeight="1" x14ac:dyDescent="0.25">
      <c r="B235" s="364"/>
      <c r="C235" s="445" t="s">
        <v>941</v>
      </c>
      <c r="D235" s="445" t="s">
        <v>218</v>
      </c>
      <c r="E235" s="446" t="s">
        <v>2405</v>
      </c>
      <c r="F235" s="447" t="s">
        <v>2406</v>
      </c>
      <c r="G235" s="448" t="s">
        <v>113</v>
      </c>
      <c r="H235" s="449">
        <v>1920</v>
      </c>
      <c r="I235" s="329">
        <v>0</v>
      </c>
      <c r="J235" s="450">
        <f t="shared" si="60"/>
        <v>0</v>
      </c>
      <c r="K235" s="451"/>
      <c r="L235" s="364"/>
      <c r="M235" s="452" t="s">
        <v>171</v>
      </c>
      <c r="N235" s="415" t="s">
        <v>185</v>
      </c>
      <c r="O235" s="453">
        <v>0.02</v>
      </c>
      <c r="P235" s="453">
        <f t="shared" si="61"/>
        <v>38.4</v>
      </c>
      <c r="Q235" s="453">
        <v>0</v>
      </c>
      <c r="R235" s="453">
        <f t="shared" si="62"/>
        <v>0</v>
      </c>
      <c r="S235" s="453">
        <v>0</v>
      </c>
      <c r="T235" s="454">
        <f t="shared" si="63"/>
        <v>0</v>
      </c>
      <c r="AR235" s="455" t="s">
        <v>625</v>
      </c>
      <c r="AT235" s="455" t="s">
        <v>218</v>
      </c>
      <c r="AU235" s="455" t="s">
        <v>108</v>
      </c>
      <c r="AY235" s="357" t="s">
        <v>217</v>
      </c>
      <c r="BE235" s="456">
        <f t="shared" si="64"/>
        <v>0</v>
      </c>
      <c r="BF235" s="456">
        <f t="shared" si="65"/>
        <v>0</v>
      </c>
      <c r="BG235" s="456">
        <f t="shared" si="66"/>
        <v>0</v>
      </c>
      <c r="BH235" s="456">
        <f t="shared" si="67"/>
        <v>0</v>
      </c>
      <c r="BI235" s="456">
        <f t="shared" si="68"/>
        <v>0</v>
      </c>
      <c r="BJ235" s="357" t="s">
        <v>108</v>
      </c>
      <c r="BK235" s="456">
        <f t="shared" si="69"/>
        <v>0</v>
      </c>
      <c r="BL235" s="357" t="s">
        <v>625</v>
      </c>
      <c r="BM235" s="455" t="s">
        <v>2407</v>
      </c>
    </row>
    <row r="236" spans="2:65" s="434" customFormat="1" ht="22.9" customHeight="1" x14ac:dyDescent="0.2">
      <c r="B236" s="433"/>
      <c r="D236" s="435" t="s">
        <v>216</v>
      </c>
      <c r="E236" s="443" t="s">
        <v>1770</v>
      </c>
      <c r="F236" s="443" t="s">
        <v>1771</v>
      </c>
      <c r="I236" s="467"/>
      <c r="J236" s="444">
        <f>BK236</f>
        <v>0</v>
      </c>
      <c r="L236" s="433"/>
      <c r="M236" s="438"/>
      <c r="P236" s="439">
        <f>SUM(P237:P249)</f>
        <v>1632.2052539000001</v>
      </c>
      <c r="R236" s="439">
        <f>SUM(R237:R249)</f>
        <v>79.897999999999996</v>
      </c>
      <c r="T236" s="440">
        <f>SUM(T237:T249)</f>
        <v>0</v>
      </c>
      <c r="AR236" s="435" t="s">
        <v>119</v>
      </c>
      <c r="AT236" s="441" t="s">
        <v>216</v>
      </c>
      <c r="AU236" s="441" t="s">
        <v>109</v>
      </c>
      <c r="AY236" s="435" t="s">
        <v>217</v>
      </c>
      <c r="BK236" s="442">
        <f>SUM(BK237:BK249)</f>
        <v>0</v>
      </c>
    </row>
    <row r="237" spans="2:65" s="365" customFormat="1" ht="24.2" customHeight="1" x14ac:dyDescent="0.25">
      <c r="B237" s="364"/>
      <c r="C237" s="445" t="s">
        <v>945</v>
      </c>
      <c r="D237" s="445" t="s">
        <v>218</v>
      </c>
      <c r="E237" s="446" t="s">
        <v>1787</v>
      </c>
      <c r="F237" s="447" t="s">
        <v>1788</v>
      </c>
      <c r="G237" s="448" t="s">
        <v>114</v>
      </c>
      <c r="H237" s="449">
        <v>25.248999999999999</v>
      </c>
      <c r="I237" s="329">
        <v>0</v>
      </c>
      <c r="J237" s="450">
        <f t="shared" ref="J237:J249" si="70">ROUND(I237*H237,2)</f>
        <v>0</v>
      </c>
      <c r="K237" s="451"/>
      <c r="L237" s="364"/>
      <c r="M237" s="452" t="s">
        <v>171</v>
      </c>
      <c r="N237" s="415" t="s">
        <v>185</v>
      </c>
      <c r="O237" s="453">
        <v>2.9211</v>
      </c>
      <c r="P237" s="453">
        <f t="shared" ref="P237:P249" si="71">O237*H237</f>
        <v>73.754853900000001</v>
      </c>
      <c r="Q237" s="453">
        <v>0</v>
      </c>
      <c r="R237" s="453">
        <f t="shared" ref="R237:R249" si="72">Q237*H237</f>
        <v>0</v>
      </c>
      <c r="S237" s="453">
        <v>0</v>
      </c>
      <c r="T237" s="454">
        <f t="shared" ref="T237:T249" si="73">S237*H237</f>
        <v>0</v>
      </c>
      <c r="AR237" s="455" t="s">
        <v>625</v>
      </c>
      <c r="AT237" s="455" t="s">
        <v>218</v>
      </c>
      <c r="AU237" s="455" t="s">
        <v>108</v>
      </c>
      <c r="AY237" s="357" t="s">
        <v>217</v>
      </c>
      <c r="BE237" s="456">
        <f t="shared" ref="BE237:BE249" si="74">IF(N237="základná",J237,0)</f>
        <v>0</v>
      </c>
      <c r="BF237" s="456">
        <f t="shared" ref="BF237:BF249" si="75">IF(N237="znížená",J237,0)</f>
        <v>0</v>
      </c>
      <c r="BG237" s="456">
        <f t="shared" ref="BG237:BG249" si="76">IF(N237="zákl. prenesená",J237,0)</f>
        <v>0</v>
      </c>
      <c r="BH237" s="456">
        <f t="shared" ref="BH237:BH249" si="77">IF(N237="zníž. prenesená",J237,0)</f>
        <v>0</v>
      </c>
      <c r="BI237" s="456">
        <f t="shared" ref="BI237:BI249" si="78">IF(N237="nulová",J237,0)</f>
        <v>0</v>
      </c>
      <c r="BJ237" s="357" t="s">
        <v>108</v>
      </c>
      <c r="BK237" s="456">
        <f t="shared" ref="BK237:BK249" si="79">ROUND(I237*H237,2)</f>
        <v>0</v>
      </c>
      <c r="BL237" s="357" t="s">
        <v>625</v>
      </c>
      <c r="BM237" s="455" t="s">
        <v>2408</v>
      </c>
    </row>
    <row r="238" spans="2:65" s="365" customFormat="1" ht="24.2" customHeight="1" x14ac:dyDescent="0.25">
      <c r="B238" s="364"/>
      <c r="C238" s="445" t="s">
        <v>948</v>
      </c>
      <c r="D238" s="445" t="s">
        <v>218</v>
      </c>
      <c r="E238" s="446" t="s">
        <v>2409</v>
      </c>
      <c r="F238" s="447" t="s">
        <v>2410</v>
      </c>
      <c r="G238" s="448" t="s">
        <v>113</v>
      </c>
      <c r="H238" s="449">
        <v>686</v>
      </c>
      <c r="I238" s="329">
        <v>0</v>
      </c>
      <c r="J238" s="450">
        <f t="shared" si="70"/>
        <v>0</v>
      </c>
      <c r="K238" s="451"/>
      <c r="L238" s="364"/>
      <c r="M238" s="452" t="s">
        <v>171</v>
      </c>
      <c r="N238" s="415" t="s">
        <v>185</v>
      </c>
      <c r="O238" s="453">
        <v>0.71109999999999995</v>
      </c>
      <c r="P238" s="453">
        <f t="shared" si="71"/>
        <v>487.81459999999998</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2411</v>
      </c>
    </row>
    <row r="239" spans="2:65" s="365" customFormat="1" ht="24.2" customHeight="1" x14ac:dyDescent="0.25">
      <c r="B239" s="364"/>
      <c r="C239" s="445" t="s">
        <v>1199</v>
      </c>
      <c r="D239" s="445" t="s">
        <v>218</v>
      </c>
      <c r="E239" s="446" t="s">
        <v>2412</v>
      </c>
      <c r="F239" s="447" t="s">
        <v>2413</v>
      </c>
      <c r="G239" s="448" t="s">
        <v>113</v>
      </c>
      <c r="H239" s="449">
        <v>614</v>
      </c>
      <c r="I239" s="329">
        <v>0</v>
      </c>
      <c r="J239" s="450">
        <f t="shared" si="70"/>
        <v>0</v>
      </c>
      <c r="K239" s="451"/>
      <c r="L239" s="364"/>
      <c r="M239" s="452" t="s">
        <v>171</v>
      </c>
      <c r="N239" s="415" t="s">
        <v>185</v>
      </c>
      <c r="O239" s="453">
        <v>0.94769999999999999</v>
      </c>
      <c r="P239" s="453">
        <f t="shared" si="71"/>
        <v>581.88779999999997</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2414</v>
      </c>
    </row>
    <row r="240" spans="2:65" s="365" customFormat="1" ht="24.2" customHeight="1" x14ac:dyDescent="0.25">
      <c r="B240" s="364"/>
      <c r="C240" s="445" t="s">
        <v>1200</v>
      </c>
      <c r="D240" s="445" t="s">
        <v>218</v>
      </c>
      <c r="E240" s="446" t="s">
        <v>2415</v>
      </c>
      <c r="F240" s="447" t="s">
        <v>2416</v>
      </c>
      <c r="G240" s="448" t="s">
        <v>113</v>
      </c>
      <c r="H240" s="449">
        <v>10</v>
      </c>
      <c r="I240" s="329">
        <v>0</v>
      </c>
      <c r="J240" s="450">
        <f t="shared" si="70"/>
        <v>0</v>
      </c>
      <c r="K240" s="451"/>
      <c r="L240" s="364"/>
      <c r="M240" s="452" t="s">
        <v>171</v>
      </c>
      <c r="N240" s="415" t="s">
        <v>185</v>
      </c>
      <c r="O240" s="453">
        <v>1.7991999999999999</v>
      </c>
      <c r="P240" s="453">
        <f t="shared" si="71"/>
        <v>17.991999999999997</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2417</v>
      </c>
    </row>
    <row r="241" spans="2:65" s="365" customFormat="1" ht="24.2" customHeight="1" x14ac:dyDescent="0.25">
      <c r="B241" s="364"/>
      <c r="C241" s="445" t="s">
        <v>1202</v>
      </c>
      <c r="D241" s="445" t="s">
        <v>218</v>
      </c>
      <c r="E241" s="446" t="s">
        <v>2418</v>
      </c>
      <c r="F241" s="447" t="s">
        <v>2419</v>
      </c>
      <c r="G241" s="448" t="s">
        <v>113</v>
      </c>
      <c r="H241" s="449">
        <v>10</v>
      </c>
      <c r="I241" s="329">
        <v>0</v>
      </c>
      <c r="J241" s="450">
        <f t="shared" si="70"/>
        <v>0</v>
      </c>
      <c r="K241" s="451"/>
      <c r="L241" s="364"/>
      <c r="M241" s="452" t="s">
        <v>171</v>
      </c>
      <c r="N241" s="415" t="s">
        <v>185</v>
      </c>
      <c r="O241" s="453">
        <v>3.5047999999999999</v>
      </c>
      <c r="P241" s="453">
        <f t="shared" si="71"/>
        <v>35.048000000000002</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2420</v>
      </c>
    </row>
    <row r="242" spans="2:65" s="365" customFormat="1" ht="24.2" customHeight="1" x14ac:dyDescent="0.25">
      <c r="B242" s="364"/>
      <c r="C242" s="445" t="s">
        <v>1203</v>
      </c>
      <c r="D242" s="445" t="s">
        <v>218</v>
      </c>
      <c r="E242" s="446" t="s">
        <v>2421</v>
      </c>
      <c r="F242" s="447" t="s">
        <v>2422</v>
      </c>
      <c r="G242" s="448" t="s">
        <v>113</v>
      </c>
      <c r="H242" s="449">
        <v>1300</v>
      </c>
      <c r="I242" s="329">
        <v>0</v>
      </c>
      <c r="J242" s="450">
        <f t="shared" si="70"/>
        <v>0</v>
      </c>
      <c r="K242" s="451"/>
      <c r="L242" s="364"/>
      <c r="M242" s="452" t="s">
        <v>171</v>
      </c>
      <c r="N242" s="415" t="s">
        <v>185</v>
      </c>
      <c r="O242" s="453">
        <v>0.1469</v>
      </c>
      <c r="P242" s="453">
        <f t="shared" si="71"/>
        <v>190.97</v>
      </c>
      <c r="Q242" s="453">
        <v>0</v>
      </c>
      <c r="R242" s="453">
        <f t="shared" si="72"/>
        <v>0</v>
      </c>
      <c r="S242" s="453">
        <v>0</v>
      </c>
      <c r="T242" s="454">
        <f t="shared" si="73"/>
        <v>0</v>
      </c>
      <c r="AR242" s="455" t="s">
        <v>625</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625</v>
      </c>
      <c r="BM242" s="455" t="s">
        <v>2423</v>
      </c>
    </row>
    <row r="243" spans="2:65" s="365" customFormat="1" ht="16.5" customHeight="1" x14ac:dyDescent="0.25">
      <c r="B243" s="364"/>
      <c r="C243" s="457" t="s">
        <v>1206</v>
      </c>
      <c r="D243" s="457" t="s">
        <v>259</v>
      </c>
      <c r="E243" s="458" t="s">
        <v>2424</v>
      </c>
      <c r="F243" s="459" t="s">
        <v>2425</v>
      </c>
      <c r="G243" s="460" t="s">
        <v>112</v>
      </c>
      <c r="H243" s="461">
        <v>79.625</v>
      </c>
      <c r="I243" s="330">
        <v>0</v>
      </c>
      <c r="J243" s="462">
        <f t="shared" si="70"/>
        <v>0</v>
      </c>
      <c r="K243" s="463"/>
      <c r="L243" s="464"/>
      <c r="M243" s="465" t="s">
        <v>171</v>
      </c>
      <c r="N243" s="466" t="s">
        <v>185</v>
      </c>
      <c r="O243" s="453">
        <v>0</v>
      </c>
      <c r="P243" s="453">
        <f t="shared" si="71"/>
        <v>0</v>
      </c>
      <c r="Q243" s="453">
        <v>1</v>
      </c>
      <c r="R243" s="453">
        <f t="shared" si="72"/>
        <v>79.625</v>
      </c>
      <c r="S243" s="453">
        <v>0</v>
      </c>
      <c r="T243" s="454">
        <f t="shared" si="73"/>
        <v>0</v>
      </c>
      <c r="AR243" s="455" t="s">
        <v>1795</v>
      </c>
      <c r="AT243" s="455" t="s">
        <v>259</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625</v>
      </c>
      <c r="BM243" s="455" t="s">
        <v>2426</v>
      </c>
    </row>
    <row r="244" spans="2:65" s="365" customFormat="1" ht="24.2" customHeight="1" x14ac:dyDescent="0.25">
      <c r="B244" s="364"/>
      <c r="C244" s="445" t="s">
        <v>1208</v>
      </c>
      <c r="D244" s="445" t="s">
        <v>218</v>
      </c>
      <c r="E244" s="446" t="s">
        <v>2427</v>
      </c>
      <c r="F244" s="447" t="s">
        <v>2428</v>
      </c>
      <c r="G244" s="448" t="s">
        <v>113</v>
      </c>
      <c r="H244" s="449">
        <v>1300</v>
      </c>
      <c r="I244" s="329">
        <v>0</v>
      </c>
      <c r="J244" s="450">
        <f t="shared" si="70"/>
        <v>0</v>
      </c>
      <c r="K244" s="451"/>
      <c r="L244" s="364"/>
      <c r="M244" s="452" t="s">
        <v>171</v>
      </c>
      <c r="N244" s="415" t="s">
        <v>185</v>
      </c>
      <c r="O244" s="453">
        <v>3.2500000000000001E-2</v>
      </c>
      <c r="P244" s="453">
        <f t="shared" si="71"/>
        <v>42.25</v>
      </c>
      <c r="Q244" s="453">
        <v>0</v>
      </c>
      <c r="R244" s="453">
        <f t="shared" si="72"/>
        <v>0</v>
      </c>
      <c r="S244" s="453">
        <v>0</v>
      </c>
      <c r="T244" s="454">
        <f t="shared" si="73"/>
        <v>0</v>
      </c>
      <c r="AR244" s="455" t="s">
        <v>625</v>
      </c>
      <c r="AT244" s="455" t="s">
        <v>218</v>
      </c>
      <c r="AU244" s="455" t="s">
        <v>108</v>
      </c>
      <c r="AY244" s="357" t="s">
        <v>217</v>
      </c>
      <c r="BE244" s="456">
        <f t="shared" si="74"/>
        <v>0</v>
      </c>
      <c r="BF244" s="456">
        <f t="shared" si="75"/>
        <v>0</v>
      </c>
      <c r="BG244" s="456">
        <f t="shared" si="76"/>
        <v>0</v>
      </c>
      <c r="BH244" s="456">
        <f t="shared" si="77"/>
        <v>0</v>
      </c>
      <c r="BI244" s="456">
        <f t="shared" si="78"/>
        <v>0</v>
      </c>
      <c r="BJ244" s="357" t="s">
        <v>108</v>
      </c>
      <c r="BK244" s="456">
        <f t="shared" si="79"/>
        <v>0</v>
      </c>
      <c r="BL244" s="357" t="s">
        <v>625</v>
      </c>
      <c r="BM244" s="455" t="s">
        <v>2429</v>
      </c>
    </row>
    <row r="245" spans="2:65" s="365" customFormat="1" ht="24.2" customHeight="1" x14ac:dyDescent="0.25">
      <c r="B245" s="364"/>
      <c r="C245" s="457" t="s">
        <v>649</v>
      </c>
      <c r="D245" s="457" t="s">
        <v>259</v>
      </c>
      <c r="E245" s="458" t="s">
        <v>2430</v>
      </c>
      <c r="F245" s="459" t="s">
        <v>2431</v>
      </c>
      <c r="G245" s="460" t="s">
        <v>113</v>
      </c>
      <c r="H245" s="461">
        <v>1300</v>
      </c>
      <c r="I245" s="330">
        <v>0</v>
      </c>
      <c r="J245" s="462">
        <f t="shared" si="70"/>
        <v>0</v>
      </c>
      <c r="K245" s="463"/>
      <c r="L245" s="464"/>
      <c r="M245" s="465" t="s">
        <v>171</v>
      </c>
      <c r="N245" s="466" t="s">
        <v>185</v>
      </c>
      <c r="O245" s="453">
        <v>0</v>
      </c>
      <c r="P245" s="453">
        <f t="shared" si="71"/>
        <v>0</v>
      </c>
      <c r="Q245" s="453">
        <v>2.1000000000000001E-4</v>
      </c>
      <c r="R245" s="453">
        <f t="shared" si="72"/>
        <v>0.27300000000000002</v>
      </c>
      <c r="S245" s="453">
        <v>0</v>
      </c>
      <c r="T245" s="454">
        <f t="shared" si="73"/>
        <v>0</v>
      </c>
      <c r="AR245" s="455" t="s">
        <v>1631</v>
      </c>
      <c r="AT245" s="455" t="s">
        <v>259</v>
      </c>
      <c r="AU245" s="455" t="s">
        <v>108</v>
      </c>
      <c r="AY245" s="357" t="s">
        <v>217</v>
      </c>
      <c r="BE245" s="456">
        <f t="shared" si="74"/>
        <v>0</v>
      </c>
      <c r="BF245" s="456">
        <f t="shared" si="75"/>
        <v>0</v>
      </c>
      <c r="BG245" s="456">
        <f t="shared" si="76"/>
        <v>0</v>
      </c>
      <c r="BH245" s="456">
        <f t="shared" si="77"/>
        <v>0</v>
      </c>
      <c r="BI245" s="456">
        <f t="shared" si="78"/>
        <v>0</v>
      </c>
      <c r="BJ245" s="357" t="s">
        <v>108</v>
      </c>
      <c r="BK245" s="456">
        <f t="shared" si="79"/>
        <v>0</v>
      </c>
      <c r="BL245" s="357" t="s">
        <v>1631</v>
      </c>
      <c r="BM245" s="455" t="s">
        <v>2432</v>
      </c>
    </row>
    <row r="246" spans="2:65" s="365" customFormat="1" ht="33" customHeight="1" x14ac:dyDescent="0.25">
      <c r="B246" s="364"/>
      <c r="C246" s="445" t="s">
        <v>1211</v>
      </c>
      <c r="D246" s="445" t="s">
        <v>218</v>
      </c>
      <c r="E246" s="446" t="s">
        <v>2433</v>
      </c>
      <c r="F246" s="447" t="s">
        <v>2434</v>
      </c>
      <c r="G246" s="448" t="s">
        <v>113</v>
      </c>
      <c r="H246" s="449">
        <v>686</v>
      </c>
      <c r="I246" s="329">
        <v>0</v>
      </c>
      <c r="J246" s="450">
        <f t="shared" si="70"/>
        <v>0</v>
      </c>
      <c r="K246" s="451"/>
      <c r="L246" s="364"/>
      <c r="M246" s="452" t="s">
        <v>171</v>
      </c>
      <c r="N246" s="415" t="s">
        <v>185</v>
      </c>
      <c r="O246" s="453">
        <v>0.1235</v>
      </c>
      <c r="P246" s="453">
        <f t="shared" si="71"/>
        <v>84.721000000000004</v>
      </c>
      <c r="Q246" s="453">
        <v>0</v>
      </c>
      <c r="R246" s="453">
        <f t="shared" si="72"/>
        <v>0</v>
      </c>
      <c r="S246" s="453">
        <v>0</v>
      </c>
      <c r="T246" s="454">
        <f t="shared" si="73"/>
        <v>0</v>
      </c>
      <c r="AR246" s="455" t="s">
        <v>625</v>
      </c>
      <c r="AT246" s="455" t="s">
        <v>218</v>
      </c>
      <c r="AU246" s="455" t="s">
        <v>108</v>
      </c>
      <c r="AY246" s="357" t="s">
        <v>217</v>
      </c>
      <c r="BE246" s="456">
        <f t="shared" si="74"/>
        <v>0</v>
      </c>
      <c r="BF246" s="456">
        <f t="shared" si="75"/>
        <v>0</v>
      </c>
      <c r="BG246" s="456">
        <f t="shared" si="76"/>
        <v>0</v>
      </c>
      <c r="BH246" s="456">
        <f t="shared" si="77"/>
        <v>0</v>
      </c>
      <c r="BI246" s="456">
        <f t="shared" si="78"/>
        <v>0</v>
      </c>
      <c r="BJ246" s="357" t="s">
        <v>108</v>
      </c>
      <c r="BK246" s="456">
        <f t="shared" si="79"/>
        <v>0</v>
      </c>
      <c r="BL246" s="357" t="s">
        <v>625</v>
      </c>
      <c r="BM246" s="455" t="s">
        <v>2435</v>
      </c>
    </row>
    <row r="247" spans="2:65" s="365" customFormat="1" ht="33" customHeight="1" x14ac:dyDescent="0.25">
      <c r="B247" s="364"/>
      <c r="C247" s="445" t="s">
        <v>1213</v>
      </c>
      <c r="D247" s="445" t="s">
        <v>218</v>
      </c>
      <c r="E247" s="446" t="s">
        <v>2436</v>
      </c>
      <c r="F247" s="447" t="s">
        <v>2437</v>
      </c>
      <c r="G247" s="448" t="s">
        <v>113</v>
      </c>
      <c r="H247" s="449">
        <v>614</v>
      </c>
      <c r="I247" s="329">
        <v>0</v>
      </c>
      <c r="J247" s="450">
        <f t="shared" si="70"/>
        <v>0</v>
      </c>
      <c r="K247" s="451"/>
      <c r="L247" s="364"/>
      <c r="M247" s="452" t="s">
        <v>171</v>
      </c>
      <c r="N247" s="415" t="s">
        <v>185</v>
      </c>
      <c r="O247" s="453">
        <v>0.17549999999999999</v>
      </c>
      <c r="P247" s="453">
        <f t="shared" si="71"/>
        <v>107.75699999999999</v>
      </c>
      <c r="Q247" s="453">
        <v>0</v>
      </c>
      <c r="R247" s="453">
        <f t="shared" si="72"/>
        <v>0</v>
      </c>
      <c r="S247" s="453">
        <v>0</v>
      </c>
      <c r="T247" s="454">
        <f t="shared" si="73"/>
        <v>0</v>
      </c>
      <c r="AR247" s="455" t="s">
        <v>625</v>
      </c>
      <c r="AT247" s="455" t="s">
        <v>218</v>
      </c>
      <c r="AU247" s="455" t="s">
        <v>108</v>
      </c>
      <c r="AY247" s="357" t="s">
        <v>217</v>
      </c>
      <c r="BE247" s="456">
        <f t="shared" si="74"/>
        <v>0</v>
      </c>
      <c r="BF247" s="456">
        <f t="shared" si="75"/>
        <v>0</v>
      </c>
      <c r="BG247" s="456">
        <f t="shared" si="76"/>
        <v>0</v>
      </c>
      <c r="BH247" s="456">
        <f t="shared" si="77"/>
        <v>0</v>
      </c>
      <c r="BI247" s="456">
        <f t="shared" si="78"/>
        <v>0</v>
      </c>
      <c r="BJ247" s="357" t="s">
        <v>108</v>
      </c>
      <c r="BK247" s="456">
        <f t="shared" si="79"/>
        <v>0</v>
      </c>
      <c r="BL247" s="357" t="s">
        <v>625</v>
      </c>
      <c r="BM247" s="455" t="s">
        <v>2438</v>
      </c>
    </row>
    <row r="248" spans="2:65" s="365" customFormat="1" ht="33" customHeight="1" x14ac:dyDescent="0.25">
      <c r="B248" s="364"/>
      <c r="C248" s="445" t="s">
        <v>1215</v>
      </c>
      <c r="D248" s="445" t="s">
        <v>218</v>
      </c>
      <c r="E248" s="446" t="s">
        <v>2439</v>
      </c>
      <c r="F248" s="447" t="s">
        <v>2440</v>
      </c>
      <c r="G248" s="448" t="s">
        <v>113</v>
      </c>
      <c r="H248" s="449">
        <v>10</v>
      </c>
      <c r="I248" s="329">
        <v>0</v>
      </c>
      <c r="J248" s="450">
        <f t="shared" si="70"/>
        <v>0</v>
      </c>
      <c r="K248" s="451"/>
      <c r="L248" s="364"/>
      <c r="M248" s="452" t="s">
        <v>171</v>
      </c>
      <c r="N248" s="415" t="s">
        <v>185</v>
      </c>
      <c r="O248" s="453">
        <v>0.36530000000000001</v>
      </c>
      <c r="P248" s="453">
        <f t="shared" si="71"/>
        <v>3.653</v>
      </c>
      <c r="Q248" s="453">
        <v>0</v>
      </c>
      <c r="R248" s="453">
        <f t="shared" si="72"/>
        <v>0</v>
      </c>
      <c r="S248" s="453">
        <v>0</v>
      </c>
      <c r="T248" s="454">
        <f t="shared" si="73"/>
        <v>0</v>
      </c>
      <c r="AR248" s="455" t="s">
        <v>625</v>
      </c>
      <c r="AT248" s="455" t="s">
        <v>218</v>
      </c>
      <c r="AU248" s="455" t="s">
        <v>108</v>
      </c>
      <c r="AY248" s="357" t="s">
        <v>217</v>
      </c>
      <c r="BE248" s="456">
        <f t="shared" si="74"/>
        <v>0</v>
      </c>
      <c r="BF248" s="456">
        <f t="shared" si="75"/>
        <v>0</v>
      </c>
      <c r="BG248" s="456">
        <f t="shared" si="76"/>
        <v>0</v>
      </c>
      <c r="BH248" s="456">
        <f t="shared" si="77"/>
        <v>0</v>
      </c>
      <c r="BI248" s="456">
        <f t="shared" si="78"/>
        <v>0</v>
      </c>
      <c r="BJ248" s="357" t="s">
        <v>108</v>
      </c>
      <c r="BK248" s="456">
        <f t="shared" si="79"/>
        <v>0</v>
      </c>
      <c r="BL248" s="357" t="s">
        <v>625</v>
      </c>
      <c r="BM248" s="455" t="s">
        <v>2441</v>
      </c>
    </row>
    <row r="249" spans="2:65" s="365" customFormat="1" ht="33" customHeight="1" x14ac:dyDescent="0.25">
      <c r="B249" s="364"/>
      <c r="C249" s="445" t="s">
        <v>1217</v>
      </c>
      <c r="D249" s="445" t="s">
        <v>218</v>
      </c>
      <c r="E249" s="446" t="s">
        <v>2442</v>
      </c>
      <c r="F249" s="447" t="s">
        <v>2443</v>
      </c>
      <c r="G249" s="448" t="s">
        <v>113</v>
      </c>
      <c r="H249" s="449">
        <v>10</v>
      </c>
      <c r="I249" s="329">
        <v>0</v>
      </c>
      <c r="J249" s="450">
        <f t="shared" si="70"/>
        <v>0</v>
      </c>
      <c r="K249" s="451"/>
      <c r="L249" s="364"/>
      <c r="M249" s="452" t="s">
        <v>171</v>
      </c>
      <c r="N249" s="415" t="s">
        <v>185</v>
      </c>
      <c r="O249" s="453">
        <v>0.63570000000000004</v>
      </c>
      <c r="P249" s="453">
        <f t="shared" si="71"/>
        <v>6.3570000000000002</v>
      </c>
      <c r="Q249" s="453">
        <v>0</v>
      </c>
      <c r="R249" s="453">
        <f t="shared" si="72"/>
        <v>0</v>
      </c>
      <c r="S249" s="453">
        <v>0</v>
      </c>
      <c r="T249" s="454">
        <f t="shared" si="73"/>
        <v>0</v>
      </c>
      <c r="AR249" s="455" t="s">
        <v>625</v>
      </c>
      <c r="AT249" s="455" t="s">
        <v>218</v>
      </c>
      <c r="AU249" s="455" t="s">
        <v>108</v>
      </c>
      <c r="AY249" s="357" t="s">
        <v>217</v>
      </c>
      <c r="BE249" s="456">
        <f t="shared" si="74"/>
        <v>0</v>
      </c>
      <c r="BF249" s="456">
        <f t="shared" si="75"/>
        <v>0</v>
      </c>
      <c r="BG249" s="456">
        <f t="shared" si="76"/>
        <v>0</v>
      </c>
      <c r="BH249" s="456">
        <f t="shared" si="77"/>
        <v>0</v>
      </c>
      <c r="BI249" s="456">
        <f t="shared" si="78"/>
        <v>0</v>
      </c>
      <c r="BJ249" s="357" t="s">
        <v>108</v>
      </c>
      <c r="BK249" s="456">
        <f t="shared" si="79"/>
        <v>0</v>
      </c>
      <c r="BL249" s="357" t="s">
        <v>625</v>
      </c>
      <c r="BM249" s="455" t="s">
        <v>2444</v>
      </c>
    </row>
    <row r="250" spans="2:65" s="434" customFormat="1" ht="25.9" customHeight="1" x14ac:dyDescent="0.2">
      <c r="B250" s="433"/>
      <c r="D250" s="435" t="s">
        <v>216</v>
      </c>
      <c r="E250" s="436" t="s">
        <v>2445</v>
      </c>
      <c r="F250" s="436" t="s">
        <v>2446</v>
      </c>
      <c r="I250" s="467"/>
      <c r="J250" s="437">
        <f>BK250</f>
        <v>0</v>
      </c>
      <c r="L250" s="433"/>
      <c r="M250" s="438"/>
      <c r="P250" s="439">
        <f>SUM(P251:P253)</f>
        <v>348.80000000000007</v>
      </c>
      <c r="R250" s="439">
        <f>SUM(R251:R253)</f>
        <v>0</v>
      </c>
      <c r="T250" s="440">
        <f>SUM(T251:T253)</f>
        <v>0</v>
      </c>
      <c r="AR250" s="435" t="s">
        <v>110</v>
      </c>
      <c r="AT250" s="441" t="s">
        <v>216</v>
      </c>
      <c r="AU250" s="441" t="s">
        <v>165</v>
      </c>
      <c r="AY250" s="435" t="s">
        <v>217</v>
      </c>
      <c r="BK250" s="442">
        <f>SUM(BK251:BK253)</f>
        <v>0</v>
      </c>
    </row>
    <row r="251" spans="2:65" s="365" customFormat="1" ht="37.9" customHeight="1" x14ac:dyDescent="0.25">
      <c r="B251" s="364"/>
      <c r="C251" s="445" t="s">
        <v>1220</v>
      </c>
      <c r="D251" s="445" t="s">
        <v>218</v>
      </c>
      <c r="E251" s="446" t="s">
        <v>2447</v>
      </c>
      <c r="F251" s="447" t="s">
        <v>2448</v>
      </c>
      <c r="G251" s="448" t="s">
        <v>2010</v>
      </c>
      <c r="H251" s="449">
        <v>148</v>
      </c>
      <c r="I251" s="329">
        <v>0</v>
      </c>
      <c r="J251" s="450">
        <f>ROUND(I251*H251,2)</f>
        <v>0</v>
      </c>
      <c r="K251" s="451"/>
      <c r="L251" s="364"/>
      <c r="M251" s="452" t="s">
        <v>171</v>
      </c>
      <c r="N251" s="415" t="s">
        <v>185</v>
      </c>
      <c r="O251" s="453">
        <v>1.0900000000000001</v>
      </c>
      <c r="P251" s="453">
        <f>O251*H251</f>
        <v>161.32000000000002</v>
      </c>
      <c r="Q251" s="453">
        <v>0</v>
      </c>
      <c r="R251" s="453">
        <f>Q251*H251</f>
        <v>0</v>
      </c>
      <c r="S251" s="453">
        <v>0</v>
      </c>
      <c r="T251" s="454">
        <f>S251*H251</f>
        <v>0</v>
      </c>
      <c r="AR251" s="455" t="s">
        <v>2207</v>
      </c>
      <c r="AT251" s="455" t="s">
        <v>218</v>
      </c>
      <c r="AU251" s="455" t="s">
        <v>109</v>
      </c>
      <c r="AY251" s="357" t="s">
        <v>217</v>
      </c>
      <c r="BE251" s="456">
        <f>IF(N251="základná",J251,0)</f>
        <v>0</v>
      </c>
      <c r="BF251" s="456">
        <f>IF(N251="znížená",J251,0)</f>
        <v>0</v>
      </c>
      <c r="BG251" s="456">
        <f>IF(N251="zákl. prenesená",J251,0)</f>
        <v>0</v>
      </c>
      <c r="BH251" s="456">
        <f>IF(N251="zníž. prenesená",J251,0)</f>
        <v>0</v>
      </c>
      <c r="BI251" s="456">
        <f>IF(N251="nulová",J251,0)</f>
        <v>0</v>
      </c>
      <c r="BJ251" s="357" t="s">
        <v>108</v>
      </c>
      <c r="BK251" s="456">
        <f>ROUND(I251*H251,2)</f>
        <v>0</v>
      </c>
      <c r="BL251" s="357" t="s">
        <v>2207</v>
      </c>
      <c r="BM251" s="455" t="s">
        <v>2449</v>
      </c>
    </row>
    <row r="252" spans="2:65" s="365" customFormat="1" ht="37.9" customHeight="1" x14ac:dyDescent="0.25">
      <c r="B252" s="364"/>
      <c r="C252" s="445" t="s">
        <v>1223</v>
      </c>
      <c r="D252" s="445" t="s">
        <v>218</v>
      </c>
      <c r="E252" s="446" t="s">
        <v>2450</v>
      </c>
      <c r="F252" s="447" t="s">
        <v>2451</v>
      </c>
      <c r="G252" s="448" t="s">
        <v>2010</v>
      </c>
      <c r="H252" s="449">
        <v>96</v>
      </c>
      <c r="I252" s="329">
        <v>0</v>
      </c>
      <c r="J252" s="450">
        <f>ROUND(I252*H252,2)</f>
        <v>0</v>
      </c>
      <c r="K252" s="451"/>
      <c r="L252" s="364"/>
      <c r="M252" s="452" t="s">
        <v>171</v>
      </c>
      <c r="N252" s="415" t="s">
        <v>185</v>
      </c>
      <c r="O252" s="453">
        <v>1.0900000000000001</v>
      </c>
      <c r="P252" s="453">
        <f>O252*H252</f>
        <v>104.64000000000001</v>
      </c>
      <c r="Q252" s="453">
        <v>0</v>
      </c>
      <c r="R252" s="453">
        <f>Q252*H252</f>
        <v>0</v>
      </c>
      <c r="S252" s="453">
        <v>0</v>
      </c>
      <c r="T252" s="454">
        <f>S252*H252</f>
        <v>0</v>
      </c>
      <c r="AR252" s="455" t="s">
        <v>2207</v>
      </c>
      <c r="AT252" s="455" t="s">
        <v>218</v>
      </c>
      <c r="AU252" s="455" t="s">
        <v>109</v>
      </c>
      <c r="AY252" s="357" t="s">
        <v>217</v>
      </c>
      <c r="BE252" s="456">
        <f>IF(N252="základná",J252,0)</f>
        <v>0</v>
      </c>
      <c r="BF252" s="456">
        <f>IF(N252="znížená",J252,0)</f>
        <v>0</v>
      </c>
      <c r="BG252" s="456">
        <f>IF(N252="zákl. prenesená",J252,0)</f>
        <v>0</v>
      </c>
      <c r="BH252" s="456">
        <f>IF(N252="zníž. prenesená",J252,0)</f>
        <v>0</v>
      </c>
      <c r="BI252" s="456">
        <f>IF(N252="nulová",J252,0)</f>
        <v>0</v>
      </c>
      <c r="BJ252" s="357" t="s">
        <v>108</v>
      </c>
      <c r="BK252" s="456">
        <f>ROUND(I252*H252,2)</f>
        <v>0</v>
      </c>
      <c r="BL252" s="357" t="s">
        <v>2207</v>
      </c>
      <c r="BM252" s="455" t="s">
        <v>2452</v>
      </c>
    </row>
    <row r="253" spans="2:65" s="365" customFormat="1" ht="37.9" customHeight="1" x14ac:dyDescent="0.25">
      <c r="B253" s="364"/>
      <c r="C253" s="445" t="s">
        <v>1224</v>
      </c>
      <c r="D253" s="445" t="s">
        <v>218</v>
      </c>
      <c r="E253" s="446" t="s">
        <v>2453</v>
      </c>
      <c r="F253" s="447" t="s">
        <v>2454</v>
      </c>
      <c r="G253" s="448" t="s">
        <v>2010</v>
      </c>
      <c r="H253" s="449">
        <v>76</v>
      </c>
      <c r="I253" s="329">
        <v>0</v>
      </c>
      <c r="J253" s="450">
        <f>ROUND(I253*H253,2)</f>
        <v>0</v>
      </c>
      <c r="K253" s="451"/>
      <c r="L253" s="364"/>
      <c r="M253" s="468" t="s">
        <v>171</v>
      </c>
      <c r="N253" s="469" t="s">
        <v>185</v>
      </c>
      <c r="O253" s="470">
        <v>1.0900000000000001</v>
      </c>
      <c r="P253" s="470">
        <f>O253*H253</f>
        <v>82.84</v>
      </c>
      <c r="Q253" s="470">
        <v>0</v>
      </c>
      <c r="R253" s="470">
        <f>Q253*H253</f>
        <v>0</v>
      </c>
      <c r="S253" s="470">
        <v>0</v>
      </c>
      <c r="T253" s="471">
        <f>S253*H253</f>
        <v>0</v>
      </c>
      <c r="AR253" s="455" t="s">
        <v>2207</v>
      </c>
      <c r="AT253" s="455" t="s">
        <v>218</v>
      </c>
      <c r="AU253" s="455" t="s">
        <v>109</v>
      </c>
      <c r="AY253" s="357" t="s">
        <v>217</v>
      </c>
      <c r="BE253" s="456">
        <f>IF(N253="základná",J253,0)</f>
        <v>0</v>
      </c>
      <c r="BF253" s="456">
        <f>IF(N253="znížená",J253,0)</f>
        <v>0</v>
      </c>
      <c r="BG253" s="456">
        <f>IF(N253="zákl. prenesená",J253,0)</f>
        <v>0</v>
      </c>
      <c r="BH253" s="456">
        <f>IF(N253="zníž. prenesená",J253,0)</f>
        <v>0</v>
      </c>
      <c r="BI253" s="456">
        <f>IF(N253="nulová",J253,0)</f>
        <v>0</v>
      </c>
      <c r="BJ253" s="357" t="s">
        <v>108</v>
      </c>
      <c r="BK253" s="456">
        <f>ROUND(I253*H253,2)</f>
        <v>0</v>
      </c>
      <c r="BL253" s="357" t="s">
        <v>2207</v>
      </c>
      <c r="BM253" s="455" t="s">
        <v>2455</v>
      </c>
    </row>
    <row r="254" spans="2:65" s="365" customFormat="1" ht="6.95" customHeight="1" x14ac:dyDescent="0.25">
      <c r="B254" s="397"/>
      <c r="C254" s="398"/>
      <c r="D254" s="398"/>
      <c r="E254" s="398"/>
      <c r="F254" s="398"/>
      <c r="G254" s="398"/>
      <c r="H254" s="398"/>
      <c r="I254" s="398"/>
      <c r="J254" s="398"/>
      <c r="K254" s="398"/>
      <c r="L254" s="364"/>
    </row>
  </sheetData>
  <sheetProtection algorithmName="SHA-512" hashValue="SrljHtFmmVs+FLm6dpRwDYY18SEBmsftRAlMlh+2pTJzXPVHTd0m9pRpCYXbqkKUlqQM1hU/PsM6ISB0F7eR4A==" saltValue="GZ42Aj6FV/eoT/YaI9Lmtg==" spinCount="100000" sheet="1" objects="1" scenarios="1"/>
  <autoFilter ref="C133:K253" xr:uid="{00000000-0009-0000-0000-000016000000}"/>
  <mergeCells count="9">
    <mergeCell ref="D113:F113"/>
    <mergeCell ref="E124:H124"/>
    <mergeCell ref="E126:H126"/>
    <mergeCell ref="L2:V2"/>
    <mergeCell ref="E7:H7"/>
    <mergeCell ref="E9:H9"/>
    <mergeCell ref="E27:H27"/>
    <mergeCell ref="E85:H85"/>
    <mergeCell ref="E87:H8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B59F-3A3C-420D-9C20-755526369FC1}">
  <sheetPr codeName="Hárok29">
    <pageSetUpPr fitToPage="1"/>
  </sheetPr>
  <dimension ref="B2:BM248"/>
  <sheetViews>
    <sheetView topLeftCell="A232" workbookViewId="0">
      <selection activeCell="I136" sqref="I136:I247"/>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401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2456</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2154</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2155</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3193</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SUM(BE133:BE247)),  2)</f>
        <v>0</v>
      </c>
      <c r="G35" s="380"/>
      <c r="H35" s="380"/>
      <c r="I35" s="381">
        <v>0.23</v>
      </c>
      <c r="J35" s="379">
        <f>ROUND(((SUM(BE112:BE113) + SUM(BE133:BE247))*I35),  2)</f>
        <v>0</v>
      </c>
      <c r="L35" s="364"/>
    </row>
    <row r="36" spans="2:12" s="365" customFormat="1" ht="14.45" customHeight="1" x14ac:dyDescent="0.25">
      <c r="B36" s="364"/>
      <c r="E36" s="378" t="s">
        <v>185</v>
      </c>
      <c r="F36" s="382">
        <f>ROUND((SUM(BF112:BF113) + SUM(BF133:BF247)),  2)</f>
        <v>0</v>
      </c>
      <c r="I36" s="383">
        <v>0.23</v>
      </c>
      <c r="J36" s="382">
        <f>ROUND(((SUM(BF112:BF113) + SUM(BF133:BF247))*I36),  2)</f>
        <v>0</v>
      </c>
      <c r="L36" s="364"/>
    </row>
    <row r="37" spans="2:12" s="365" customFormat="1" ht="14.45" hidden="1" customHeight="1" x14ac:dyDescent="0.25">
      <c r="B37" s="364"/>
      <c r="E37" s="363" t="s">
        <v>186</v>
      </c>
      <c r="F37" s="382">
        <f>ROUND((SUM(BG112:BG113) + SUM(BG133:BG247)),  2)</f>
        <v>0</v>
      </c>
      <c r="I37" s="383">
        <v>0.23</v>
      </c>
      <c r="J37" s="382">
        <f>0</f>
        <v>0</v>
      </c>
      <c r="L37" s="364"/>
    </row>
    <row r="38" spans="2:12" s="365" customFormat="1" ht="14.45" hidden="1" customHeight="1" x14ac:dyDescent="0.25">
      <c r="B38" s="364"/>
      <c r="E38" s="363" t="s">
        <v>187</v>
      </c>
      <c r="F38" s="382">
        <f>ROUND((SUM(BH112:BH113) + SUM(BH133:BH247)),  2)</f>
        <v>0</v>
      </c>
      <c r="I38" s="383">
        <v>0.23</v>
      </c>
      <c r="J38" s="382">
        <f>0</f>
        <v>0</v>
      </c>
      <c r="L38" s="364"/>
    </row>
    <row r="39" spans="2:12" s="365" customFormat="1" ht="14.45" hidden="1" customHeight="1" x14ac:dyDescent="0.25">
      <c r="B39" s="364"/>
      <c r="E39" s="378" t="s">
        <v>188</v>
      </c>
      <c r="F39" s="379">
        <f>ROUND((SUM(BI112:BI113) + SUM(BI133:BI247)),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SO 200.B - Verejné osvetlenie, úsek B</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953</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1616</v>
      </c>
      <c r="E106" s="407"/>
      <c r="F106" s="407"/>
      <c r="G106" s="407"/>
      <c r="H106" s="407"/>
      <c r="I106" s="407"/>
      <c r="J106" s="408">
        <f>J189</f>
        <v>0</v>
      </c>
      <c r="L106" s="404"/>
    </row>
    <row r="107" spans="2:14" s="410" customFormat="1" ht="19.899999999999999" customHeight="1" x14ac:dyDescent="0.25">
      <c r="B107" s="409"/>
      <c r="D107" s="411" t="s">
        <v>2156</v>
      </c>
      <c r="E107" s="412"/>
      <c r="F107" s="412"/>
      <c r="G107" s="412"/>
      <c r="H107" s="412"/>
      <c r="I107" s="412"/>
      <c r="J107" s="413">
        <f>J190</f>
        <v>0</v>
      </c>
      <c r="L107" s="409"/>
    </row>
    <row r="108" spans="2:14" s="410" customFormat="1" ht="19.899999999999999" customHeight="1" x14ac:dyDescent="0.25">
      <c r="B108" s="409"/>
      <c r="D108" s="411" t="s">
        <v>1618</v>
      </c>
      <c r="E108" s="412"/>
      <c r="F108" s="412"/>
      <c r="G108" s="412"/>
      <c r="H108" s="412"/>
      <c r="I108" s="412"/>
      <c r="J108" s="413">
        <f>J228</f>
        <v>0</v>
      </c>
      <c r="L108" s="409"/>
    </row>
    <row r="109" spans="2:14" s="405" customFormat="1" ht="24.95" customHeight="1" x14ac:dyDescent="0.25">
      <c r="B109" s="404"/>
      <c r="D109" s="406" t="s">
        <v>2157</v>
      </c>
      <c r="E109" s="407"/>
      <c r="F109" s="407"/>
      <c r="G109" s="407"/>
      <c r="H109" s="407"/>
      <c r="I109" s="407"/>
      <c r="J109" s="408">
        <f>J244</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3066</v>
      </c>
      <c r="J112" s="414">
        <v>0</v>
      </c>
      <c r="L112" s="364"/>
      <c r="N112" s="415" t="s">
        <v>183</v>
      </c>
    </row>
    <row r="113" spans="2:12" s="365" customFormat="1" ht="18" customHeight="1" x14ac:dyDescent="0.25">
      <c r="B113" s="364"/>
      <c r="L113" s="364"/>
    </row>
    <row r="114" spans="2:12" s="365" customFormat="1" ht="29.25" customHeight="1" x14ac:dyDescent="0.25">
      <c r="B114" s="364"/>
      <c r="C114" s="416" t="s">
        <v>3063</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59" t="str">
        <f>E7</f>
        <v>Cyklotrasa - Devín_RP1</v>
      </c>
      <c r="F123" s="860"/>
      <c r="G123" s="860"/>
      <c r="H123" s="860"/>
      <c r="L123" s="364"/>
    </row>
    <row r="124" spans="2:12" s="365" customFormat="1" ht="12" customHeight="1" x14ac:dyDescent="0.25">
      <c r="B124" s="364"/>
      <c r="C124" s="363" t="s">
        <v>408</v>
      </c>
      <c r="L124" s="364"/>
    </row>
    <row r="125" spans="2:12" s="365" customFormat="1" ht="16.5" customHeight="1" x14ac:dyDescent="0.25">
      <c r="B125" s="364"/>
      <c r="E125" s="857" t="str">
        <f>E9</f>
        <v>SO 200.B - Verejné osvetlenie, úsek B</v>
      </c>
      <c r="F125" s="858"/>
      <c r="G125" s="858"/>
      <c r="H125" s="858"/>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P134+P181+P189+P244</f>
        <v>1339.05239676</v>
      </c>
      <c r="Q133" s="371"/>
      <c r="R133" s="430">
        <f>R134+R181+R189+R244</f>
        <v>74.304996396083993</v>
      </c>
      <c r="S133" s="371"/>
      <c r="T133" s="431">
        <f>T134+T181+T189+T244</f>
        <v>42.015599999999999</v>
      </c>
      <c r="AT133" s="357" t="s">
        <v>216</v>
      </c>
      <c r="AU133" s="357" t="s">
        <v>202</v>
      </c>
      <c r="BK133" s="432">
        <f>BK134+BK181+BK189+BK244</f>
        <v>0</v>
      </c>
    </row>
    <row r="134" spans="2:65" s="434" customFormat="1" ht="25.9" customHeight="1" x14ac:dyDescent="0.2">
      <c r="B134" s="433"/>
      <c r="D134" s="435" t="s">
        <v>216</v>
      </c>
      <c r="E134" s="436" t="s">
        <v>418</v>
      </c>
      <c r="F134" s="436" t="s">
        <v>419</v>
      </c>
      <c r="J134" s="437">
        <f>BK134</f>
        <v>0</v>
      </c>
      <c r="L134" s="433"/>
      <c r="M134" s="438"/>
      <c r="P134" s="439">
        <f>P135+P143+P150+P161+P165+P174</f>
        <v>268.73626525999998</v>
      </c>
      <c r="R134" s="439">
        <f>R135+R143+R150+R161+R165+R174</f>
        <v>37.083530862224002</v>
      </c>
      <c r="T134" s="440">
        <f>T135+T143+T150+T161+T165+T174</f>
        <v>42.015599999999999</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81.134344400000003</v>
      </c>
      <c r="R135" s="439">
        <f>SUM(R136:R142)</f>
        <v>0</v>
      </c>
      <c r="T135" s="440">
        <f>SUM(T136:T142)</f>
        <v>31.625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2158</v>
      </c>
      <c r="F136" s="447" t="s">
        <v>2159</v>
      </c>
      <c r="G136" s="448" t="s">
        <v>111</v>
      </c>
      <c r="H136" s="449">
        <v>25.3</v>
      </c>
      <c r="I136" s="329">
        <v>0</v>
      </c>
      <c r="J136" s="450">
        <f t="shared" ref="J136:J142" si="0">ROUND(I136*H136,2)</f>
        <v>0</v>
      </c>
      <c r="K136" s="451"/>
      <c r="L136" s="364"/>
      <c r="M136" s="452" t="s">
        <v>171</v>
      </c>
      <c r="N136" s="415" t="s">
        <v>185</v>
      </c>
      <c r="O136" s="453">
        <v>1.97</v>
      </c>
      <c r="P136" s="453">
        <f t="shared" ref="P136:P142" si="1">O136*H136</f>
        <v>49.841000000000001</v>
      </c>
      <c r="Q136" s="453">
        <v>0</v>
      </c>
      <c r="R136" s="453">
        <f t="shared" ref="R136:R142" si="2">Q136*H136</f>
        <v>0</v>
      </c>
      <c r="S136" s="453">
        <v>0.5</v>
      </c>
      <c r="T136" s="454">
        <f t="shared" ref="T136:T142" si="3">S136*H136</f>
        <v>12.65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2457</v>
      </c>
    </row>
    <row r="137" spans="2:65" s="365" customFormat="1" ht="24.2" customHeight="1" x14ac:dyDescent="0.25">
      <c r="B137" s="364"/>
      <c r="C137" s="445" t="s">
        <v>108</v>
      </c>
      <c r="D137" s="445" t="s">
        <v>218</v>
      </c>
      <c r="E137" s="446" t="s">
        <v>2161</v>
      </c>
      <c r="F137" s="447" t="s">
        <v>2162</v>
      </c>
      <c r="G137" s="448" t="s">
        <v>111</v>
      </c>
      <c r="H137" s="449">
        <v>25.3</v>
      </c>
      <c r="I137" s="329">
        <v>0</v>
      </c>
      <c r="J137" s="450">
        <f t="shared" si="0"/>
        <v>0</v>
      </c>
      <c r="K137" s="451"/>
      <c r="L137" s="364"/>
      <c r="M137" s="452" t="s">
        <v>171</v>
      </c>
      <c r="N137" s="415" t="s">
        <v>185</v>
      </c>
      <c r="O137" s="453">
        <v>0.35499999999999998</v>
      </c>
      <c r="P137" s="453">
        <f t="shared" si="1"/>
        <v>8.9815000000000005</v>
      </c>
      <c r="Q137" s="453">
        <v>0</v>
      </c>
      <c r="R137" s="453">
        <f t="shared" si="2"/>
        <v>0</v>
      </c>
      <c r="S137" s="453">
        <v>0.25</v>
      </c>
      <c r="T137" s="454">
        <f t="shared" si="3"/>
        <v>6.3250000000000002</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2458</v>
      </c>
    </row>
    <row r="138" spans="2:65" s="365" customFormat="1" ht="24.2" customHeight="1" x14ac:dyDescent="0.25">
      <c r="B138" s="364"/>
      <c r="C138" s="445" t="s">
        <v>119</v>
      </c>
      <c r="D138" s="445" t="s">
        <v>218</v>
      </c>
      <c r="E138" s="446" t="s">
        <v>2164</v>
      </c>
      <c r="F138" s="447" t="s">
        <v>2165</v>
      </c>
      <c r="G138" s="448" t="s">
        <v>111</v>
      </c>
      <c r="H138" s="449">
        <v>25.3</v>
      </c>
      <c r="I138" s="329">
        <v>0</v>
      </c>
      <c r="J138" s="450">
        <f t="shared" si="0"/>
        <v>0</v>
      </c>
      <c r="K138" s="451"/>
      <c r="L138" s="364"/>
      <c r="M138" s="452" t="s">
        <v>171</v>
      </c>
      <c r="N138" s="415" t="s">
        <v>185</v>
      </c>
      <c r="O138" s="453">
        <v>0.82699999999999996</v>
      </c>
      <c r="P138" s="453">
        <f t="shared" si="1"/>
        <v>20.923099999999998</v>
      </c>
      <c r="Q138" s="453">
        <v>0</v>
      </c>
      <c r="R138" s="453">
        <f t="shared" si="2"/>
        <v>0</v>
      </c>
      <c r="S138" s="453">
        <v>0.5</v>
      </c>
      <c r="T138" s="454">
        <f t="shared" si="3"/>
        <v>12.65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2459</v>
      </c>
    </row>
    <row r="139" spans="2:65" s="365" customFormat="1" ht="37.9" customHeight="1" x14ac:dyDescent="0.25">
      <c r="B139" s="364"/>
      <c r="C139" s="445" t="s">
        <v>110</v>
      </c>
      <c r="D139" s="445" t="s">
        <v>218</v>
      </c>
      <c r="E139" s="446" t="s">
        <v>712</v>
      </c>
      <c r="F139" s="447" t="s">
        <v>2460</v>
      </c>
      <c r="G139" s="448" t="s">
        <v>114</v>
      </c>
      <c r="H139" s="449">
        <v>8.43</v>
      </c>
      <c r="I139" s="329">
        <v>0</v>
      </c>
      <c r="J139" s="450">
        <f t="shared" si="0"/>
        <v>0</v>
      </c>
      <c r="K139" s="451"/>
      <c r="L139" s="364"/>
      <c r="M139" s="452" t="s">
        <v>171</v>
      </c>
      <c r="N139" s="415" t="s">
        <v>185</v>
      </c>
      <c r="O139" s="453">
        <v>4.8899999999999999E-2</v>
      </c>
      <c r="P139" s="453">
        <f t="shared" si="1"/>
        <v>0.41222699999999995</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2461</v>
      </c>
    </row>
    <row r="140" spans="2:65" s="365" customFormat="1" ht="44.25" customHeight="1" x14ac:dyDescent="0.25">
      <c r="B140" s="364"/>
      <c r="C140" s="445" t="s">
        <v>118</v>
      </c>
      <c r="D140" s="445" t="s">
        <v>218</v>
      </c>
      <c r="E140" s="446" t="s">
        <v>714</v>
      </c>
      <c r="F140" s="447" t="s">
        <v>2462</v>
      </c>
      <c r="G140" s="448" t="s">
        <v>114</v>
      </c>
      <c r="H140" s="449">
        <v>168.66</v>
      </c>
      <c r="I140" s="329">
        <v>0</v>
      </c>
      <c r="J140" s="450">
        <f t="shared" si="0"/>
        <v>0</v>
      </c>
      <c r="K140" s="451"/>
      <c r="L140" s="364"/>
      <c r="M140" s="452" t="s">
        <v>171</v>
      </c>
      <c r="N140" s="415" t="s">
        <v>185</v>
      </c>
      <c r="O140" s="453">
        <v>5.3899999999999998E-3</v>
      </c>
      <c r="P140" s="453">
        <f t="shared" si="1"/>
        <v>0.90907739999999992</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2463</v>
      </c>
    </row>
    <row r="141" spans="2:65" s="365" customFormat="1" ht="21.75" customHeight="1" x14ac:dyDescent="0.25">
      <c r="B141" s="364"/>
      <c r="C141" s="445" t="s">
        <v>117</v>
      </c>
      <c r="D141" s="445" t="s">
        <v>218</v>
      </c>
      <c r="E141" s="446" t="s">
        <v>717</v>
      </c>
      <c r="F141" s="447" t="s">
        <v>224</v>
      </c>
      <c r="G141" s="448" t="s">
        <v>114</v>
      </c>
      <c r="H141" s="449">
        <v>8.43</v>
      </c>
      <c r="I141" s="329">
        <v>0</v>
      </c>
      <c r="J141" s="450">
        <f t="shared" si="0"/>
        <v>0</v>
      </c>
      <c r="K141" s="451"/>
      <c r="L141" s="364"/>
      <c r="M141" s="452" t="s">
        <v>171</v>
      </c>
      <c r="N141" s="415" t="s">
        <v>185</v>
      </c>
      <c r="O141" s="453">
        <v>8.0000000000000002E-3</v>
      </c>
      <c r="P141" s="453">
        <f t="shared" si="1"/>
        <v>6.744E-2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2464</v>
      </c>
    </row>
    <row r="142" spans="2:65" s="365" customFormat="1" ht="21.75" customHeight="1" x14ac:dyDescent="0.25">
      <c r="B142" s="364"/>
      <c r="C142" s="445" t="s">
        <v>116</v>
      </c>
      <c r="D142" s="445" t="s">
        <v>218</v>
      </c>
      <c r="E142" s="479" t="s">
        <v>1101</v>
      </c>
      <c r="F142" s="472" t="s">
        <v>3149</v>
      </c>
      <c r="G142" s="473" t="s">
        <v>112</v>
      </c>
      <c r="H142" s="474">
        <f>Ponuka!S133</f>
        <v>13.284000000000002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2465</v>
      </c>
    </row>
    <row r="143" spans="2:65" s="434" customFormat="1" ht="22.9" customHeight="1" x14ac:dyDescent="0.2">
      <c r="B143" s="433"/>
      <c r="D143" s="435" t="s">
        <v>216</v>
      </c>
      <c r="E143" s="443" t="s">
        <v>108</v>
      </c>
      <c r="F143" s="443" t="s">
        <v>469</v>
      </c>
      <c r="I143" s="331"/>
      <c r="J143" s="444">
        <f>BK143</f>
        <v>0</v>
      </c>
      <c r="L143" s="433"/>
      <c r="M143" s="438"/>
      <c r="P143" s="439">
        <f>SUM(P144:P149)</f>
        <v>54.660358860000002</v>
      </c>
      <c r="R143" s="439">
        <f>SUM(R144:R149)</f>
        <v>36.637793942224</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115</v>
      </c>
      <c r="D144" s="445" t="s">
        <v>218</v>
      </c>
      <c r="E144" s="446" t="s">
        <v>2173</v>
      </c>
      <c r="F144" s="447" t="s">
        <v>2174</v>
      </c>
      <c r="G144" s="448" t="s">
        <v>114</v>
      </c>
      <c r="H144" s="449">
        <v>3.45</v>
      </c>
      <c r="I144" s="329">
        <v>0</v>
      </c>
      <c r="J144" s="450">
        <f t="shared" ref="J144:J149" si="10">ROUND(I144*H144,2)</f>
        <v>0</v>
      </c>
      <c r="K144" s="451"/>
      <c r="L144" s="364"/>
      <c r="M144" s="452" t="s">
        <v>171</v>
      </c>
      <c r="N144" s="415" t="s">
        <v>185</v>
      </c>
      <c r="O144" s="453">
        <v>0.58055000000000001</v>
      </c>
      <c r="P144" s="453">
        <f t="shared" ref="P144:P149" si="11">O144*H144</f>
        <v>2.0028975</v>
      </c>
      <c r="Q144" s="453">
        <v>2.204E-6</v>
      </c>
      <c r="R144" s="453">
        <f t="shared" ref="R144:R149" si="12">Q144*H144</f>
        <v>7.6037999999999999E-6</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2466</v>
      </c>
    </row>
    <row r="145" spans="2:65" s="365" customFormat="1" ht="24.2" customHeight="1" x14ac:dyDescent="0.25">
      <c r="B145" s="364"/>
      <c r="C145" s="457" t="s">
        <v>162</v>
      </c>
      <c r="D145" s="457" t="s">
        <v>259</v>
      </c>
      <c r="E145" s="458" t="s">
        <v>2176</v>
      </c>
      <c r="F145" s="459" t="s">
        <v>2177</v>
      </c>
      <c r="G145" s="460" t="s">
        <v>114</v>
      </c>
      <c r="H145" s="461">
        <v>3.45</v>
      </c>
      <c r="I145" s="330">
        <v>0</v>
      </c>
      <c r="J145" s="462">
        <f t="shared" si="10"/>
        <v>0</v>
      </c>
      <c r="K145" s="463"/>
      <c r="L145" s="464"/>
      <c r="M145" s="465" t="s">
        <v>171</v>
      </c>
      <c r="N145" s="466" t="s">
        <v>185</v>
      </c>
      <c r="O145" s="453">
        <v>0</v>
      </c>
      <c r="P145" s="453">
        <f t="shared" si="11"/>
        <v>0</v>
      </c>
      <c r="Q145" s="453">
        <v>2.1723499999999998</v>
      </c>
      <c r="R145" s="453">
        <f t="shared" si="12"/>
        <v>7.4946074999999999</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2467</v>
      </c>
    </row>
    <row r="146" spans="2:65" s="365" customFormat="1" ht="16.5" customHeight="1" x14ac:dyDescent="0.25">
      <c r="B146" s="364"/>
      <c r="C146" s="445" t="s">
        <v>221</v>
      </c>
      <c r="D146" s="445" t="s">
        <v>218</v>
      </c>
      <c r="E146" s="446" t="s">
        <v>2179</v>
      </c>
      <c r="F146" s="447" t="s">
        <v>2180</v>
      </c>
      <c r="G146" s="448" t="s">
        <v>114</v>
      </c>
      <c r="H146" s="449">
        <v>6.181</v>
      </c>
      <c r="I146" s="329">
        <v>0</v>
      </c>
      <c r="J146" s="450">
        <f t="shared" si="10"/>
        <v>0</v>
      </c>
      <c r="K146" s="451"/>
      <c r="L146" s="364"/>
      <c r="M146" s="452" t="s">
        <v>171</v>
      </c>
      <c r="N146" s="415" t="s">
        <v>185</v>
      </c>
      <c r="O146" s="453">
        <v>0.58055999999999996</v>
      </c>
      <c r="P146" s="453">
        <f t="shared" si="11"/>
        <v>3.58844136</v>
      </c>
      <c r="Q146" s="453">
        <v>2.2375227039999999</v>
      </c>
      <c r="R146" s="453">
        <f t="shared" si="12"/>
        <v>13.830127833423999</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2468</v>
      </c>
    </row>
    <row r="147" spans="2:65" s="365" customFormat="1" ht="24.2" customHeight="1" x14ac:dyDescent="0.25">
      <c r="B147" s="364"/>
      <c r="C147" s="457" t="s">
        <v>222</v>
      </c>
      <c r="D147" s="457" t="s">
        <v>259</v>
      </c>
      <c r="E147" s="458" t="s">
        <v>2182</v>
      </c>
      <c r="F147" s="459" t="s">
        <v>2183</v>
      </c>
      <c r="G147" s="460" t="s">
        <v>114</v>
      </c>
      <c r="H147" s="461">
        <v>6.181</v>
      </c>
      <c r="I147" s="330">
        <v>0</v>
      </c>
      <c r="J147" s="462">
        <f t="shared" si="10"/>
        <v>0</v>
      </c>
      <c r="K147" s="463"/>
      <c r="L147" s="464"/>
      <c r="M147" s="465" t="s">
        <v>171</v>
      </c>
      <c r="N147" s="466" t="s">
        <v>185</v>
      </c>
      <c r="O147" s="453">
        <v>0</v>
      </c>
      <c r="P147" s="453">
        <f t="shared" si="11"/>
        <v>0</v>
      </c>
      <c r="Q147" s="453">
        <v>2.1791999999999998</v>
      </c>
      <c r="R147" s="453">
        <f t="shared" si="12"/>
        <v>13.469635199999999</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2469</v>
      </c>
    </row>
    <row r="148" spans="2:65" s="365" customFormat="1" ht="21.75" customHeight="1" x14ac:dyDescent="0.25">
      <c r="B148" s="364"/>
      <c r="C148" s="445" t="s">
        <v>223</v>
      </c>
      <c r="D148" s="445" t="s">
        <v>218</v>
      </c>
      <c r="E148" s="446" t="s">
        <v>2185</v>
      </c>
      <c r="F148" s="447" t="s">
        <v>2186</v>
      </c>
      <c r="G148" s="448" t="s">
        <v>111</v>
      </c>
      <c r="H148" s="449">
        <v>33.11</v>
      </c>
      <c r="I148" s="329">
        <v>0</v>
      </c>
      <c r="J148" s="450">
        <f t="shared" si="10"/>
        <v>0</v>
      </c>
      <c r="K148" s="451"/>
      <c r="L148" s="364"/>
      <c r="M148" s="452" t="s">
        <v>171</v>
      </c>
      <c r="N148" s="415" t="s">
        <v>185</v>
      </c>
      <c r="O148" s="453">
        <v>1.052</v>
      </c>
      <c r="P148" s="453">
        <f t="shared" si="11"/>
        <v>34.831720000000004</v>
      </c>
      <c r="Q148" s="453">
        <v>5.5675500000000003E-2</v>
      </c>
      <c r="R148" s="453">
        <f t="shared" si="12"/>
        <v>1.843415805</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2470</v>
      </c>
    </row>
    <row r="149" spans="2:65" s="365" customFormat="1" ht="24.2" customHeight="1" x14ac:dyDescent="0.25">
      <c r="B149" s="364"/>
      <c r="C149" s="445" t="s">
        <v>225</v>
      </c>
      <c r="D149" s="445" t="s">
        <v>218</v>
      </c>
      <c r="E149" s="446" t="s">
        <v>2188</v>
      </c>
      <c r="F149" s="447" t="s">
        <v>2189</v>
      </c>
      <c r="G149" s="448" t="s">
        <v>111</v>
      </c>
      <c r="H149" s="449">
        <v>33.11</v>
      </c>
      <c r="I149" s="329">
        <v>0</v>
      </c>
      <c r="J149" s="450">
        <f t="shared" si="10"/>
        <v>0</v>
      </c>
      <c r="K149" s="451"/>
      <c r="L149" s="364"/>
      <c r="M149" s="452" t="s">
        <v>171</v>
      </c>
      <c r="N149" s="415" t="s">
        <v>185</v>
      </c>
      <c r="O149" s="453">
        <v>0.43</v>
      </c>
      <c r="P149" s="453">
        <f t="shared" si="11"/>
        <v>14.237299999999999</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2471</v>
      </c>
    </row>
    <row r="150" spans="2:65" s="434" customFormat="1" ht="22.9" customHeight="1" x14ac:dyDescent="0.2">
      <c r="B150" s="433"/>
      <c r="D150" s="435" t="s">
        <v>216</v>
      </c>
      <c r="E150" s="443" t="s">
        <v>119</v>
      </c>
      <c r="F150" s="443" t="s">
        <v>541</v>
      </c>
      <c r="I150" s="331"/>
      <c r="J150" s="444">
        <f>BK150</f>
        <v>0</v>
      </c>
      <c r="L150" s="433"/>
      <c r="M150" s="438"/>
      <c r="P150" s="439">
        <f>SUM(P151:P160)</f>
        <v>30.635999999999999</v>
      </c>
      <c r="R150" s="439">
        <f>SUM(R151:R160)</f>
        <v>0.22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226</v>
      </c>
      <c r="D151" s="445" t="s">
        <v>218</v>
      </c>
      <c r="E151" s="446" t="s">
        <v>2197</v>
      </c>
      <c r="F151" s="447" t="s">
        <v>2198</v>
      </c>
      <c r="G151" s="448" t="s">
        <v>2199</v>
      </c>
      <c r="H151" s="449">
        <v>4</v>
      </c>
      <c r="I151" s="329">
        <v>0</v>
      </c>
      <c r="J151" s="450">
        <f t="shared" ref="J151:J160" si="20">ROUND(I151*H151,2)</f>
        <v>0</v>
      </c>
      <c r="K151" s="451"/>
      <c r="L151" s="364"/>
      <c r="M151" s="452" t="s">
        <v>171</v>
      </c>
      <c r="N151" s="415" t="s">
        <v>185</v>
      </c>
      <c r="O151" s="453">
        <v>4.8000000000000001E-2</v>
      </c>
      <c r="P151" s="453">
        <f t="shared" ref="P151:P160" si="21">O151*H151</f>
        <v>0.192</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2472</v>
      </c>
    </row>
    <row r="152" spans="2:65" s="365" customFormat="1" ht="16.5" customHeight="1" x14ac:dyDescent="0.25">
      <c r="B152" s="364"/>
      <c r="C152" s="445" t="s">
        <v>227</v>
      </c>
      <c r="D152" s="445" t="s">
        <v>218</v>
      </c>
      <c r="E152" s="446" t="s">
        <v>2201</v>
      </c>
      <c r="F152" s="447" t="s">
        <v>2202</v>
      </c>
      <c r="G152" s="448" t="s">
        <v>2199</v>
      </c>
      <c r="H152" s="449">
        <v>4</v>
      </c>
      <c r="I152" s="329">
        <v>0</v>
      </c>
      <c r="J152" s="450">
        <f t="shared" si="20"/>
        <v>0</v>
      </c>
      <c r="K152" s="451"/>
      <c r="L152" s="364"/>
      <c r="M152" s="452" t="s">
        <v>171</v>
      </c>
      <c r="N152" s="415" t="s">
        <v>185</v>
      </c>
      <c r="O152" s="453">
        <v>4.8000000000000001E-2</v>
      </c>
      <c r="P152" s="453">
        <f t="shared" si="21"/>
        <v>0.192</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2473</v>
      </c>
    </row>
    <row r="153" spans="2:65" s="365" customFormat="1" ht="24.2" customHeight="1" x14ac:dyDescent="0.25">
      <c r="B153" s="364"/>
      <c r="C153" s="445" t="s">
        <v>228</v>
      </c>
      <c r="D153" s="445" t="s">
        <v>218</v>
      </c>
      <c r="E153" s="446" t="s">
        <v>2191</v>
      </c>
      <c r="F153" s="447" t="s">
        <v>2192</v>
      </c>
      <c r="G153" s="448" t="s">
        <v>113</v>
      </c>
      <c r="H153" s="449">
        <v>550</v>
      </c>
      <c r="I153" s="329">
        <v>0</v>
      </c>
      <c r="J153" s="450">
        <f t="shared" si="20"/>
        <v>0</v>
      </c>
      <c r="K153" s="451"/>
      <c r="L153" s="364"/>
      <c r="M153" s="452" t="s">
        <v>171</v>
      </c>
      <c r="N153" s="415" t="s">
        <v>185</v>
      </c>
      <c r="O153" s="453">
        <v>3.6999999999999998E-2</v>
      </c>
      <c r="P153" s="453">
        <f t="shared" si="21"/>
        <v>20.349999999999998</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2474</v>
      </c>
    </row>
    <row r="154" spans="2:65" s="365" customFormat="1" ht="24.2" customHeight="1" x14ac:dyDescent="0.25">
      <c r="B154" s="364"/>
      <c r="C154" s="457" t="s">
        <v>229</v>
      </c>
      <c r="D154" s="457" t="s">
        <v>259</v>
      </c>
      <c r="E154" s="458" t="s">
        <v>2194</v>
      </c>
      <c r="F154" s="459" t="s">
        <v>2195</v>
      </c>
      <c r="G154" s="460" t="s">
        <v>113</v>
      </c>
      <c r="H154" s="461">
        <v>550</v>
      </c>
      <c r="I154" s="330">
        <v>0</v>
      </c>
      <c r="J154" s="462">
        <f t="shared" si="20"/>
        <v>0</v>
      </c>
      <c r="K154" s="463"/>
      <c r="L154" s="464"/>
      <c r="M154" s="465" t="s">
        <v>171</v>
      </c>
      <c r="N154" s="466" t="s">
        <v>185</v>
      </c>
      <c r="O154" s="453">
        <v>0</v>
      </c>
      <c r="P154" s="453">
        <f t="shared" si="21"/>
        <v>0</v>
      </c>
      <c r="Q154" s="453">
        <v>4.0000000000000002E-4</v>
      </c>
      <c r="R154" s="453">
        <f t="shared" si="22"/>
        <v>0.22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2475</v>
      </c>
    </row>
    <row r="155" spans="2:65" s="365" customFormat="1" ht="16.5" customHeight="1" x14ac:dyDescent="0.25">
      <c r="B155" s="364"/>
      <c r="C155" s="445" t="s">
        <v>231</v>
      </c>
      <c r="D155" s="445" t="s">
        <v>218</v>
      </c>
      <c r="E155" s="446" t="s">
        <v>1654</v>
      </c>
      <c r="F155" s="447" t="s">
        <v>2209</v>
      </c>
      <c r="G155" s="448" t="s">
        <v>123</v>
      </c>
      <c r="H155" s="449">
        <v>5</v>
      </c>
      <c r="I155" s="329">
        <v>0</v>
      </c>
      <c r="J155" s="450">
        <f t="shared" si="20"/>
        <v>0</v>
      </c>
      <c r="K155" s="451"/>
      <c r="L155" s="364"/>
      <c r="M155" s="452" t="s">
        <v>171</v>
      </c>
      <c r="N155" s="415" t="s">
        <v>185</v>
      </c>
      <c r="O155" s="453">
        <v>1.4770000000000001</v>
      </c>
      <c r="P155" s="453">
        <f t="shared" si="21"/>
        <v>7.3850000000000007</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2476</v>
      </c>
    </row>
    <row r="156" spans="2:65" s="365" customFormat="1" ht="24.2" customHeight="1" x14ac:dyDescent="0.25">
      <c r="B156" s="364"/>
      <c r="C156" s="445" t="s">
        <v>232</v>
      </c>
      <c r="D156" s="445" t="s">
        <v>218</v>
      </c>
      <c r="E156" s="446" t="s">
        <v>2211</v>
      </c>
      <c r="F156" s="447" t="s">
        <v>2212</v>
      </c>
      <c r="G156" s="448" t="s">
        <v>123</v>
      </c>
      <c r="H156" s="449">
        <v>5</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2207</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2207</v>
      </c>
      <c r="BM156" s="455" t="s">
        <v>2477</v>
      </c>
    </row>
    <row r="157" spans="2:65" s="365" customFormat="1" ht="16.5" customHeight="1" x14ac:dyDescent="0.25">
      <c r="B157" s="364"/>
      <c r="C157" s="445" t="s">
        <v>234</v>
      </c>
      <c r="D157" s="445" t="s">
        <v>218</v>
      </c>
      <c r="E157" s="446" t="s">
        <v>1648</v>
      </c>
      <c r="F157" s="447" t="s">
        <v>1649</v>
      </c>
      <c r="G157" s="448" t="s">
        <v>123</v>
      </c>
      <c r="H157" s="449">
        <v>35</v>
      </c>
      <c r="I157" s="329">
        <v>0</v>
      </c>
      <c r="J157" s="450">
        <f t="shared" si="20"/>
        <v>0</v>
      </c>
      <c r="K157" s="451"/>
      <c r="L157" s="364"/>
      <c r="M157" s="452" t="s">
        <v>171</v>
      </c>
      <c r="N157" s="415" t="s">
        <v>185</v>
      </c>
      <c r="O157" s="453">
        <v>5.5E-2</v>
      </c>
      <c r="P157" s="453">
        <f t="shared" si="21"/>
        <v>1.925</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2478</v>
      </c>
    </row>
    <row r="158" spans="2:65" s="365" customFormat="1" ht="16.5" customHeight="1" x14ac:dyDescent="0.25">
      <c r="B158" s="364"/>
      <c r="C158" s="445" t="s">
        <v>235</v>
      </c>
      <c r="D158" s="445" t="s">
        <v>218</v>
      </c>
      <c r="E158" s="446" t="s">
        <v>2205</v>
      </c>
      <c r="F158" s="447" t="s">
        <v>2206</v>
      </c>
      <c r="G158" s="448" t="s">
        <v>123</v>
      </c>
      <c r="H158" s="449">
        <v>35</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2207</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2207</v>
      </c>
      <c r="BM158" s="455" t="s">
        <v>2479</v>
      </c>
    </row>
    <row r="159" spans="2:65" s="365" customFormat="1" ht="21.75" customHeight="1" x14ac:dyDescent="0.25">
      <c r="B159" s="364"/>
      <c r="C159" s="445" t="s">
        <v>236</v>
      </c>
      <c r="D159" s="445" t="s">
        <v>218</v>
      </c>
      <c r="E159" s="446" t="s">
        <v>2214</v>
      </c>
      <c r="F159" s="447" t="s">
        <v>2215</v>
      </c>
      <c r="G159" s="448" t="s">
        <v>123</v>
      </c>
      <c r="H159" s="449">
        <v>4</v>
      </c>
      <c r="I159" s="329">
        <v>0</v>
      </c>
      <c r="J159" s="450">
        <f t="shared" si="20"/>
        <v>0</v>
      </c>
      <c r="K159" s="451"/>
      <c r="L159" s="364"/>
      <c r="M159" s="452" t="s">
        <v>171</v>
      </c>
      <c r="N159" s="415" t="s">
        <v>185</v>
      </c>
      <c r="O159" s="453">
        <v>0.14799999999999999</v>
      </c>
      <c r="P159" s="453">
        <f t="shared" si="21"/>
        <v>0.59199999999999997</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2480</v>
      </c>
    </row>
    <row r="160" spans="2:65" s="365" customFormat="1" ht="16.5" customHeight="1" x14ac:dyDescent="0.25">
      <c r="B160" s="364"/>
      <c r="C160" s="445" t="s">
        <v>237</v>
      </c>
      <c r="D160" s="445" t="s">
        <v>218</v>
      </c>
      <c r="E160" s="446" t="s">
        <v>2217</v>
      </c>
      <c r="F160" s="447" t="s">
        <v>2218</v>
      </c>
      <c r="G160" s="448" t="s">
        <v>123</v>
      </c>
      <c r="H160" s="449">
        <v>4</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2207</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2207</v>
      </c>
      <c r="BM160" s="455" t="s">
        <v>2481</v>
      </c>
    </row>
    <row r="161" spans="2:65" s="434" customFormat="1" ht="22.9" customHeight="1" x14ac:dyDescent="0.2">
      <c r="B161" s="433"/>
      <c r="D161" s="435" t="s">
        <v>216</v>
      </c>
      <c r="E161" s="443" t="s">
        <v>115</v>
      </c>
      <c r="F161" s="443" t="s">
        <v>1023</v>
      </c>
      <c r="I161" s="331"/>
      <c r="J161" s="444">
        <f>BK161</f>
        <v>0</v>
      </c>
      <c r="L161" s="433"/>
      <c r="M161" s="438"/>
      <c r="P161" s="439">
        <f>SUM(P162:P164)</f>
        <v>11.834999999999999</v>
      </c>
      <c r="R161" s="439">
        <f>SUM(R162:R164)</f>
        <v>0.22499999999999998</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238</v>
      </c>
      <c r="D162" s="445" t="s">
        <v>218</v>
      </c>
      <c r="E162" s="446" t="s">
        <v>2220</v>
      </c>
      <c r="F162" s="447" t="s">
        <v>2221</v>
      </c>
      <c r="G162" s="448" t="s">
        <v>123</v>
      </c>
      <c r="H162" s="449">
        <v>3</v>
      </c>
      <c r="I162" s="329">
        <v>0</v>
      </c>
      <c r="J162" s="450">
        <f>ROUND(I162*H162,2)</f>
        <v>0</v>
      </c>
      <c r="K162" s="451"/>
      <c r="L162" s="364"/>
      <c r="M162" s="452" t="s">
        <v>171</v>
      </c>
      <c r="N162" s="415" t="s">
        <v>185</v>
      </c>
      <c r="O162" s="453">
        <v>3.9449999999999998</v>
      </c>
      <c r="P162" s="453">
        <f>O162*H162</f>
        <v>11.834999999999999</v>
      </c>
      <c r="Q162" s="453">
        <v>7.4999999999999997E-2</v>
      </c>
      <c r="R162" s="453">
        <f>Q162*H162</f>
        <v>0.22499999999999998</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2482</v>
      </c>
    </row>
    <row r="163" spans="2:65" s="365" customFormat="1" ht="16.5" customHeight="1" x14ac:dyDescent="0.25">
      <c r="B163" s="364"/>
      <c r="C163" s="445" t="s">
        <v>239</v>
      </c>
      <c r="D163" s="445" t="s">
        <v>218</v>
      </c>
      <c r="E163" s="446" t="s">
        <v>2223</v>
      </c>
      <c r="F163" s="447" t="s">
        <v>2224</v>
      </c>
      <c r="G163" s="448" t="s">
        <v>123</v>
      </c>
      <c r="H163" s="449">
        <v>3</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2483</v>
      </c>
    </row>
    <row r="164" spans="2:65" s="365" customFormat="1" ht="24.2" customHeight="1" x14ac:dyDescent="0.25">
      <c r="B164" s="364"/>
      <c r="C164" s="445" t="s">
        <v>240</v>
      </c>
      <c r="D164" s="445" t="s">
        <v>218</v>
      </c>
      <c r="E164" s="446" t="s">
        <v>2226</v>
      </c>
      <c r="F164" s="447" t="s">
        <v>2227</v>
      </c>
      <c r="G164" s="448" t="s">
        <v>123</v>
      </c>
      <c r="H164" s="449">
        <v>3</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2484</v>
      </c>
    </row>
    <row r="165" spans="2:65" s="434" customFormat="1" ht="22.9" customHeight="1" x14ac:dyDescent="0.2">
      <c r="B165" s="433"/>
      <c r="D165" s="435" t="s">
        <v>216</v>
      </c>
      <c r="E165" s="443" t="s">
        <v>162</v>
      </c>
      <c r="F165" s="443" t="s">
        <v>633</v>
      </c>
      <c r="I165" s="331"/>
      <c r="J165" s="444">
        <f>BK165</f>
        <v>0</v>
      </c>
      <c r="L165" s="433"/>
      <c r="M165" s="438"/>
      <c r="P165" s="439">
        <f>SUM(P166:P173)</f>
        <v>85.672150000000002</v>
      </c>
      <c r="R165" s="439">
        <f>SUM(R166:R173)</f>
        <v>7.3691999999999996E-4</v>
      </c>
      <c r="T165" s="440">
        <f>SUM(T166:T173)</f>
        <v>10.390600000000001</v>
      </c>
      <c r="AR165" s="435" t="s">
        <v>109</v>
      </c>
      <c r="AT165" s="441" t="s">
        <v>216</v>
      </c>
      <c r="AU165" s="441" t="s">
        <v>109</v>
      </c>
      <c r="AY165" s="435" t="s">
        <v>217</v>
      </c>
      <c r="BK165" s="442">
        <f>SUM(BK166:BK173)</f>
        <v>0</v>
      </c>
    </row>
    <row r="166" spans="2:65" s="365" customFormat="1" ht="24.2" customHeight="1" x14ac:dyDescent="0.25">
      <c r="B166" s="364"/>
      <c r="C166" s="445" t="s">
        <v>241</v>
      </c>
      <c r="D166" s="445" t="s">
        <v>218</v>
      </c>
      <c r="E166" s="446" t="s">
        <v>2229</v>
      </c>
      <c r="F166" s="447" t="s">
        <v>2230</v>
      </c>
      <c r="G166" s="448" t="s">
        <v>113</v>
      </c>
      <c r="H166" s="449">
        <v>46</v>
      </c>
      <c r="I166" s="329">
        <v>0</v>
      </c>
      <c r="J166" s="450">
        <f t="shared" ref="J166:J173" si="30">ROUND(I166*H166,2)</f>
        <v>0</v>
      </c>
      <c r="K166" s="451"/>
      <c r="L166" s="364"/>
      <c r="M166" s="452" t="s">
        <v>171</v>
      </c>
      <c r="N166" s="415" t="s">
        <v>185</v>
      </c>
      <c r="O166" s="453">
        <v>0.314</v>
      </c>
      <c r="P166" s="453">
        <f t="shared" ref="P166:P173" si="31">O166*H166</f>
        <v>14.444000000000001</v>
      </c>
      <c r="Q166" s="453">
        <v>8.9999999999999996E-7</v>
      </c>
      <c r="R166" s="453">
        <f t="shared" ref="R166:R173" si="32">Q166*H166</f>
        <v>4.1399999999999997E-5</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2485</v>
      </c>
    </row>
    <row r="167" spans="2:65" s="365" customFormat="1" ht="24.2" customHeight="1" x14ac:dyDescent="0.25">
      <c r="B167" s="364"/>
      <c r="C167" s="445" t="s">
        <v>242</v>
      </c>
      <c r="D167" s="445" t="s">
        <v>218</v>
      </c>
      <c r="E167" s="446" t="s">
        <v>2232</v>
      </c>
      <c r="F167" s="447" t="s">
        <v>2233</v>
      </c>
      <c r="G167" s="448" t="s">
        <v>113</v>
      </c>
      <c r="H167" s="449">
        <v>46</v>
      </c>
      <c r="I167" s="329">
        <v>0</v>
      </c>
      <c r="J167" s="450">
        <f t="shared" si="30"/>
        <v>0</v>
      </c>
      <c r="K167" s="451"/>
      <c r="L167" s="364"/>
      <c r="M167" s="452" t="s">
        <v>171</v>
      </c>
      <c r="N167" s="415" t="s">
        <v>185</v>
      </c>
      <c r="O167" s="453">
        <v>0.85702</v>
      </c>
      <c r="P167" s="453">
        <f t="shared" si="31"/>
        <v>39.422919999999998</v>
      </c>
      <c r="Q167" s="453">
        <v>1.5119999999999999E-5</v>
      </c>
      <c r="R167" s="453">
        <f t="shared" si="32"/>
        <v>6.9551999999999993E-4</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2486</v>
      </c>
    </row>
    <row r="168" spans="2:65" s="365" customFormat="1" ht="37.9" customHeight="1" x14ac:dyDescent="0.25">
      <c r="B168" s="364"/>
      <c r="C168" s="445" t="s">
        <v>243</v>
      </c>
      <c r="D168" s="445" t="s">
        <v>218</v>
      </c>
      <c r="E168" s="446" t="s">
        <v>1488</v>
      </c>
      <c r="F168" s="447" t="s">
        <v>1489</v>
      </c>
      <c r="G168" s="448" t="s">
        <v>114</v>
      </c>
      <c r="H168" s="449">
        <v>4.7229999999999999</v>
      </c>
      <c r="I168" s="329">
        <v>0</v>
      </c>
      <c r="J168" s="450">
        <f t="shared" si="30"/>
        <v>0</v>
      </c>
      <c r="K168" s="451"/>
      <c r="L168" s="364"/>
      <c r="M168" s="452" t="s">
        <v>171</v>
      </c>
      <c r="N168" s="415" t="s">
        <v>185</v>
      </c>
      <c r="O168" s="453">
        <v>5.1219999999999999</v>
      </c>
      <c r="P168" s="453">
        <f t="shared" si="31"/>
        <v>24.191205999999998</v>
      </c>
      <c r="Q168" s="453">
        <v>0</v>
      </c>
      <c r="R168" s="453">
        <f t="shared" si="32"/>
        <v>0</v>
      </c>
      <c r="S168" s="453">
        <v>2.2000000000000002</v>
      </c>
      <c r="T168" s="454">
        <f t="shared" si="33"/>
        <v>10.390600000000001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2487</v>
      </c>
    </row>
    <row r="169" spans="2:65" s="365" customFormat="1" ht="24.2" customHeight="1" x14ac:dyDescent="0.25">
      <c r="B169" s="364"/>
      <c r="C169" s="445" t="s">
        <v>244</v>
      </c>
      <c r="D169" s="445" t="s">
        <v>218</v>
      </c>
      <c r="E169" s="446" t="s">
        <v>652</v>
      </c>
      <c r="F169" s="447" t="s">
        <v>2488</v>
      </c>
      <c r="G169" s="448" t="s">
        <v>112</v>
      </c>
      <c r="H169" s="449">
        <f>H176+H177</f>
        <v>12.606</v>
      </c>
      <c r="I169" s="329">
        <v>0</v>
      </c>
      <c r="J169" s="450">
        <f t="shared" si="30"/>
        <v>0</v>
      </c>
      <c r="K169" s="451"/>
      <c r="L169" s="364"/>
      <c r="M169" s="452" t="s">
        <v>171</v>
      </c>
      <c r="N169" s="415" t="s">
        <v>185</v>
      </c>
      <c r="O169" s="453">
        <v>0.59799999999999998</v>
      </c>
      <c r="P169" s="453">
        <f t="shared" si="31"/>
        <v>7.5383879999999994</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2489</v>
      </c>
    </row>
    <row r="170" spans="2:65" s="365" customFormat="1" ht="62.65" customHeight="1" x14ac:dyDescent="0.25">
      <c r="B170" s="364"/>
      <c r="C170" s="445" t="s">
        <v>245</v>
      </c>
      <c r="D170" s="445" t="s">
        <v>218</v>
      </c>
      <c r="E170" s="446" t="s">
        <v>635</v>
      </c>
      <c r="F170" s="447" t="s">
        <v>3150</v>
      </c>
      <c r="G170" s="448" t="s">
        <v>112</v>
      </c>
      <c r="H170" s="449">
        <f>Ponuka!L133</f>
        <v>16.128</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2490</v>
      </c>
    </row>
    <row r="171" spans="2:65" s="365" customFormat="1" ht="66.75" customHeight="1" x14ac:dyDescent="0.25">
      <c r="B171" s="364"/>
      <c r="C171" s="445" t="s">
        <v>246</v>
      </c>
      <c r="D171" s="445" t="s">
        <v>218</v>
      </c>
      <c r="E171" s="446" t="s">
        <v>926</v>
      </c>
      <c r="F171" s="447" t="s">
        <v>3151</v>
      </c>
      <c r="G171" s="448" t="s">
        <v>112</v>
      </c>
      <c r="H171" s="449">
        <f>Ponuka!N133</f>
        <v>13.286</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2491</v>
      </c>
    </row>
    <row r="172" spans="2:65" s="365" customFormat="1" ht="66.75" customHeight="1" x14ac:dyDescent="0.25">
      <c r="B172" s="364"/>
      <c r="C172" s="445" t="s">
        <v>247</v>
      </c>
      <c r="D172" s="445" t="s">
        <v>218</v>
      </c>
      <c r="E172" s="446" t="s">
        <v>638</v>
      </c>
      <c r="F172" s="447" t="s">
        <v>3152</v>
      </c>
      <c r="G172" s="448" t="s">
        <v>112</v>
      </c>
      <c r="H172" s="449">
        <f>Ponuka!R132</f>
        <v>79.009</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2492</v>
      </c>
    </row>
    <row r="173" spans="2:65" s="365" customFormat="1" ht="24.2" customHeight="1" x14ac:dyDescent="0.25">
      <c r="B173" s="364"/>
      <c r="C173" s="445" t="s">
        <v>248</v>
      </c>
      <c r="D173" s="445" t="s">
        <v>218</v>
      </c>
      <c r="E173" s="446" t="s">
        <v>641</v>
      </c>
      <c r="F173" s="447" t="s">
        <v>642</v>
      </c>
      <c r="G173" s="448" t="s">
        <v>112</v>
      </c>
      <c r="H173" s="449">
        <f>H169</f>
        <v>12.606</v>
      </c>
      <c r="I173" s="329">
        <v>0</v>
      </c>
      <c r="J173" s="450">
        <f t="shared" si="30"/>
        <v>0</v>
      </c>
      <c r="K173" s="451"/>
      <c r="L173" s="364"/>
      <c r="M173" s="452" t="s">
        <v>171</v>
      </c>
      <c r="N173" s="415" t="s">
        <v>185</v>
      </c>
      <c r="O173" s="453">
        <v>6.0000000000000001E-3</v>
      </c>
      <c r="P173" s="453">
        <f t="shared" si="31"/>
        <v>7.5635999999999995E-2</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2493</v>
      </c>
    </row>
    <row r="174" spans="2:65" s="434" customFormat="1" ht="22.9" customHeight="1" x14ac:dyDescent="0.2">
      <c r="B174" s="433"/>
      <c r="D174" s="435" t="s">
        <v>216</v>
      </c>
      <c r="E174" s="443" t="s">
        <v>649</v>
      </c>
      <c r="F174" s="443" t="s">
        <v>650</v>
      </c>
      <c r="I174" s="331"/>
      <c r="J174" s="444">
        <f>BK174</f>
        <v>0</v>
      </c>
      <c r="L174" s="433"/>
      <c r="M174" s="438"/>
      <c r="P174" s="439">
        <f>SUM(P175:P180)</f>
        <v>4.7984119999999999</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249</v>
      </c>
      <c r="D175" s="445" t="s">
        <v>218</v>
      </c>
      <c r="E175" s="446" t="s">
        <v>942</v>
      </c>
      <c r="F175" s="447" t="s">
        <v>2494</v>
      </c>
      <c r="G175" s="448" t="s">
        <v>112</v>
      </c>
      <c r="H175" s="449">
        <f>H173*22</f>
        <v>277.33199999999999</v>
      </c>
      <c r="I175" s="329">
        <v>0</v>
      </c>
      <c r="J175" s="450">
        <f t="shared" ref="J175:J180" si="40">ROUND(I175*H175,2)</f>
        <v>0</v>
      </c>
      <c r="K175" s="451"/>
      <c r="L175" s="364"/>
      <c r="M175" s="452" t="s">
        <v>171</v>
      </c>
      <c r="N175" s="415" t="s">
        <v>185</v>
      </c>
      <c r="O175" s="453">
        <v>7.0000000000000001E-3</v>
      </c>
      <c r="P175" s="453">
        <f t="shared" ref="P175:P180" si="41">O175*H175</f>
        <v>1.941324</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2495</v>
      </c>
    </row>
    <row r="176" spans="2:65" s="365" customFormat="1" ht="24.2" customHeight="1" x14ac:dyDescent="0.25">
      <c r="B176" s="364"/>
      <c r="C176" s="445" t="s">
        <v>250</v>
      </c>
      <c r="D176" s="445" t="s">
        <v>218</v>
      </c>
      <c r="E176" s="446" t="s">
        <v>946</v>
      </c>
      <c r="F176" s="447" t="s">
        <v>3153</v>
      </c>
      <c r="G176" s="448" t="s">
        <v>112</v>
      </c>
      <c r="H176" s="449">
        <f>Ponuka!M133</f>
        <v>6.911999999999999</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2496</v>
      </c>
    </row>
    <row r="177" spans="2:65" s="365" customFormat="1" ht="24.2" customHeight="1" x14ac:dyDescent="0.25">
      <c r="B177" s="364"/>
      <c r="C177" s="445" t="s">
        <v>251</v>
      </c>
      <c r="D177" s="445" t="s">
        <v>218</v>
      </c>
      <c r="E177" s="446" t="s">
        <v>949</v>
      </c>
      <c r="F177" s="447" t="s">
        <v>2497</v>
      </c>
      <c r="G177" s="448" t="s">
        <v>112</v>
      </c>
      <c r="H177" s="449">
        <f>Ponuka!O133</f>
        <v>5.6940000000000008</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2498</v>
      </c>
    </row>
    <row r="178" spans="2:65" s="365" customFormat="1" ht="24.2" customHeight="1" x14ac:dyDescent="0.25">
      <c r="B178" s="364"/>
      <c r="C178" s="445" t="s">
        <v>252</v>
      </c>
      <c r="D178" s="445" t="s">
        <v>218</v>
      </c>
      <c r="E178" s="446" t="s">
        <v>2247</v>
      </c>
      <c r="F178" s="447" t="s">
        <v>2248</v>
      </c>
      <c r="G178" s="448" t="s">
        <v>112</v>
      </c>
      <c r="H178" s="449">
        <v>42.015999999999998</v>
      </c>
      <c r="I178" s="329">
        <v>0</v>
      </c>
      <c r="J178" s="450">
        <f t="shared" si="40"/>
        <v>0</v>
      </c>
      <c r="K178" s="451"/>
      <c r="L178" s="364"/>
      <c r="M178" s="452" t="s">
        <v>171</v>
      </c>
      <c r="N178" s="415" t="s">
        <v>185</v>
      </c>
      <c r="O178" s="453">
        <v>0.03</v>
      </c>
      <c r="P178" s="453">
        <f t="shared" si="41"/>
        <v>1.2604799999999998</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2499</v>
      </c>
    </row>
    <row r="179" spans="2:65" s="365" customFormat="1" ht="49.15" customHeight="1" x14ac:dyDescent="0.25">
      <c r="B179" s="364"/>
      <c r="C179" s="445" t="s">
        <v>253</v>
      </c>
      <c r="D179" s="445" t="s">
        <v>218</v>
      </c>
      <c r="E179" s="446" t="s">
        <v>2250</v>
      </c>
      <c r="F179" s="447" t="s">
        <v>2251</v>
      </c>
      <c r="G179" s="448" t="s">
        <v>112</v>
      </c>
      <c r="H179" s="449">
        <v>42.015999999999998</v>
      </c>
      <c r="I179" s="329">
        <v>0</v>
      </c>
      <c r="J179" s="450">
        <f t="shared" si="40"/>
        <v>0</v>
      </c>
      <c r="K179" s="451"/>
      <c r="L179" s="364"/>
      <c r="M179" s="452" t="s">
        <v>171</v>
      </c>
      <c r="N179" s="415" t="s">
        <v>185</v>
      </c>
      <c r="O179" s="453">
        <v>1.4E-2</v>
      </c>
      <c r="P179" s="453">
        <f t="shared" si="41"/>
        <v>0.58822399999999997</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2500</v>
      </c>
    </row>
    <row r="180" spans="2:65" s="365" customFormat="1" ht="37.9" customHeight="1" x14ac:dyDescent="0.25">
      <c r="B180" s="364"/>
      <c r="C180" s="445" t="s">
        <v>254</v>
      </c>
      <c r="D180" s="445" t="s">
        <v>218</v>
      </c>
      <c r="E180" s="446" t="s">
        <v>2253</v>
      </c>
      <c r="F180" s="447" t="s">
        <v>2254</v>
      </c>
      <c r="G180" s="448" t="s">
        <v>112</v>
      </c>
      <c r="H180" s="449">
        <v>168.06399999999999</v>
      </c>
      <c r="I180" s="329">
        <v>0</v>
      </c>
      <c r="J180" s="450">
        <f t="shared" si="40"/>
        <v>0</v>
      </c>
      <c r="K180" s="451"/>
      <c r="L180" s="364"/>
      <c r="M180" s="452" t="s">
        <v>171</v>
      </c>
      <c r="N180" s="415" t="s">
        <v>185</v>
      </c>
      <c r="O180" s="453">
        <v>6.0000000000000001E-3</v>
      </c>
      <c r="P180" s="453">
        <f t="shared" si="41"/>
        <v>1.0083839999999999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2501</v>
      </c>
    </row>
    <row r="181" spans="2:65" s="434" customFormat="1" ht="25.9" customHeight="1" x14ac:dyDescent="0.2">
      <c r="B181" s="433"/>
      <c r="D181" s="435" t="s">
        <v>216</v>
      </c>
      <c r="E181" s="436" t="s">
        <v>662</v>
      </c>
      <c r="F181" s="436" t="s">
        <v>663</v>
      </c>
      <c r="I181" s="331"/>
      <c r="J181" s="437">
        <f>BK181</f>
        <v>0</v>
      </c>
      <c r="L181" s="433"/>
      <c r="M181" s="438"/>
      <c r="P181" s="439">
        <f>P182</f>
        <v>5.9612499999999997</v>
      </c>
      <c r="R181" s="439">
        <f>R182</f>
        <v>2.8663533859999996E-2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668</v>
      </c>
      <c r="F182" s="443" t="s">
        <v>669</v>
      </c>
      <c r="I182" s="331"/>
      <c r="J182" s="444">
        <f>BK182</f>
        <v>0</v>
      </c>
      <c r="L182" s="433"/>
      <c r="M182" s="438"/>
      <c r="P182" s="439">
        <f>SUM(P183:P188)</f>
        <v>5.9612499999999997</v>
      </c>
      <c r="R182" s="439">
        <f>SUM(R183:R188)</f>
        <v>2.8663533859999996E-2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255</v>
      </c>
      <c r="D183" s="445" t="s">
        <v>218</v>
      </c>
      <c r="E183" s="446" t="s">
        <v>2256</v>
      </c>
      <c r="F183" s="447" t="s">
        <v>2257</v>
      </c>
      <c r="G183" s="448" t="s">
        <v>111</v>
      </c>
      <c r="H183" s="449">
        <v>26.741</v>
      </c>
      <c r="I183" s="329">
        <v>0</v>
      </c>
      <c r="J183" s="450">
        <f t="shared" ref="J183:J188" si="50">ROUND(I183*H183,2)</f>
        <v>0</v>
      </c>
      <c r="K183" s="451"/>
      <c r="L183" s="364"/>
      <c r="M183" s="452" t="s">
        <v>171</v>
      </c>
      <c r="N183" s="415" t="s">
        <v>185</v>
      </c>
      <c r="O183" s="453">
        <v>0.16400000000000001</v>
      </c>
      <c r="P183" s="453">
        <f t="shared" ref="P183:P188" si="51">O183*H183</f>
        <v>4.3855240000000002</v>
      </c>
      <c r="Q183" s="453">
        <v>5.5345999999999998E-4</v>
      </c>
      <c r="R183" s="453">
        <f t="shared" ref="R183:R188" si="52">Q183*H183</f>
        <v>1.4800073859999999E-2</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2502</v>
      </c>
    </row>
    <row r="184" spans="2:65" s="365" customFormat="1" ht="24.2" customHeight="1" x14ac:dyDescent="0.25">
      <c r="B184" s="364"/>
      <c r="C184" s="457" t="s">
        <v>256</v>
      </c>
      <c r="D184" s="457" t="s">
        <v>259</v>
      </c>
      <c r="E184" s="458" t="s">
        <v>2259</v>
      </c>
      <c r="F184" s="459" t="s">
        <v>2260</v>
      </c>
      <c r="G184" s="460" t="s">
        <v>536</v>
      </c>
      <c r="H184" s="461">
        <v>5.0839999999999996</v>
      </c>
      <c r="I184" s="330">
        <v>0</v>
      </c>
      <c r="J184" s="462">
        <f t="shared" si="50"/>
        <v>0</v>
      </c>
      <c r="K184" s="463"/>
      <c r="L184" s="464"/>
      <c r="M184" s="465" t="s">
        <v>171</v>
      </c>
      <c r="N184" s="466" t="s">
        <v>185</v>
      </c>
      <c r="O184" s="453">
        <v>0</v>
      </c>
      <c r="P184" s="453">
        <f t="shared" si="51"/>
        <v>0</v>
      </c>
      <c r="Q184" s="453">
        <v>1E-3</v>
      </c>
      <c r="R184" s="453">
        <f t="shared" si="52"/>
        <v>5.084E-3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2503</v>
      </c>
    </row>
    <row r="185" spans="2:65" s="365" customFormat="1" ht="24.2" customHeight="1" x14ac:dyDescent="0.25">
      <c r="B185" s="364"/>
      <c r="C185" s="445" t="s">
        <v>257</v>
      </c>
      <c r="D185" s="445" t="s">
        <v>218</v>
      </c>
      <c r="E185" s="446" t="s">
        <v>2262</v>
      </c>
      <c r="F185" s="447" t="s">
        <v>2263</v>
      </c>
      <c r="G185" s="448" t="s">
        <v>111</v>
      </c>
      <c r="H185" s="449">
        <v>13.371</v>
      </c>
      <c r="I185" s="329">
        <v>0</v>
      </c>
      <c r="J185" s="450">
        <f t="shared" si="50"/>
        <v>0</v>
      </c>
      <c r="K185" s="451"/>
      <c r="L185" s="364"/>
      <c r="M185" s="452" t="s">
        <v>171</v>
      </c>
      <c r="N185" s="415" t="s">
        <v>185</v>
      </c>
      <c r="O185" s="453">
        <v>0.04</v>
      </c>
      <c r="P185" s="453">
        <f t="shared" si="51"/>
        <v>0.53483999999999998</v>
      </c>
      <c r="Q185" s="453">
        <v>2.5999999999999998E-4</v>
      </c>
      <c r="R185" s="453">
        <f t="shared" si="52"/>
        <v>3.4764599999999998E-3</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2504</v>
      </c>
    </row>
    <row r="186" spans="2:65" s="365" customFormat="1" ht="24.2" customHeight="1" x14ac:dyDescent="0.25">
      <c r="B186" s="364"/>
      <c r="C186" s="457" t="s">
        <v>258</v>
      </c>
      <c r="D186" s="457" t="s">
        <v>259</v>
      </c>
      <c r="E186" s="458" t="s">
        <v>2265</v>
      </c>
      <c r="F186" s="459" t="s">
        <v>2266</v>
      </c>
      <c r="G186" s="460" t="s">
        <v>536</v>
      </c>
      <c r="H186" s="461">
        <v>2.6080000000000001</v>
      </c>
      <c r="I186" s="330">
        <v>0</v>
      </c>
      <c r="J186" s="462">
        <f t="shared" si="50"/>
        <v>0</v>
      </c>
      <c r="K186" s="463"/>
      <c r="L186" s="464"/>
      <c r="M186" s="465" t="s">
        <v>171</v>
      </c>
      <c r="N186" s="466" t="s">
        <v>185</v>
      </c>
      <c r="O186" s="453">
        <v>0</v>
      </c>
      <c r="P186" s="453">
        <f t="shared" si="51"/>
        <v>0</v>
      </c>
      <c r="Q186" s="453">
        <v>1E-3</v>
      </c>
      <c r="R186" s="453">
        <f t="shared" si="52"/>
        <v>2.6080000000000001E-3</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2505</v>
      </c>
    </row>
    <row r="187" spans="2:65" s="365" customFormat="1" ht="24.2" customHeight="1" x14ac:dyDescent="0.25">
      <c r="B187" s="364"/>
      <c r="C187" s="445" t="s">
        <v>260</v>
      </c>
      <c r="D187" s="445" t="s">
        <v>218</v>
      </c>
      <c r="E187" s="446" t="s">
        <v>2268</v>
      </c>
      <c r="F187" s="447" t="s">
        <v>2269</v>
      </c>
      <c r="G187" s="448" t="s">
        <v>111</v>
      </c>
      <c r="H187" s="449">
        <v>7.7</v>
      </c>
      <c r="I187" s="329">
        <v>0</v>
      </c>
      <c r="J187" s="450">
        <f t="shared" si="50"/>
        <v>0</v>
      </c>
      <c r="K187" s="451"/>
      <c r="L187" s="364"/>
      <c r="M187" s="452" t="s">
        <v>171</v>
      </c>
      <c r="N187" s="415" t="s">
        <v>185</v>
      </c>
      <c r="O187" s="453">
        <v>0.13517999999999999</v>
      </c>
      <c r="P187" s="453">
        <f t="shared" si="51"/>
        <v>1.040886</v>
      </c>
      <c r="Q187" s="453">
        <v>1E-4</v>
      </c>
      <c r="R187" s="453">
        <f t="shared" si="52"/>
        <v>7.7000000000000007E-4</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2506</v>
      </c>
    </row>
    <row r="188" spans="2:65" s="365" customFormat="1" ht="24.2" customHeight="1" x14ac:dyDescent="0.25">
      <c r="B188" s="364"/>
      <c r="C188" s="457" t="s">
        <v>262</v>
      </c>
      <c r="D188" s="457" t="s">
        <v>259</v>
      </c>
      <c r="E188" s="458" t="s">
        <v>2271</v>
      </c>
      <c r="F188" s="459" t="s">
        <v>2272</v>
      </c>
      <c r="G188" s="460" t="s">
        <v>536</v>
      </c>
      <c r="H188" s="461">
        <v>1.925</v>
      </c>
      <c r="I188" s="330">
        <v>0</v>
      </c>
      <c r="J188" s="462">
        <f t="shared" si="50"/>
        <v>0</v>
      </c>
      <c r="K188" s="463"/>
      <c r="L188" s="464"/>
      <c r="M188" s="465" t="s">
        <v>171</v>
      </c>
      <c r="N188" s="466" t="s">
        <v>185</v>
      </c>
      <c r="O188" s="453">
        <v>0</v>
      </c>
      <c r="P188" s="453">
        <f t="shared" si="51"/>
        <v>0</v>
      </c>
      <c r="Q188" s="453">
        <v>1E-3</v>
      </c>
      <c r="R188" s="453">
        <f t="shared" si="52"/>
        <v>1.9250000000000001E-3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2507</v>
      </c>
    </row>
    <row r="189" spans="2:65" s="434" customFormat="1" ht="25.9" customHeight="1" x14ac:dyDescent="0.2">
      <c r="B189" s="433"/>
      <c r="D189" s="435" t="s">
        <v>216</v>
      </c>
      <c r="E189" s="436" t="s">
        <v>259</v>
      </c>
      <c r="F189" s="436" t="s">
        <v>1667</v>
      </c>
      <c r="I189" s="331"/>
      <c r="J189" s="437">
        <f>BK189</f>
        <v>0</v>
      </c>
      <c r="L189" s="433"/>
      <c r="M189" s="438"/>
      <c r="P189" s="439">
        <f>P190+P228</f>
        <v>931.3748814999999</v>
      </c>
      <c r="R189" s="439">
        <f>R190+R228</f>
        <v>37.192802</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2274</v>
      </c>
      <c r="F190" s="443" t="s">
        <v>2275</v>
      </c>
      <c r="I190" s="331"/>
      <c r="J190" s="444">
        <f>BK190</f>
        <v>0</v>
      </c>
      <c r="L190" s="433"/>
      <c r="M190" s="438"/>
      <c r="P190" s="439">
        <f>SUM(P191:P227)</f>
        <v>193.249</v>
      </c>
      <c r="R190" s="439">
        <f>SUM(R191:R227)</f>
        <v>1.9121619999999999</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263</v>
      </c>
      <c r="D191" s="445" t="s">
        <v>218</v>
      </c>
      <c r="E191" s="446" t="s">
        <v>2276</v>
      </c>
      <c r="F191" s="447" t="s">
        <v>2277</v>
      </c>
      <c r="G191" s="448" t="s">
        <v>113</v>
      </c>
      <c r="H191" s="449">
        <v>345</v>
      </c>
      <c r="I191" s="329">
        <v>0</v>
      </c>
      <c r="J191" s="450">
        <f t="shared" ref="J191:J227" si="60">ROUND(I191*H191,2)</f>
        <v>0</v>
      </c>
      <c r="K191" s="451"/>
      <c r="L191" s="364"/>
      <c r="M191" s="452" t="s">
        <v>171</v>
      </c>
      <c r="N191" s="415" t="s">
        <v>185</v>
      </c>
      <c r="O191" s="453">
        <v>0.124</v>
      </c>
      <c r="P191" s="453">
        <f t="shared" ref="P191:P227" si="61">O191*H191</f>
        <v>42.78</v>
      </c>
      <c r="Q191" s="453">
        <v>0</v>
      </c>
      <c r="R191" s="453">
        <f t="shared" ref="R191:R227" si="62">Q191*H191</f>
        <v>0</v>
      </c>
      <c r="S191" s="453">
        <v>0</v>
      </c>
      <c r="T191" s="454">
        <f t="shared" ref="T191:T227" si="63">S191*H191</f>
        <v>0</v>
      </c>
      <c r="AR191" s="455" t="s">
        <v>625</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625</v>
      </c>
      <c r="BM191" s="455" t="s">
        <v>2508</v>
      </c>
    </row>
    <row r="192" spans="2:65" s="365" customFormat="1" ht="24.2" customHeight="1" x14ac:dyDescent="0.25">
      <c r="B192" s="364"/>
      <c r="C192" s="457" t="s">
        <v>264</v>
      </c>
      <c r="D192" s="457" t="s">
        <v>259</v>
      </c>
      <c r="E192" s="458" t="s">
        <v>2279</v>
      </c>
      <c r="F192" s="459" t="s">
        <v>2280</v>
      </c>
      <c r="G192" s="460" t="s">
        <v>123</v>
      </c>
      <c r="H192" s="461">
        <v>24</v>
      </c>
      <c r="I192" s="330">
        <v>0</v>
      </c>
      <c r="J192" s="462">
        <f t="shared" si="60"/>
        <v>0</v>
      </c>
      <c r="K192" s="463"/>
      <c r="L192" s="464"/>
      <c r="M192" s="465" t="s">
        <v>171</v>
      </c>
      <c r="N192" s="466" t="s">
        <v>185</v>
      </c>
      <c r="O192" s="453">
        <v>0</v>
      </c>
      <c r="P192" s="453">
        <f t="shared" si="61"/>
        <v>0</v>
      </c>
      <c r="Q192" s="453">
        <v>5.0000000000000002E-5</v>
      </c>
      <c r="R192" s="453">
        <f t="shared" si="62"/>
        <v>1.2000000000000001E-3</v>
      </c>
      <c r="S192" s="453">
        <v>0</v>
      </c>
      <c r="T192" s="454">
        <f t="shared" si="63"/>
        <v>0</v>
      </c>
      <c r="AR192" s="455" t="s">
        <v>1631</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1631</v>
      </c>
      <c r="BM192" s="455" t="s">
        <v>2509</v>
      </c>
    </row>
    <row r="193" spans="2:65" s="365" customFormat="1" ht="24.2" customHeight="1" x14ac:dyDescent="0.25">
      <c r="B193" s="364"/>
      <c r="C193" s="457" t="s">
        <v>265</v>
      </c>
      <c r="D193" s="457" t="s">
        <v>259</v>
      </c>
      <c r="E193" s="458" t="s">
        <v>2282</v>
      </c>
      <c r="F193" s="459" t="s">
        <v>2283</v>
      </c>
      <c r="G193" s="460" t="s">
        <v>113</v>
      </c>
      <c r="H193" s="461">
        <v>345</v>
      </c>
      <c r="I193" s="330">
        <v>0</v>
      </c>
      <c r="J193" s="462">
        <f t="shared" si="60"/>
        <v>0</v>
      </c>
      <c r="K193" s="463"/>
      <c r="L193" s="464"/>
      <c r="M193" s="465" t="s">
        <v>171</v>
      </c>
      <c r="N193" s="466" t="s">
        <v>185</v>
      </c>
      <c r="O193" s="453">
        <v>0</v>
      </c>
      <c r="P193" s="453">
        <f t="shared" si="61"/>
        <v>0</v>
      </c>
      <c r="Q193" s="453">
        <v>2.2000000000000001E-4</v>
      </c>
      <c r="R193" s="453">
        <f t="shared" si="62"/>
        <v>7.5900000000000009E-2</v>
      </c>
      <c r="S193" s="453">
        <v>0</v>
      </c>
      <c r="T193" s="454">
        <f t="shared" si="63"/>
        <v>0</v>
      </c>
      <c r="AR193" s="455" t="s">
        <v>1631</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1631</v>
      </c>
      <c r="BM193" s="455" t="s">
        <v>2510</v>
      </c>
    </row>
    <row r="194" spans="2:65" s="365" customFormat="1" ht="24.2" customHeight="1" x14ac:dyDescent="0.25">
      <c r="B194" s="364"/>
      <c r="C194" s="445" t="s">
        <v>266</v>
      </c>
      <c r="D194" s="445" t="s">
        <v>218</v>
      </c>
      <c r="E194" s="446" t="s">
        <v>2285</v>
      </c>
      <c r="F194" s="447" t="s">
        <v>2286</v>
      </c>
      <c r="G194" s="448" t="s">
        <v>113</v>
      </c>
      <c r="H194" s="449">
        <v>69</v>
      </c>
      <c r="I194" s="329">
        <v>0</v>
      </c>
      <c r="J194" s="450">
        <f t="shared" si="60"/>
        <v>0</v>
      </c>
      <c r="K194" s="451"/>
      <c r="L194" s="364"/>
      <c r="M194" s="452" t="s">
        <v>171</v>
      </c>
      <c r="N194" s="415" t="s">
        <v>185</v>
      </c>
      <c r="O194" s="453">
        <v>0.17199999999999999</v>
      </c>
      <c r="P194" s="453">
        <f t="shared" si="61"/>
        <v>11.867999999999999</v>
      </c>
      <c r="Q194" s="453">
        <v>0</v>
      </c>
      <c r="R194" s="453">
        <f t="shared" si="62"/>
        <v>0</v>
      </c>
      <c r="S194" s="453">
        <v>0</v>
      </c>
      <c r="T194" s="454">
        <f t="shared" si="63"/>
        <v>0</v>
      </c>
      <c r="AR194" s="455" t="s">
        <v>625</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625</v>
      </c>
      <c r="BM194" s="455" t="s">
        <v>2511</v>
      </c>
    </row>
    <row r="195" spans="2:65" s="365" customFormat="1" ht="24.2" customHeight="1" x14ac:dyDescent="0.25">
      <c r="B195" s="364"/>
      <c r="C195" s="457" t="s">
        <v>573</v>
      </c>
      <c r="D195" s="457" t="s">
        <v>259</v>
      </c>
      <c r="E195" s="458" t="s">
        <v>2288</v>
      </c>
      <c r="F195" s="459" t="s">
        <v>2289</v>
      </c>
      <c r="G195" s="460" t="s">
        <v>113</v>
      </c>
      <c r="H195" s="461">
        <v>69</v>
      </c>
      <c r="I195" s="330">
        <v>0</v>
      </c>
      <c r="J195" s="462">
        <f t="shared" si="60"/>
        <v>0</v>
      </c>
      <c r="K195" s="463"/>
      <c r="L195" s="464"/>
      <c r="M195" s="465" t="s">
        <v>171</v>
      </c>
      <c r="N195" s="466" t="s">
        <v>185</v>
      </c>
      <c r="O195" s="453">
        <v>0</v>
      </c>
      <c r="P195" s="453">
        <f t="shared" si="61"/>
        <v>0</v>
      </c>
      <c r="Q195" s="453">
        <v>5.0000000000000001E-4</v>
      </c>
      <c r="R195" s="453">
        <f t="shared" si="62"/>
        <v>3.4500000000000003E-2</v>
      </c>
      <c r="S195" s="453">
        <v>0</v>
      </c>
      <c r="T195" s="454">
        <f t="shared" si="63"/>
        <v>0</v>
      </c>
      <c r="AR195" s="455" t="s">
        <v>1631</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1631</v>
      </c>
      <c r="BM195" s="455" t="s">
        <v>2512</v>
      </c>
    </row>
    <row r="196" spans="2:65" s="365" customFormat="1" ht="24.2" customHeight="1" x14ac:dyDescent="0.25">
      <c r="B196" s="364"/>
      <c r="C196" s="445" t="s">
        <v>577</v>
      </c>
      <c r="D196" s="445" t="s">
        <v>218</v>
      </c>
      <c r="E196" s="446" t="s">
        <v>2291</v>
      </c>
      <c r="F196" s="447" t="s">
        <v>2292</v>
      </c>
      <c r="G196" s="448" t="s">
        <v>123</v>
      </c>
      <c r="H196" s="449">
        <v>72</v>
      </c>
      <c r="I196" s="329">
        <v>0</v>
      </c>
      <c r="J196" s="450">
        <f t="shared" si="60"/>
        <v>0</v>
      </c>
      <c r="K196" s="451"/>
      <c r="L196" s="364"/>
      <c r="M196" s="452" t="s">
        <v>171</v>
      </c>
      <c r="N196" s="415" t="s">
        <v>185</v>
      </c>
      <c r="O196" s="453">
        <v>0.124</v>
      </c>
      <c r="P196" s="453">
        <f t="shared" si="61"/>
        <v>8.9280000000000008</v>
      </c>
      <c r="Q196" s="453">
        <v>0</v>
      </c>
      <c r="R196" s="453">
        <f t="shared" si="62"/>
        <v>0</v>
      </c>
      <c r="S196" s="453">
        <v>0</v>
      </c>
      <c r="T196" s="454">
        <f t="shared" si="63"/>
        <v>0</v>
      </c>
      <c r="AR196" s="455" t="s">
        <v>625</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625</v>
      </c>
      <c r="BM196" s="455" t="s">
        <v>2513</v>
      </c>
    </row>
    <row r="197" spans="2:65" s="365" customFormat="1" ht="16.5" customHeight="1" x14ac:dyDescent="0.25">
      <c r="B197" s="364"/>
      <c r="C197" s="457" t="s">
        <v>581</v>
      </c>
      <c r="D197" s="457" t="s">
        <v>259</v>
      </c>
      <c r="E197" s="458" t="s">
        <v>2294</v>
      </c>
      <c r="F197" s="459" t="s">
        <v>2295</v>
      </c>
      <c r="G197" s="460" t="s">
        <v>123</v>
      </c>
      <c r="H197" s="461">
        <v>72</v>
      </c>
      <c r="I197" s="330">
        <v>0</v>
      </c>
      <c r="J197" s="462">
        <f t="shared" si="60"/>
        <v>0</v>
      </c>
      <c r="K197" s="463"/>
      <c r="L197" s="464"/>
      <c r="M197" s="465" t="s">
        <v>171</v>
      </c>
      <c r="N197" s="466" t="s">
        <v>185</v>
      </c>
      <c r="O197" s="453">
        <v>0</v>
      </c>
      <c r="P197" s="453">
        <f t="shared" si="61"/>
        <v>0</v>
      </c>
      <c r="Q197" s="453">
        <v>3.0000000000000001E-5</v>
      </c>
      <c r="R197" s="453">
        <f t="shared" si="62"/>
        <v>2.16E-3</v>
      </c>
      <c r="S197" s="453">
        <v>0</v>
      </c>
      <c r="T197" s="454">
        <f t="shared" si="63"/>
        <v>0</v>
      </c>
      <c r="AR197" s="455" t="s">
        <v>1631</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1631</v>
      </c>
      <c r="BM197" s="455" t="s">
        <v>2514</v>
      </c>
    </row>
    <row r="198" spans="2:65" s="365" customFormat="1" ht="24.2" customHeight="1" x14ac:dyDescent="0.25">
      <c r="B198" s="364"/>
      <c r="C198" s="445" t="s">
        <v>585</v>
      </c>
      <c r="D198" s="445" t="s">
        <v>218</v>
      </c>
      <c r="E198" s="446" t="s">
        <v>2515</v>
      </c>
      <c r="F198" s="447" t="s">
        <v>2516</v>
      </c>
      <c r="G198" s="448" t="s">
        <v>123</v>
      </c>
      <c r="H198" s="449">
        <v>4</v>
      </c>
      <c r="I198" s="329">
        <v>0</v>
      </c>
      <c r="J198" s="450">
        <f t="shared" si="60"/>
        <v>0</v>
      </c>
      <c r="K198" s="451"/>
      <c r="L198" s="364"/>
      <c r="M198" s="452" t="s">
        <v>171</v>
      </c>
      <c r="N198" s="415" t="s">
        <v>185</v>
      </c>
      <c r="O198" s="453">
        <v>0.40500000000000003</v>
      </c>
      <c r="P198" s="453">
        <f t="shared" si="61"/>
        <v>1.62</v>
      </c>
      <c r="Q198" s="453">
        <v>0</v>
      </c>
      <c r="R198" s="453">
        <f t="shared" si="62"/>
        <v>0</v>
      </c>
      <c r="S198" s="453">
        <v>0</v>
      </c>
      <c r="T198" s="454">
        <f t="shared" si="63"/>
        <v>0</v>
      </c>
      <c r="AR198" s="455" t="s">
        <v>625</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625</v>
      </c>
      <c r="BM198" s="455" t="s">
        <v>2517</v>
      </c>
    </row>
    <row r="199" spans="2:65" s="365" customFormat="1" ht="16.5" customHeight="1" x14ac:dyDescent="0.25">
      <c r="B199" s="364"/>
      <c r="C199" s="457" t="s">
        <v>589</v>
      </c>
      <c r="D199" s="457" t="s">
        <v>259</v>
      </c>
      <c r="E199" s="458" t="s">
        <v>2518</v>
      </c>
      <c r="F199" s="459" t="s">
        <v>2519</v>
      </c>
      <c r="G199" s="460" t="s">
        <v>123</v>
      </c>
      <c r="H199" s="461">
        <v>4</v>
      </c>
      <c r="I199" s="330">
        <v>0</v>
      </c>
      <c r="J199" s="462">
        <f t="shared" si="60"/>
        <v>0</v>
      </c>
      <c r="K199" s="463"/>
      <c r="L199" s="464"/>
      <c r="M199" s="465" t="s">
        <v>171</v>
      </c>
      <c r="N199" s="466" t="s">
        <v>185</v>
      </c>
      <c r="O199" s="453">
        <v>0</v>
      </c>
      <c r="P199" s="453">
        <f t="shared" si="61"/>
        <v>0</v>
      </c>
      <c r="Q199" s="453">
        <v>1.1E-4</v>
      </c>
      <c r="R199" s="453">
        <f t="shared" si="62"/>
        <v>4.4000000000000002E-4</v>
      </c>
      <c r="S199" s="453">
        <v>0</v>
      </c>
      <c r="T199" s="454">
        <f t="shared" si="63"/>
        <v>0</v>
      </c>
      <c r="AR199" s="455" t="s">
        <v>1631</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1631</v>
      </c>
      <c r="BM199" s="455" t="s">
        <v>2520</v>
      </c>
    </row>
    <row r="200" spans="2:65" s="365" customFormat="1" ht="37.9" customHeight="1" x14ac:dyDescent="0.25">
      <c r="B200" s="364"/>
      <c r="C200" s="445" t="s">
        <v>593</v>
      </c>
      <c r="D200" s="445" t="s">
        <v>218</v>
      </c>
      <c r="E200" s="446" t="s">
        <v>2297</v>
      </c>
      <c r="F200" s="447" t="s">
        <v>2298</v>
      </c>
      <c r="G200" s="448" t="s">
        <v>123</v>
      </c>
      <c r="H200" s="449">
        <v>18</v>
      </c>
      <c r="I200" s="329">
        <v>0</v>
      </c>
      <c r="J200" s="450">
        <f t="shared" si="60"/>
        <v>0</v>
      </c>
      <c r="K200" s="451"/>
      <c r="L200" s="364"/>
      <c r="M200" s="452" t="s">
        <v>171</v>
      </c>
      <c r="N200" s="415" t="s">
        <v>185</v>
      </c>
      <c r="O200" s="453">
        <v>0.3</v>
      </c>
      <c r="P200" s="453">
        <f t="shared" si="61"/>
        <v>5.3999999999999995</v>
      </c>
      <c r="Q200" s="453">
        <v>0</v>
      </c>
      <c r="R200" s="453">
        <f t="shared" si="62"/>
        <v>0</v>
      </c>
      <c r="S200" s="453">
        <v>0</v>
      </c>
      <c r="T200" s="454">
        <f t="shared" si="63"/>
        <v>0</v>
      </c>
      <c r="AR200" s="455" t="s">
        <v>625</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625</v>
      </c>
      <c r="BM200" s="455" t="s">
        <v>2521</v>
      </c>
    </row>
    <row r="201" spans="2:65" s="365" customFormat="1" ht="24.2" customHeight="1" x14ac:dyDescent="0.25">
      <c r="B201" s="364"/>
      <c r="C201" s="457" t="s">
        <v>597</v>
      </c>
      <c r="D201" s="457" t="s">
        <v>259</v>
      </c>
      <c r="E201" s="458" t="s">
        <v>2300</v>
      </c>
      <c r="F201" s="459" t="s">
        <v>2301</v>
      </c>
      <c r="G201" s="460" t="s">
        <v>123</v>
      </c>
      <c r="H201" s="461">
        <v>18</v>
      </c>
      <c r="I201" s="330">
        <v>0</v>
      </c>
      <c r="J201" s="462">
        <f t="shared" si="60"/>
        <v>0</v>
      </c>
      <c r="K201" s="463"/>
      <c r="L201" s="464"/>
      <c r="M201" s="465" t="s">
        <v>171</v>
      </c>
      <c r="N201" s="466" t="s">
        <v>185</v>
      </c>
      <c r="O201" s="453">
        <v>0</v>
      </c>
      <c r="P201" s="453">
        <f t="shared" si="61"/>
        <v>0</v>
      </c>
      <c r="Q201" s="453">
        <v>1E-3</v>
      </c>
      <c r="R201" s="453">
        <f t="shared" si="62"/>
        <v>1.8000000000000002E-2</v>
      </c>
      <c r="S201" s="453">
        <v>0</v>
      </c>
      <c r="T201" s="454">
        <f t="shared" si="63"/>
        <v>0</v>
      </c>
      <c r="AR201" s="455" t="s">
        <v>1631</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1631</v>
      </c>
      <c r="BM201" s="455" t="s">
        <v>2522</v>
      </c>
    </row>
    <row r="202" spans="2:65" s="365" customFormat="1" ht="37.9" customHeight="1" x14ac:dyDescent="0.25">
      <c r="B202" s="364"/>
      <c r="C202" s="445" t="s">
        <v>601</v>
      </c>
      <c r="D202" s="445" t="s">
        <v>218</v>
      </c>
      <c r="E202" s="446" t="s">
        <v>2523</v>
      </c>
      <c r="F202" s="447" t="s">
        <v>2524</v>
      </c>
      <c r="G202" s="448" t="s">
        <v>123</v>
      </c>
      <c r="H202" s="449">
        <v>1</v>
      </c>
      <c r="I202" s="329">
        <v>0</v>
      </c>
      <c r="J202" s="450">
        <f t="shared" si="60"/>
        <v>0</v>
      </c>
      <c r="K202" s="451"/>
      <c r="L202" s="364"/>
      <c r="M202" s="452" t="s">
        <v>171</v>
      </c>
      <c r="N202" s="415" t="s">
        <v>185</v>
      </c>
      <c r="O202" s="453">
        <v>0.7</v>
      </c>
      <c r="P202" s="453">
        <f t="shared" si="61"/>
        <v>0.7</v>
      </c>
      <c r="Q202" s="453">
        <v>0</v>
      </c>
      <c r="R202" s="453">
        <f t="shared" si="62"/>
        <v>0</v>
      </c>
      <c r="S202" s="453">
        <v>0</v>
      </c>
      <c r="T202" s="454">
        <f t="shared" si="63"/>
        <v>0</v>
      </c>
      <c r="AR202" s="455" t="s">
        <v>625</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625</v>
      </c>
      <c r="BM202" s="455" t="s">
        <v>2525</v>
      </c>
    </row>
    <row r="203" spans="2:65" s="365" customFormat="1" ht="24.2" customHeight="1" x14ac:dyDescent="0.25">
      <c r="B203" s="364"/>
      <c r="C203" s="457" t="s">
        <v>605</v>
      </c>
      <c r="D203" s="457" t="s">
        <v>259</v>
      </c>
      <c r="E203" s="458" t="s">
        <v>2526</v>
      </c>
      <c r="F203" s="459" t="s">
        <v>2527</v>
      </c>
      <c r="G203" s="460" t="s">
        <v>123</v>
      </c>
      <c r="H203" s="461">
        <v>1</v>
      </c>
      <c r="I203" s="330">
        <v>0</v>
      </c>
      <c r="J203" s="462">
        <f t="shared" si="60"/>
        <v>0</v>
      </c>
      <c r="K203" s="463"/>
      <c r="L203" s="464"/>
      <c r="M203" s="465" t="s">
        <v>171</v>
      </c>
      <c r="N203" s="466" t="s">
        <v>185</v>
      </c>
      <c r="O203" s="453">
        <v>0</v>
      </c>
      <c r="P203" s="453">
        <f t="shared" si="61"/>
        <v>0</v>
      </c>
      <c r="Q203" s="453">
        <v>1E-3</v>
      </c>
      <c r="R203" s="453">
        <f t="shared" si="62"/>
        <v>1E-3</v>
      </c>
      <c r="S203" s="453">
        <v>0</v>
      </c>
      <c r="T203" s="454">
        <f t="shared" si="63"/>
        <v>0</v>
      </c>
      <c r="AR203" s="455" t="s">
        <v>1631</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1631</v>
      </c>
      <c r="BM203" s="455" t="s">
        <v>2528</v>
      </c>
    </row>
    <row r="204" spans="2:65" s="365" customFormat="1" ht="21.75" customHeight="1" x14ac:dyDescent="0.25">
      <c r="B204" s="364"/>
      <c r="C204" s="445" t="s">
        <v>609</v>
      </c>
      <c r="D204" s="445" t="s">
        <v>218</v>
      </c>
      <c r="E204" s="446" t="s">
        <v>2306</v>
      </c>
      <c r="F204" s="447" t="s">
        <v>2307</v>
      </c>
      <c r="G204" s="448" t="s">
        <v>123</v>
      </c>
      <c r="H204" s="449">
        <v>1</v>
      </c>
      <c r="I204" s="329">
        <v>0</v>
      </c>
      <c r="J204" s="450">
        <f t="shared" si="60"/>
        <v>0</v>
      </c>
      <c r="K204" s="451"/>
      <c r="L204" s="364"/>
      <c r="M204" s="452" t="s">
        <v>171</v>
      </c>
      <c r="N204" s="415" t="s">
        <v>185</v>
      </c>
      <c r="O204" s="453">
        <v>8.44</v>
      </c>
      <c r="P204" s="453">
        <f t="shared" si="61"/>
        <v>8.44</v>
      </c>
      <c r="Q204" s="453">
        <v>0</v>
      </c>
      <c r="R204" s="453">
        <f t="shared" si="62"/>
        <v>0</v>
      </c>
      <c r="S204" s="453">
        <v>0</v>
      </c>
      <c r="T204" s="454">
        <f t="shared" si="63"/>
        <v>0</v>
      </c>
      <c r="AR204" s="455" t="s">
        <v>625</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625</v>
      </c>
      <c r="BM204" s="455" t="s">
        <v>2529</v>
      </c>
    </row>
    <row r="205" spans="2:65" s="365" customFormat="1" ht="33" customHeight="1" x14ac:dyDescent="0.25">
      <c r="B205" s="364"/>
      <c r="C205" s="457" t="s">
        <v>613</v>
      </c>
      <c r="D205" s="457" t="s">
        <v>259</v>
      </c>
      <c r="E205" s="458" t="s">
        <v>2530</v>
      </c>
      <c r="F205" s="459" t="s">
        <v>2531</v>
      </c>
      <c r="G205" s="460" t="s">
        <v>123</v>
      </c>
      <c r="H205" s="461">
        <v>1</v>
      </c>
      <c r="I205" s="330">
        <v>0</v>
      </c>
      <c r="J205" s="462">
        <f t="shared" si="60"/>
        <v>0</v>
      </c>
      <c r="K205" s="463"/>
      <c r="L205" s="464"/>
      <c r="M205" s="465" t="s">
        <v>171</v>
      </c>
      <c r="N205" s="466" t="s">
        <v>185</v>
      </c>
      <c r="O205" s="453">
        <v>0</v>
      </c>
      <c r="P205" s="453">
        <f t="shared" si="61"/>
        <v>0</v>
      </c>
      <c r="Q205" s="453">
        <v>2.8000000000000001E-2</v>
      </c>
      <c r="R205" s="453">
        <f t="shared" si="62"/>
        <v>2.8000000000000001E-2</v>
      </c>
      <c r="S205" s="453">
        <v>0</v>
      </c>
      <c r="T205" s="454">
        <f t="shared" si="63"/>
        <v>0</v>
      </c>
      <c r="AR205" s="455" t="s">
        <v>1631</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1631</v>
      </c>
      <c r="BM205" s="455" t="s">
        <v>2532</v>
      </c>
    </row>
    <row r="206" spans="2:65" s="365" customFormat="1" ht="21.75" customHeight="1" x14ac:dyDescent="0.25">
      <c r="B206" s="364"/>
      <c r="C206" s="445" t="s">
        <v>617</v>
      </c>
      <c r="D206" s="445" t="s">
        <v>218</v>
      </c>
      <c r="E206" s="446" t="s">
        <v>2303</v>
      </c>
      <c r="F206" s="447" t="s">
        <v>2304</v>
      </c>
      <c r="G206" s="448" t="s">
        <v>123</v>
      </c>
      <c r="H206" s="449">
        <v>1</v>
      </c>
      <c r="I206" s="329">
        <v>0</v>
      </c>
      <c r="J206" s="450">
        <f t="shared" si="60"/>
        <v>0</v>
      </c>
      <c r="K206" s="451"/>
      <c r="L206" s="364"/>
      <c r="M206" s="452" t="s">
        <v>171</v>
      </c>
      <c r="N206" s="415" t="s">
        <v>185</v>
      </c>
      <c r="O206" s="453">
        <v>4.22</v>
      </c>
      <c r="P206" s="453">
        <f t="shared" si="61"/>
        <v>4.22</v>
      </c>
      <c r="Q206" s="453">
        <v>0</v>
      </c>
      <c r="R206" s="453">
        <f t="shared" si="62"/>
        <v>0</v>
      </c>
      <c r="S206" s="453">
        <v>0</v>
      </c>
      <c r="T206" s="454">
        <f t="shared" si="63"/>
        <v>0</v>
      </c>
      <c r="AR206" s="455" t="s">
        <v>625</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2533</v>
      </c>
    </row>
    <row r="207" spans="2:65" s="365" customFormat="1" ht="24.2" customHeight="1" x14ac:dyDescent="0.25">
      <c r="B207" s="364"/>
      <c r="C207" s="445" t="s">
        <v>621</v>
      </c>
      <c r="D207" s="445" t="s">
        <v>218</v>
      </c>
      <c r="E207" s="446" t="s">
        <v>2318</v>
      </c>
      <c r="F207" s="447" t="s">
        <v>2319</v>
      </c>
      <c r="G207" s="448" t="s">
        <v>123</v>
      </c>
      <c r="H207" s="449">
        <v>7</v>
      </c>
      <c r="I207" s="329">
        <v>0</v>
      </c>
      <c r="J207" s="450">
        <f t="shared" si="60"/>
        <v>0</v>
      </c>
      <c r="K207" s="451"/>
      <c r="L207" s="364"/>
      <c r="M207" s="452" t="s">
        <v>171</v>
      </c>
      <c r="N207" s="415" t="s">
        <v>185</v>
      </c>
      <c r="O207" s="453">
        <v>0.44</v>
      </c>
      <c r="P207" s="453">
        <f t="shared" si="61"/>
        <v>3.08</v>
      </c>
      <c r="Q207" s="453">
        <v>0</v>
      </c>
      <c r="R207" s="453">
        <f t="shared" si="62"/>
        <v>0</v>
      </c>
      <c r="S207" s="453">
        <v>0</v>
      </c>
      <c r="T207" s="454">
        <f t="shared" si="63"/>
        <v>0</v>
      </c>
      <c r="AR207" s="455" t="s">
        <v>625</v>
      </c>
      <c r="AT207" s="455" t="s">
        <v>218</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625</v>
      </c>
      <c r="BM207" s="455" t="s">
        <v>2534</v>
      </c>
    </row>
    <row r="208" spans="2:65" s="365" customFormat="1" ht="24.2" customHeight="1" x14ac:dyDescent="0.25">
      <c r="B208" s="364"/>
      <c r="C208" s="457" t="s">
        <v>625</v>
      </c>
      <c r="D208" s="457" t="s">
        <v>259</v>
      </c>
      <c r="E208" s="458" t="s">
        <v>2321</v>
      </c>
      <c r="F208" s="459" t="s">
        <v>2322</v>
      </c>
      <c r="G208" s="460" t="s">
        <v>123</v>
      </c>
      <c r="H208" s="461">
        <v>6</v>
      </c>
      <c r="I208" s="330">
        <v>0</v>
      </c>
      <c r="J208" s="462">
        <f t="shared" si="60"/>
        <v>0</v>
      </c>
      <c r="K208" s="463"/>
      <c r="L208" s="464"/>
      <c r="M208" s="465" t="s">
        <v>171</v>
      </c>
      <c r="N208" s="466" t="s">
        <v>185</v>
      </c>
      <c r="O208" s="453">
        <v>0</v>
      </c>
      <c r="P208" s="453">
        <f t="shared" si="61"/>
        <v>0</v>
      </c>
      <c r="Q208" s="453">
        <v>2.5000000000000001E-3</v>
      </c>
      <c r="R208" s="453">
        <f t="shared" si="62"/>
        <v>1.4999999999999999E-2</v>
      </c>
      <c r="S208" s="453">
        <v>0</v>
      </c>
      <c r="T208" s="454">
        <f t="shared" si="63"/>
        <v>0</v>
      </c>
      <c r="AR208" s="455" t="s">
        <v>1631</v>
      </c>
      <c r="AT208" s="455" t="s">
        <v>259</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1631</v>
      </c>
      <c r="BM208" s="455" t="s">
        <v>2535</v>
      </c>
    </row>
    <row r="209" spans="2:65" s="365" customFormat="1" ht="24.2" customHeight="1" x14ac:dyDescent="0.25">
      <c r="B209" s="364"/>
      <c r="C209" s="445" t="s">
        <v>629</v>
      </c>
      <c r="D209" s="445" t="s">
        <v>218</v>
      </c>
      <c r="E209" s="446" t="s">
        <v>2330</v>
      </c>
      <c r="F209" s="447" t="s">
        <v>2331</v>
      </c>
      <c r="G209" s="448" t="s">
        <v>123</v>
      </c>
      <c r="H209" s="449">
        <v>1</v>
      </c>
      <c r="I209" s="329">
        <v>0</v>
      </c>
      <c r="J209" s="450">
        <f t="shared" si="60"/>
        <v>0</v>
      </c>
      <c r="K209" s="451"/>
      <c r="L209" s="364"/>
      <c r="M209" s="452" t="s">
        <v>171</v>
      </c>
      <c r="N209" s="415" t="s">
        <v>185</v>
      </c>
      <c r="O209" s="453">
        <v>0.22</v>
      </c>
      <c r="P209" s="453">
        <f t="shared" si="61"/>
        <v>0.22</v>
      </c>
      <c r="Q209" s="453">
        <v>0</v>
      </c>
      <c r="R209" s="453">
        <f t="shared" si="62"/>
        <v>0</v>
      </c>
      <c r="S209" s="453">
        <v>0</v>
      </c>
      <c r="T209" s="454">
        <f t="shared" si="63"/>
        <v>0</v>
      </c>
      <c r="AR209" s="455" t="s">
        <v>625</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625</v>
      </c>
      <c r="BM209" s="455" t="s">
        <v>2536</v>
      </c>
    </row>
    <row r="210" spans="2:65" s="365" customFormat="1" ht="16.5" customHeight="1" x14ac:dyDescent="0.25">
      <c r="B210" s="364"/>
      <c r="C210" s="445" t="s">
        <v>634</v>
      </c>
      <c r="D210" s="445" t="s">
        <v>218</v>
      </c>
      <c r="E210" s="446" t="s">
        <v>2333</v>
      </c>
      <c r="F210" s="447" t="s">
        <v>2334</v>
      </c>
      <c r="G210" s="448" t="s">
        <v>123</v>
      </c>
      <c r="H210" s="449">
        <v>7</v>
      </c>
      <c r="I210" s="329">
        <v>0</v>
      </c>
      <c r="J210" s="450">
        <f t="shared" si="60"/>
        <v>0</v>
      </c>
      <c r="K210" s="451"/>
      <c r="L210" s="364"/>
      <c r="M210" s="452" t="s">
        <v>171</v>
      </c>
      <c r="N210" s="415" t="s">
        <v>185</v>
      </c>
      <c r="O210" s="453">
        <v>3.2160000000000002</v>
      </c>
      <c r="P210" s="453">
        <f t="shared" si="61"/>
        <v>22.512</v>
      </c>
      <c r="Q210" s="453">
        <v>0</v>
      </c>
      <c r="R210" s="453">
        <f t="shared" si="62"/>
        <v>0</v>
      </c>
      <c r="S210" s="453">
        <v>0</v>
      </c>
      <c r="T210" s="454">
        <f t="shared" si="63"/>
        <v>0</v>
      </c>
      <c r="AR210" s="455" t="s">
        <v>625</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625</v>
      </c>
      <c r="BM210" s="455" t="s">
        <v>2537</v>
      </c>
    </row>
    <row r="211" spans="2:65" s="365" customFormat="1" ht="33" customHeight="1" x14ac:dyDescent="0.25">
      <c r="B211" s="364"/>
      <c r="C211" s="457" t="s">
        <v>637</v>
      </c>
      <c r="D211" s="457" t="s">
        <v>259</v>
      </c>
      <c r="E211" s="458" t="s">
        <v>2339</v>
      </c>
      <c r="F211" s="459" t="s">
        <v>2340</v>
      </c>
      <c r="G211" s="460" t="s">
        <v>123</v>
      </c>
      <c r="H211" s="461">
        <v>1</v>
      </c>
      <c r="I211" s="330">
        <v>0</v>
      </c>
      <c r="J211" s="462">
        <f t="shared" si="60"/>
        <v>0</v>
      </c>
      <c r="K211" s="463"/>
      <c r="L211" s="464"/>
      <c r="M211" s="465" t="s">
        <v>171</v>
      </c>
      <c r="N211" s="466" t="s">
        <v>185</v>
      </c>
      <c r="O211" s="453">
        <v>0</v>
      </c>
      <c r="P211" s="453">
        <f t="shared" si="61"/>
        <v>0</v>
      </c>
      <c r="Q211" s="453">
        <v>0.17397000000000001</v>
      </c>
      <c r="R211" s="453">
        <f t="shared" si="62"/>
        <v>0.17397000000000001</v>
      </c>
      <c r="S211" s="453">
        <v>0</v>
      </c>
      <c r="T211" s="454">
        <f t="shared" si="63"/>
        <v>0</v>
      </c>
      <c r="AR211" s="455" t="s">
        <v>1631</v>
      </c>
      <c r="AT211" s="455" t="s">
        <v>259</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1631</v>
      </c>
      <c r="BM211" s="455" t="s">
        <v>2538</v>
      </c>
    </row>
    <row r="212" spans="2:65" s="365" customFormat="1" ht="33" customHeight="1" x14ac:dyDescent="0.25">
      <c r="B212" s="364"/>
      <c r="C212" s="457" t="s">
        <v>640</v>
      </c>
      <c r="D212" s="457" t="s">
        <v>259</v>
      </c>
      <c r="E212" s="458" t="s">
        <v>2336</v>
      </c>
      <c r="F212" s="459" t="s">
        <v>2337</v>
      </c>
      <c r="G212" s="460" t="s">
        <v>123</v>
      </c>
      <c r="H212" s="461">
        <v>6</v>
      </c>
      <c r="I212" s="330">
        <v>0</v>
      </c>
      <c r="J212" s="462">
        <f t="shared" si="60"/>
        <v>0</v>
      </c>
      <c r="K212" s="463"/>
      <c r="L212" s="464"/>
      <c r="M212" s="465" t="s">
        <v>171</v>
      </c>
      <c r="N212" s="466" t="s">
        <v>185</v>
      </c>
      <c r="O212" s="453">
        <v>0</v>
      </c>
      <c r="P212" s="453">
        <f t="shared" si="61"/>
        <v>0</v>
      </c>
      <c r="Q212" s="453">
        <v>0.16800000000000001</v>
      </c>
      <c r="R212" s="453">
        <f t="shared" si="62"/>
        <v>1.008</v>
      </c>
      <c r="S212" s="453">
        <v>0</v>
      </c>
      <c r="T212" s="454">
        <f t="shared" si="63"/>
        <v>0</v>
      </c>
      <c r="AR212" s="455" t="s">
        <v>1631</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1631</v>
      </c>
      <c r="BM212" s="455" t="s">
        <v>2539</v>
      </c>
    </row>
    <row r="213" spans="2:65" s="365" customFormat="1" ht="21.75" customHeight="1" x14ac:dyDescent="0.25">
      <c r="B213" s="364"/>
      <c r="C213" s="445" t="s">
        <v>644</v>
      </c>
      <c r="D213" s="445" t="s">
        <v>218</v>
      </c>
      <c r="E213" s="446" t="s">
        <v>2345</v>
      </c>
      <c r="F213" s="447" t="s">
        <v>2346</v>
      </c>
      <c r="G213" s="448" t="s">
        <v>123</v>
      </c>
      <c r="H213" s="449">
        <v>1</v>
      </c>
      <c r="I213" s="329">
        <v>0</v>
      </c>
      <c r="J213" s="450">
        <f t="shared" si="60"/>
        <v>0</v>
      </c>
      <c r="K213" s="451"/>
      <c r="L213" s="364"/>
      <c r="M213" s="452" t="s">
        <v>171</v>
      </c>
      <c r="N213" s="415" t="s">
        <v>185</v>
      </c>
      <c r="O213" s="453">
        <v>1.6080000000000001</v>
      </c>
      <c r="P213" s="453">
        <f t="shared" si="61"/>
        <v>1.6080000000000001</v>
      </c>
      <c r="Q213" s="453">
        <v>0</v>
      </c>
      <c r="R213" s="453">
        <f t="shared" si="62"/>
        <v>0</v>
      </c>
      <c r="S213" s="453">
        <v>0</v>
      </c>
      <c r="T213" s="454">
        <f t="shared" si="63"/>
        <v>0</v>
      </c>
      <c r="AR213" s="455" t="s">
        <v>625</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625</v>
      </c>
      <c r="BM213" s="455" t="s">
        <v>2540</v>
      </c>
    </row>
    <row r="214" spans="2:65" s="365" customFormat="1" ht="16.5" customHeight="1" x14ac:dyDescent="0.25">
      <c r="B214" s="364"/>
      <c r="C214" s="445" t="s">
        <v>645</v>
      </c>
      <c r="D214" s="445" t="s">
        <v>218</v>
      </c>
      <c r="E214" s="446" t="s">
        <v>2357</v>
      </c>
      <c r="F214" s="447" t="s">
        <v>2358</v>
      </c>
      <c r="G214" s="448" t="s">
        <v>123</v>
      </c>
      <c r="H214" s="449">
        <v>7</v>
      </c>
      <c r="I214" s="329">
        <v>0</v>
      </c>
      <c r="J214" s="450">
        <f t="shared" si="60"/>
        <v>0</v>
      </c>
      <c r="K214" s="451"/>
      <c r="L214" s="364"/>
      <c r="M214" s="452" t="s">
        <v>171</v>
      </c>
      <c r="N214" s="415" t="s">
        <v>185</v>
      </c>
      <c r="O214" s="453">
        <v>1.3340000000000001</v>
      </c>
      <c r="P214" s="453">
        <f t="shared" si="61"/>
        <v>9.338000000000001</v>
      </c>
      <c r="Q214" s="453">
        <v>0</v>
      </c>
      <c r="R214" s="453">
        <f t="shared" si="62"/>
        <v>0</v>
      </c>
      <c r="S214" s="453">
        <v>0</v>
      </c>
      <c r="T214" s="454">
        <f t="shared" si="63"/>
        <v>0</v>
      </c>
      <c r="AR214" s="455" t="s">
        <v>625</v>
      </c>
      <c r="AT214" s="455" t="s">
        <v>218</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625</v>
      </c>
      <c r="BM214" s="455" t="s">
        <v>2541</v>
      </c>
    </row>
    <row r="215" spans="2:65" s="365" customFormat="1" ht="24.2" customHeight="1" x14ac:dyDescent="0.25">
      <c r="B215" s="364"/>
      <c r="C215" s="457" t="s">
        <v>651</v>
      </c>
      <c r="D215" s="457" t="s">
        <v>259</v>
      </c>
      <c r="E215" s="458" t="s">
        <v>2360</v>
      </c>
      <c r="F215" s="459" t="s">
        <v>2361</v>
      </c>
      <c r="G215" s="460" t="s">
        <v>123</v>
      </c>
      <c r="H215" s="461">
        <v>7</v>
      </c>
      <c r="I215" s="330">
        <v>0</v>
      </c>
      <c r="J215" s="462">
        <f t="shared" si="60"/>
        <v>0</v>
      </c>
      <c r="K215" s="463"/>
      <c r="L215" s="464"/>
      <c r="M215" s="465" t="s">
        <v>171</v>
      </c>
      <c r="N215" s="466" t="s">
        <v>185</v>
      </c>
      <c r="O215" s="453">
        <v>0</v>
      </c>
      <c r="P215" s="453">
        <f t="shared" si="61"/>
        <v>0</v>
      </c>
      <c r="Q215" s="453">
        <v>0</v>
      </c>
      <c r="R215" s="453">
        <f t="shared" si="62"/>
        <v>0</v>
      </c>
      <c r="S215" s="453">
        <v>0</v>
      </c>
      <c r="T215" s="454">
        <f t="shared" si="63"/>
        <v>0</v>
      </c>
      <c r="AR215" s="455" t="s">
        <v>1631</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1631</v>
      </c>
      <c r="BM215" s="455" t="s">
        <v>2542</v>
      </c>
    </row>
    <row r="216" spans="2:65" s="365" customFormat="1" ht="16.5" customHeight="1" x14ac:dyDescent="0.25">
      <c r="B216" s="364"/>
      <c r="C216" s="457" t="s">
        <v>655</v>
      </c>
      <c r="D216" s="457" t="s">
        <v>259</v>
      </c>
      <c r="E216" s="458" t="s">
        <v>2363</v>
      </c>
      <c r="F216" s="459" t="s">
        <v>2364</v>
      </c>
      <c r="G216" s="460" t="s">
        <v>123</v>
      </c>
      <c r="H216" s="461">
        <v>14</v>
      </c>
      <c r="I216" s="330">
        <v>0</v>
      </c>
      <c r="J216" s="462">
        <f t="shared" si="60"/>
        <v>0</v>
      </c>
      <c r="K216" s="463"/>
      <c r="L216" s="464"/>
      <c r="M216" s="465" t="s">
        <v>171</v>
      </c>
      <c r="N216" s="466" t="s">
        <v>185</v>
      </c>
      <c r="O216" s="453">
        <v>0</v>
      </c>
      <c r="P216" s="453">
        <f t="shared" si="61"/>
        <v>0</v>
      </c>
      <c r="Q216" s="453">
        <v>6.0000000000000002E-5</v>
      </c>
      <c r="R216" s="453">
        <f t="shared" si="62"/>
        <v>8.4000000000000003E-4</v>
      </c>
      <c r="S216" s="453">
        <v>0</v>
      </c>
      <c r="T216" s="454">
        <f t="shared" si="63"/>
        <v>0</v>
      </c>
      <c r="AR216" s="455" t="s">
        <v>1631</v>
      </c>
      <c r="AT216" s="455" t="s">
        <v>259</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1631</v>
      </c>
      <c r="BM216" s="455" t="s">
        <v>2543</v>
      </c>
    </row>
    <row r="217" spans="2:65" s="365" customFormat="1" ht="16.5" customHeight="1" x14ac:dyDescent="0.25">
      <c r="B217" s="364"/>
      <c r="C217" s="445" t="s">
        <v>659</v>
      </c>
      <c r="D217" s="445" t="s">
        <v>218</v>
      </c>
      <c r="E217" s="446" t="s">
        <v>2366</v>
      </c>
      <c r="F217" s="447" t="s">
        <v>2367</v>
      </c>
      <c r="G217" s="448" t="s">
        <v>123</v>
      </c>
      <c r="H217" s="449">
        <v>1</v>
      </c>
      <c r="I217" s="329">
        <v>0</v>
      </c>
      <c r="J217" s="450">
        <f t="shared" si="60"/>
        <v>0</v>
      </c>
      <c r="K217" s="451"/>
      <c r="L217" s="364"/>
      <c r="M217" s="452" t="s">
        <v>171</v>
      </c>
      <c r="N217" s="415" t="s">
        <v>185</v>
      </c>
      <c r="O217" s="453">
        <v>0.66700000000000004</v>
      </c>
      <c r="P217" s="453">
        <f t="shared" si="61"/>
        <v>0.66700000000000004</v>
      </c>
      <c r="Q217" s="453">
        <v>0</v>
      </c>
      <c r="R217" s="453">
        <f t="shared" si="62"/>
        <v>0</v>
      </c>
      <c r="S217" s="453">
        <v>0</v>
      </c>
      <c r="T217" s="454">
        <f t="shared" si="63"/>
        <v>0</v>
      </c>
      <c r="AR217" s="455" t="s">
        <v>625</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625</v>
      </c>
      <c r="BM217" s="455" t="s">
        <v>2544</v>
      </c>
    </row>
    <row r="218" spans="2:65" s="365" customFormat="1" ht="24.2" customHeight="1" x14ac:dyDescent="0.25">
      <c r="B218" s="364"/>
      <c r="C218" s="445" t="s">
        <v>664</v>
      </c>
      <c r="D218" s="445" t="s">
        <v>218</v>
      </c>
      <c r="E218" s="446" t="s">
        <v>2369</v>
      </c>
      <c r="F218" s="447" t="s">
        <v>2370</v>
      </c>
      <c r="G218" s="448" t="s">
        <v>113</v>
      </c>
      <c r="H218" s="449">
        <v>10.5</v>
      </c>
      <c r="I218" s="329">
        <v>0</v>
      </c>
      <c r="J218" s="450">
        <f t="shared" si="60"/>
        <v>0</v>
      </c>
      <c r="K218" s="451"/>
      <c r="L218" s="364"/>
      <c r="M218" s="452" t="s">
        <v>171</v>
      </c>
      <c r="N218" s="415" t="s">
        <v>185</v>
      </c>
      <c r="O218" s="453">
        <v>0.15</v>
      </c>
      <c r="P218" s="453">
        <f t="shared" si="61"/>
        <v>1.575</v>
      </c>
      <c r="Q218" s="453">
        <v>0</v>
      </c>
      <c r="R218" s="453">
        <f t="shared" si="62"/>
        <v>0</v>
      </c>
      <c r="S218" s="453">
        <v>0</v>
      </c>
      <c r="T218" s="454">
        <f t="shared" si="63"/>
        <v>0</v>
      </c>
      <c r="AR218" s="455" t="s">
        <v>625</v>
      </c>
      <c r="AT218" s="455" t="s">
        <v>218</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625</v>
      </c>
      <c r="BM218" s="455" t="s">
        <v>2545</v>
      </c>
    </row>
    <row r="219" spans="2:65" s="365" customFormat="1" ht="16.5" customHeight="1" x14ac:dyDescent="0.25">
      <c r="B219" s="364"/>
      <c r="C219" s="457" t="s">
        <v>670</v>
      </c>
      <c r="D219" s="457" t="s">
        <v>259</v>
      </c>
      <c r="E219" s="458" t="s">
        <v>2372</v>
      </c>
      <c r="F219" s="459" t="s">
        <v>2373</v>
      </c>
      <c r="G219" s="460" t="s">
        <v>536</v>
      </c>
      <c r="H219" s="461">
        <v>7.35</v>
      </c>
      <c r="I219" s="330">
        <v>0</v>
      </c>
      <c r="J219" s="462">
        <f t="shared" si="60"/>
        <v>0</v>
      </c>
      <c r="K219" s="463"/>
      <c r="L219" s="464"/>
      <c r="M219" s="465" t="s">
        <v>171</v>
      </c>
      <c r="N219" s="466" t="s">
        <v>185</v>
      </c>
      <c r="O219" s="453">
        <v>0</v>
      </c>
      <c r="P219" s="453">
        <f t="shared" si="61"/>
        <v>0</v>
      </c>
      <c r="Q219" s="453">
        <v>1E-3</v>
      </c>
      <c r="R219" s="453">
        <f t="shared" si="62"/>
        <v>7.3499999999999998E-3</v>
      </c>
      <c r="S219" s="453">
        <v>0</v>
      </c>
      <c r="T219" s="454">
        <f t="shared" si="63"/>
        <v>0</v>
      </c>
      <c r="AR219" s="455" t="s">
        <v>1631</v>
      </c>
      <c r="AT219" s="455" t="s">
        <v>259</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1631</v>
      </c>
      <c r="BM219" s="455" t="s">
        <v>2546</v>
      </c>
    </row>
    <row r="220" spans="2:65" s="365" customFormat="1" ht="24.2" customHeight="1" x14ac:dyDescent="0.25">
      <c r="B220" s="364"/>
      <c r="C220" s="445" t="s">
        <v>674</v>
      </c>
      <c r="D220" s="445" t="s">
        <v>218</v>
      </c>
      <c r="E220" s="446" t="s">
        <v>2375</v>
      </c>
      <c r="F220" s="447" t="s">
        <v>2376</v>
      </c>
      <c r="G220" s="448" t="s">
        <v>113</v>
      </c>
      <c r="H220" s="449">
        <v>351</v>
      </c>
      <c r="I220" s="329">
        <v>0</v>
      </c>
      <c r="J220" s="450">
        <f t="shared" si="60"/>
        <v>0</v>
      </c>
      <c r="K220" s="451"/>
      <c r="L220" s="364"/>
      <c r="M220" s="452" t="s">
        <v>171</v>
      </c>
      <c r="N220" s="415" t="s">
        <v>185</v>
      </c>
      <c r="O220" s="453">
        <v>0.11799999999999999</v>
      </c>
      <c r="P220" s="453">
        <f t="shared" si="61"/>
        <v>41.417999999999999</v>
      </c>
      <c r="Q220" s="453">
        <v>0</v>
      </c>
      <c r="R220" s="453">
        <f t="shared" si="62"/>
        <v>0</v>
      </c>
      <c r="S220" s="453">
        <v>0</v>
      </c>
      <c r="T220" s="454">
        <f t="shared" si="63"/>
        <v>0</v>
      </c>
      <c r="AR220" s="455" t="s">
        <v>625</v>
      </c>
      <c r="AT220" s="455" t="s">
        <v>218</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625</v>
      </c>
      <c r="BM220" s="455" t="s">
        <v>2547</v>
      </c>
    </row>
    <row r="221" spans="2:65" s="365" customFormat="1" ht="16.5" customHeight="1" x14ac:dyDescent="0.25">
      <c r="B221" s="364"/>
      <c r="C221" s="457" t="s">
        <v>678</v>
      </c>
      <c r="D221" s="457" t="s">
        <v>259</v>
      </c>
      <c r="E221" s="458" t="s">
        <v>2378</v>
      </c>
      <c r="F221" s="459" t="s">
        <v>2379</v>
      </c>
      <c r="G221" s="460" t="s">
        <v>536</v>
      </c>
      <c r="H221" s="461">
        <v>330.642</v>
      </c>
      <c r="I221" s="330">
        <v>0</v>
      </c>
      <c r="J221" s="462">
        <f t="shared" si="60"/>
        <v>0</v>
      </c>
      <c r="K221" s="463"/>
      <c r="L221" s="464"/>
      <c r="M221" s="465" t="s">
        <v>171</v>
      </c>
      <c r="N221" s="466" t="s">
        <v>185</v>
      </c>
      <c r="O221" s="453">
        <v>0</v>
      </c>
      <c r="P221" s="453">
        <f t="shared" si="61"/>
        <v>0</v>
      </c>
      <c r="Q221" s="453">
        <v>1E-3</v>
      </c>
      <c r="R221" s="453">
        <f t="shared" si="62"/>
        <v>0.33064199999999999</v>
      </c>
      <c r="S221" s="453">
        <v>0</v>
      </c>
      <c r="T221" s="454">
        <f t="shared" si="63"/>
        <v>0</v>
      </c>
      <c r="AR221" s="455" t="s">
        <v>1631</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1631</v>
      </c>
      <c r="BM221" s="455" t="s">
        <v>2548</v>
      </c>
    </row>
    <row r="222" spans="2:65" s="365" customFormat="1" ht="16.5" customHeight="1" x14ac:dyDescent="0.25">
      <c r="B222" s="364"/>
      <c r="C222" s="445" t="s">
        <v>903</v>
      </c>
      <c r="D222" s="445" t="s">
        <v>218</v>
      </c>
      <c r="E222" s="446" t="s">
        <v>2387</v>
      </c>
      <c r="F222" s="447" t="s">
        <v>2388</v>
      </c>
      <c r="G222" s="448" t="s">
        <v>123</v>
      </c>
      <c r="H222" s="449">
        <v>9</v>
      </c>
      <c r="I222" s="329">
        <v>0</v>
      </c>
      <c r="J222" s="450">
        <f t="shared" si="60"/>
        <v>0</v>
      </c>
      <c r="K222" s="451"/>
      <c r="L222" s="364"/>
      <c r="M222" s="452" t="s">
        <v>171</v>
      </c>
      <c r="N222" s="415" t="s">
        <v>185</v>
      </c>
      <c r="O222" s="453">
        <v>0.11700000000000001</v>
      </c>
      <c r="P222" s="453">
        <f t="shared" si="61"/>
        <v>1.0530000000000002</v>
      </c>
      <c r="Q222" s="453">
        <v>0</v>
      </c>
      <c r="R222" s="453">
        <f t="shared" si="62"/>
        <v>0</v>
      </c>
      <c r="S222" s="453">
        <v>0</v>
      </c>
      <c r="T222" s="454">
        <f t="shared" si="63"/>
        <v>0</v>
      </c>
      <c r="AR222" s="455" t="s">
        <v>625</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625</v>
      </c>
      <c r="BM222" s="455" t="s">
        <v>2549</v>
      </c>
    </row>
    <row r="223" spans="2:65" s="365" customFormat="1" ht="16.5" customHeight="1" x14ac:dyDescent="0.25">
      <c r="B223" s="364"/>
      <c r="C223" s="457" t="s">
        <v>907</v>
      </c>
      <c r="D223" s="457" t="s">
        <v>259</v>
      </c>
      <c r="E223" s="458" t="s">
        <v>2390</v>
      </c>
      <c r="F223" s="459" t="s">
        <v>2391</v>
      </c>
      <c r="G223" s="460" t="s">
        <v>123</v>
      </c>
      <c r="H223" s="461">
        <v>9</v>
      </c>
      <c r="I223" s="330">
        <v>0</v>
      </c>
      <c r="J223" s="462">
        <f t="shared" si="60"/>
        <v>0</v>
      </c>
      <c r="K223" s="463"/>
      <c r="L223" s="464"/>
      <c r="M223" s="465" t="s">
        <v>171</v>
      </c>
      <c r="N223" s="466" t="s">
        <v>185</v>
      </c>
      <c r="O223" s="453">
        <v>0</v>
      </c>
      <c r="P223" s="453">
        <f t="shared" si="61"/>
        <v>0</v>
      </c>
      <c r="Q223" s="453">
        <v>1.3999999999999999E-4</v>
      </c>
      <c r="R223" s="453">
        <f t="shared" si="62"/>
        <v>1.2599999999999998E-3</v>
      </c>
      <c r="S223" s="453">
        <v>0</v>
      </c>
      <c r="T223" s="454">
        <f t="shared" si="63"/>
        <v>0</v>
      </c>
      <c r="AR223" s="455" t="s">
        <v>1631</v>
      </c>
      <c r="AT223" s="455" t="s">
        <v>259</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1631</v>
      </c>
      <c r="BM223" s="455" t="s">
        <v>2550</v>
      </c>
    </row>
    <row r="224" spans="2:65" s="365" customFormat="1" ht="21.75" customHeight="1" x14ac:dyDescent="0.25">
      <c r="B224" s="364"/>
      <c r="C224" s="445" t="s">
        <v>911</v>
      </c>
      <c r="D224" s="445" t="s">
        <v>218</v>
      </c>
      <c r="E224" s="446" t="s">
        <v>2393</v>
      </c>
      <c r="F224" s="447" t="s">
        <v>2394</v>
      </c>
      <c r="G224" s="448" t="s">
        <v>113</v>
      </c>
      <c r="H224" s="449">
        <v>345</v>
      </c>
      <c r="I224" s="329">
        <v>0</v>
      </c>
      <c r="J224" s="450">
        <f t="shared" si="60"/>
        <v>0</v>
      </c>
      <c r="K224" s="451"/>
      <c r="L224" s="364"/>
      <c r="M224" s="452" t="s">
        <v>171</v>
      </c>
      <c r="N224" s="415" t="s">
        <v>185</v>
      </c>
      <c r="O224" s="453">
        <v>5.1999999999999998E-2</v>
      </c>
      <c r="P224" s="453">
        <f t="shared" si="61"/>
        <v>17.939999999999998</v>
      </c>
      <c r="Q224" s="453">
        <v>0</v>
      </c>
      <c r="R224" s="453">
        <f t="shared" si="62"/>
        <v>0</v>
      </c>
      <c r="S224" s="453">
        <v>0</v>
      </c>
      <c r="T224" s="454">
        <f t="shared" si="63"/>
        <v>0</v>
      </c>
      <c r="AR224" s="455" t="s">
        <v>625</v>
      </c>
      <c r="AT224" s="455" t="s">
        <v>218</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625</v>
      </c>
      <c r="BM224" s="455" t="s">
        <v>2551</v>
      </c>
    </row>
    <row r="225" spans="2:65" s="365" customFormat="1" ht="16.5" customHeight="1" x14ac:dyDescent="0.25">
      <c r="B225" s="364"/>
      <c r="C225" s="457" t="s">
        <v>915</v>
      </c>
      <c r="D225" s="457" t="s">
        <v>259</v>
      </c>
      <c r="E225" s="458" t="s">
        <v>2396</v>
      </c>
      <c r="F225" s="459" t="s">
        <v>2397</v>
      </c>
      <c r="G225" s="460" t="s">
        <v>113</v>
      </c>
      <c r="H225" s="461">
        <v>345</v>
      </c>
      <c r="I225" s="330">
        <v>0</v>
      </c>
      <c r="J225" s="462">
        <f t="shared" si="60"/>
        <v>0</v>
      </c>
      <c r="K225" s="463"/>
      <c r="L225" s="464"/>
      <c r="M225" s="465" t="s">
        <v>171</v>
      </c>
      <c r="N225" s="466" t="s">
        <v>185</v>
      </c>
      <c r="O225" s="453">
        <v>0</v>
      </c>
      <c r="P225" s="453">
        <f t="shared" si="61"/>
        <v>0</v>
      </c>
      <c r="Q225" s="453">
        <v>6.2E-4</v>
      </c>
      <c r="R225" s="453">
        <f t="shared" si="62"/>
        <v>0.21390000000000001</v>
      </c>
      <c r="S225" s="453">
        <v>0</v>
      </c>
      <c r="T225" s="454">
        <f t="shared" si="63"/>
        <v>0</v>
      </c>
      <c r="AR225" s="455" t="s">
        <v>1631</v>
      </c>
      <c r="AT225" s="455" t="s">
        <v>259</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1631</v>
      </c>
      <c r="BM225" s="455" t="s">
        <v>2552</v>
      </c>
    </row>
    <row r="226" spans="2:65" s="365" customFormat="1" ht="21.75" customHeight="1" x14ac:dyDescent="0.25">
      <c r="B226" s="364"/>
      <c r="C226" s="445" t="s">
        <v>919</v>
      </c>
      <c r="D226" s="445" t="s">
        <v>218</v>
      </c>
      <c r="E226" s="446" t="s">
        <v>2405</v>
      </c>
      <c r="F226" s="447" t="s">
        <v>2406</v>
      </c>
      <c r="G226" s="448" t="s">
        <v>113</v>
      </c>
      <c r="H226" s="449">
        <v>414.1</v>
      </c>
      <c r="I226" s="329">
        <v>0</v>
      </c>
      <c r="J226" s="450">
        <f t="shared" si="60"/>
        <v>0</v>
      </c>
      <c r="K226" s="451"/>
      <c r="L226" s="364"/>
      <c r="M226" s="452" t="s">
        <v>171</v>
      </c>
      <c r="N226" s="415" t="s">
        <v>185</v>
      </c>
      <c r="O226" s="453">
        <v>0.02</v>
      </c>
      <c r="P226" s="453">
        <f t="shared" si="61"/>
        <v>8.282</v>
      </c>
      <c r="Q226" s="453">
        <v>0</v>
      </c>
      <c r="R226" s="453">
        <f t="shared" si="62"/>
        <v>0</v>
      </c>
      <c r="S226" s="453">
        <v>0</v>
      </c>
      <c r="T226" s="454">
        <f t="shared" si="63"/>
        <v>0</v>
      </c>
      <c r="AR226" s="455" t="s">
        <v>625</v>
      </c>
      <c r="AT226" s="455" t="s">
        <v>218</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625</v>
      </c>
      <c r="BM226" s="455" t="s">
        <v>2553</v>
      </c>
    </row>
    <row r="227" spans="2:65" s="365" customFormat="1" ht="21.75" customHeight="1" x14ac:dyDescent="0.25">
      <c r="B227" s="364"/>
      <c r="C227" s="445" t="s">
        <v>923</v>
      </c>
      <c r="D227" s="445" t="s">
        <v>218</v>
      </c>
      <c r="E227" s="446" t="s">
        <v>2554</v>
      </c>
      <c r="F227" s="447" t="s">
        <v>2555</v>
      </c>
      <c r="G227" s="448" t="s">
        <v>113</v>
      </c>
      <c r="H227" s="449">
        <v>20</v>
      </c>
      <c r="I227" s="329">
        <v>0</v>
      </c>
      <c r="J227" s="450">
        <f t="shared" si="60"/>
        <v>0</v>
      </c>
      <c r="K227" s="451"/>
      <c r="L227" s="364"/>
      <c r="M227" s="452" t="s">
        <v>171</v>
      </c>
      <c r="N227" s="415" t="s">
        <v>185</v>
      </c>
      <c r="O227" s="453">
        <v>0.08</v>
      </c>
      <c r="P227" s="453">
        <f t="shared" si="61"/>
        <v>1.6</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2556</v>
      </c>
    </row>
    <row r="228" spans="2:65" s="434" customFormat="1" ht="22.9" customHeight="1" x14ac:dyDescent="0.2">
      <c r="B228" s="433"/>
      <c r="D228" s="435" t="s">
        <v>216</v>
      </c>
      <c r="E228" s="443" t="s">
        <v>1770</v>
      </c>
      <c r="F228" s="443" t="s">
        <v>1771</v>
      </c>
      <c r="I228" s="331"/>
      <c r="J228" s="444">
        <f>BK228</f>
        <v>0</v>
      </c>
      <c r="L228" s="433"/>
      <c r="M228" s="438"/>
      <c r="P228" s="439">
        <f>SUM(P229:P243)</f>
        <v>738.12588149999988</v>
      </c>
      <c r="R228" s="439">
        <f>SUM(R229:R243)</f>
        <v>35.280639999999998</v>
      </c>
      <c r="T228" s="440">
        <f>SUM(T229:T243)</f>
        <v>0</v>
      </c>
      <c r="AR228" s="435" t="s">
        <v>119</v>
      </c>
      <c r="AT228" s="441" t="s">
        <v>216</v>
      </c>
      <c r="AU228" s="441" t="s">
        <v>109</v>
      </c>
      <c r="AY228" s="435" t="s">
        <v>217</v>
      </c>
      <c r="BK228" s="442">
        <f>SUM(BK229:BK243)</f>
        <v>0</v>
      </c>
    </row>
    <row r="229" spans="2:65" s="365" customFormat="1" ht="24.2" customHeight="1" x14ac:dyDescent="0.25">
      <c r="B229" s="364"/>
      <c r="C229" s="445" t="s">
        <v>925</v>
      </c>
      <c r="D229" s="445" t="s">
        <v>218</v>
      </c>
      <c r="E229" s="446" t="s">
        <v>1787</v>
      </c>
      <c r="F229" s="447" t="s">
        <v>1788</v>
      </c>
      <c r="G229" s="448" t="s">
        <v>114</v>
      </c>
      <c r="H229" s="449">
        <v>6.5970000000000004</v>
      </c>
      <c r="I229" s="329">
        <v>0</v>
      </c>
      <c r="J229" s="450">
        <f t="shared" ref="J229:J243" si="70">ROUND(I229*H229,2)</f>
        <v>0</v>
      </c>
      <c r="K229" s="451"/>
      <c r="L229" s="364"/>
      <c r="M229" s="452" t="s">
        <v>171</v>
      </c>
      <c r="N229" s="415" t="s">
        <v>185</v>
      </c>
      <c r="O229" s="453">
        <v>2.9211</v>
      </c>
      <c r="P229" s="453">
        <f t="shared" ref="P229:P243" si="71">O229*H229</f>
        <v>19.270496700000002</v>
      </c>
      <c r="Q229" s="453">
        <v>0</v>
      </c>
      <c r="R229" s="453">
        <f t="shared" ref="R229:R243" si="72">Q229*H229</f>
        <v>0</v>
      </c>
      <c r="S229" s="453">
        <v>0</v>
      </c>
      <c r="T229" s="454">
        <f t="shared" ref="T229:T243" si="73">S229*H229</f>
        <v>0</v>
      </c>
      <c r="AR229" s="455" t="s">
        <v>625</v>
      </c>
      <c r="AT229" s="455" t="s">
        <v>218</v>
      </c>
      <c r="AU229" s="455" t="s">
        <v>108</v>
      </c>
      <c r="AY229" s="357" t="s">
        <v>217</v>
      </c>
      <c r="BE229" s="456">
        <f t="shared" ref="BE229:BE243" si="74">IF(N229="základná",J229,0)</f>
        <v>0</v>
      </c>
      <c r="BF229" s="456">
        <f t="shared" ref="BF229:BF243" si="75">IF(N229="znížená",J229,0)</f>
        <v>0</v>
      </c>
      <c r="BG229" s="456">
        <f t="shared" ref="BG229:BG243" si="76">IF(N229="zákl. prenesená",J229,0)</f>
        <v>0</v>
      </c>
      <c r="BH229" s="456">
        <f t="shared" ref="BH229:BH243" si="77">IF(N229="zníž. prenesená",J229,0)</f>
        <v>0</v>
      </c>
      <c r="BI229" s="456">
        <f t="shared" ref="BI229:BI243" si="78">IF(N229="nulová",J229,0)</f>
        <v>0</v>
      </c>
      <c r="BJ229" s="357" t="s">
        <v>108</v>
      </c>
      <c r="BK229" s="456">
        <f t="shared" ref="BK229:BK243" si="79">ROUND(I229*H229,2)</f>
        <v>0</v>
      </c>
      <c r="BL229" s="357" t="s">
        <v>625</v>
      </c>
      <c r="BM229" s="455" t="s">
        <v>2557</v>
      </c>
    </row>
    <row r="230" spans="2:65" s="365" customFormat="1" ht="24.2" customHeight="1" x14ac:dyDescent="0.25">
      <c r="B230" s="364"/>
      <c r="C230" s="445" t="s">
        <v>928</v>
      </c>
      <c r="D230" s="445" t="s">
        <v>218</v>
      </c>
      <c r="E230" s="446" t="s">
        <v>2409</v>
      </c>
      <c r="F230" s="447" t="s">
        <v>2410</v>
      </c>
      <c r="G230" s="448" t="s">
        <v>113</v>
      </c>
      <c r="H230" s="449">
        <v>320</v>
      </c>
      <c r="I230" s="329">
        <v>0</v>
      </c>
      <c r="J230" s="450">
        <f t="shared" si="70"/>
        <v>0</v>
      </c>
      <c r="K230" s="451"/>
      <c r="L230" s="364"/>
      <c r="M230" s="452" t="s">
        <v>171</v>
      </c>
      <c r="N230" s="415" t="s">
        <v>185</v>
      </c>
      <c r="O230" s="453">
        <v>0.71109999999999995</v>
      </c>
      <c r="P230" s="453">
        <f t="shared" si="71"/>
        <v>227.55199999999999</v>
      </c>
      <c r="Q230" s="453">
        <v>0</v>
      </c>
      <c r="R230" s="453">
        <f t="shared" si="72"/>
        <v>0</v>
      </c>
      <c r="S230" s="453">
        <v>0</v>
      </c>
      <c r="T230" s="454">
        <f t="shared" si="73"/>
        <v>0</v>
      </c>
      <c r="AR230" s="455" t="s">
        <v>625</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625</v>
      </c>
      <c r="BM230" s="455" t="s">
        <v>2558</v>
      </c>
    </row>
    <row r="231" spans="2:65" s="365" customFormat="1" ht="24.2" customHeight="1" x14ac:dyDescent="0.25">
      <c r="B231" s="364"/>
      <c r="C231" s="445" t="s">
        <v>931</v>
      </c>
      <c r="D231" s="445" t="s">
        <v>218</v>
      </c>
      <c r="E231" s="446" t="s">
        <v>2412</v>
      </c>
      <c r="F231" s="447" t="s">
        <v>2413</v>
      </c>
      <c r="G231" s="448" t="s">
        <v>113</v>
      </c>
      <c r="H231" s="449">
        <v>254</v>
      </c>
      <c r="I231" s="329">
        <v>0</v>
      </c>
      <c r="J231" s="450">
        <f t="shared" si="70"/>
        <v>0</v>
      </c>
      <c r="K231" s="451"/>
      <c r="L231" s="364"/>
      <c r="M231" s="452" t="s">
        <v>171</v>
      </c>
      <c r="N231" s="415" t="s">
        <v>185</v>
      </c>
      <c r="O231" s="453">
        <v>0.94769999999999999</v>
      </c>
      <c r="P231" s="453">
        <f t="shared" si="71"/>
        <v>240.7158</v>
      </c>
      <c r="Q231" s="453">
        <v>0</v>
      </c>
      <c r="R231" s="453">
        <f t="shared" si="72"/>
        <v>0</v>
      </c>
      <c r="S231" s="453">
        <v>0</v>
      </c>
      <c r="T231" s="454">
        <f t="shared" si="73"/>
        <v>0</v>
      </c>
      <c r="AR231" s="455" t="s">
        <v>625</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625</v>
      </c>
      <c r="BM231" s="455" t="s">
        <v>2559</v>
      </c>
    </row>
    <row r="232" spans="2:65" s="365" customFormat="1" ht="24.2" customHeight="1" x14ac:dyDescent="0.25">
      <c r="B232" s="364"/>
      <c r="C232" s="445" t="s">
        <v>933</v>
      </c>
      <c r="D232" s="445" t="s">
        <v>218</v>
      </c>
      <c r="E232" s="446" t="s">
        <v>2560</v>
      </c>
      <c r="F232" s="447" t="s">
        <v>2561</v>
      </c>
      <c r="G232" s="448" t="s">
        <v>113</v>
      </c>
      <c r="H232" s="449">
        <v>10</v>
      </c>
      <c r="I232" s="329">
        <v>0</v>
      </c>
      <c r="J232" s="450">
        <f t="shared" si="70"/>
        <v>0</v>
      </c>
      <c r="K232" s="451"/>
      <c r="L232" s="364"/>
      <c r="M232" s="452" t="s">
        <v>171</v>
      </c>
      <c r="N232" s="415" t="s">
        <v>185</v>
      </c>
      <c r="O232" s="453">
        <v>0.87229999999999996</v>
      </c>
      <c r="P232" s="453">
        <f t="shared" si="71"/>
        <v>8.722999999999999</v>
      </c>
      <c r="Q232" s="453">
        <v>0</v>
      </c>
      <c r="R232" s="453">
        <f t="shared" si="72"/>
        <v>0</v>
      </c>
      <c r="S232" s="453">
        <v>0</v>
      </c>
      <c r="T232" s="454">
        <f t="shared" si="73"/>
        <v>0</v>
      </c>
      <c r="AR232" s="455" t="s">
        <v>625</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625</v>
      </c>
      <c r="BM232" s="455" t="s">
        <v>2562</v>
      </c>
    </row>
    <row r="233" spans="2:65" s="365" customFormat="1" ht="24.2" customHeight="1" x14ac:dyDescent="0.25">
      <c r="B233" s="364"/>
      <c r="C233" s="445" t="s">
        <v>935</v>
      </c>
      <c r="D233" s="445" t="s">
        <v>218</v>
      </c>
      <c r="E233" s="446" t="s">
        <v>2415</v>
      </c>
      <c r="F233" s="447" t="s">
        <v>2416</v>
      </c>
      <c r="G233" s="448" t="s">
        <v>113</v>
      </c>
      <c r="H233" s="449">
        <v>18</v>
      </c>
      <c r="I233" s="329">
        <v>0</v>
      </c>
      <c r="J233" s="450">
        <f t="shared" si="70"/>
        <v>0</v>
      </c>
      <c r="K233" s="451"/>
      <c r="L233" s="364"/>
      <c r="M233" s="452" t="s">
        <v>171</v>
      </c>
      <c r="N233" s="415" t="s">
        <v>185</v>
      </c>
      <c r="O233" s="453">
        <v>1.7991999999999999</v>
      </c>
      <c r="P233" s="453">
        <f t="shared" si="71"/>
        <v>32.385599999999997</v>
      </c>
      <c r="Q233" s="453">
        <v>0</v>
      </c>
      <c r="R233" s="453">
        <f t="shared" si="72"/>
        <v>0</v>
      </c>
      <c r="S233" s="453">
        <v>0</v>
      </c>
      <c r="T233" s="454">
        <f t="shared" si="73"/>
        <v>0</v>
      </c>
      <c r="AR233" s="455" t="s">
        <v>625</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625</v>
      </c>
      <c r="BM233" s="455" t="s">
        <v>2563</v>
      </c>
    </row>
    <row r="234" spans="2:65" s="365" customFormat="1" ht="24.2" customHeight="1" x14ac:dyDescent="0.25">
      <c r="B234" s="364"/>
      <c r="C234" s="445" t="s">
        <v>938</v>
      </c>
      <c r="D234" s="445" t="s">
        <v>218</v>
      </c>
      <c r="E234" s="446" t="s">
        <v>2421</v>
      </c>
      <c r="F234" s="447" t="s">
        <v>2422</v>
      </c>
      <c r="G234" s="448" t="s">
        <v>113</v>
      </c>
      <c r="H234" s="449">
        <v>574</v>
      </c>
      <c r="I234" s="329">
        <v>0</v>
      </c>
      <c r="J234" s="450">
        <f t="shared" si="70"/>
        <v>0</v>
      </c>
      <c r="K234" s="451"/>
      <c r="L234" s="364"/>
      <c r="M234" s="452" t="s">
        <v>171</v>
      </c>
      <c r="N234" s="415" t="s">
        <v>185</v>
      </c>
      <c r="O234" s="453">
        <v>0.1469</v>
      </c>
      <c r="P234" s="453">
        <f t="shared" si="71"/>
        <v>84.320599999999999</v>
      </c>
      <c r="Q234" s="453">
        <v>0</v>
      </c>
      <c r="R234" s="453">
        <f t="shared" si="72"/>
        <v>0</v>
      </c>
      <c r="S234" s="453">
        <v>0</v>
      </c>
      <c r="T234" s="454">
        <f t="shared" si="73"/>
        <v>0</v>
      </c>
      <c r="AR234" s="455" t="s">
        <v>625</v>
      </c>
      <c r="AT234" s="455" t="s">
        <v>218</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625</v>
      </c>
      <c r="BM234" s="455" t="s">
        <v>2564</v>
      </c>
    </row>
    <row r="235" spans="2:65" s="365" customFormat="1" ht="16.5" customHeight="1" x14ac:dyDescent="0.25">
      <c r="B235" s="364"/>
      <c r="C235" s="457" t="s">
        <v>941</v>
      </c>
      <c r="D235" s="457" t="s">
        <v>259</v>
      </c>
      <c r="E235" s="458" t="s">
        <v>2424</v>
      </c>
      <c r="F235" s="459" t="s">
        <v>2425</v>
      </c>
      <c r="G235" s="460" t="s">
        <v>112</v>
      </c>
      <c r="H235" s="461">
        <v>35.158000000000001</v>
      </c>
      <c r="I235" s="330">
        <v>0</v>
      </c>
      <c r="J235" s="462">
        <f t="shared" si="70"/>
        <v>0</v>
      </c>
      <c r="K235" s="463"/>
      <c r="L235" s="464"/>
      <c r="M235" s="465" t="s">
        <v>171</v>
      </c>
      <c r="N235" s="466" t="s">
        <v>185</v>
      </c>
      <c r="O235" s="453">
        <v>0</v>
      </c>
      <c r="P235" s="453">
        <f t="shared" si="71"/>
        <v>0</v>
      </c>
      <c r="Q235" s="453">
        <v>1</v>
      </c>
      <c r="R235" s="453">
        <f t="shared" si="72"/>
        <v>35.158000000000001</v>
      </c>
      <c r="S235" s="453">
        <v>0</v>
      </c>
      <c r="T235" s="454">
        <f t="shared" si="73"/>
        <v>0</v>
      </c>
      <c r="AR235" s="455" t="s">
        <v>1795</v>
      </c>
      <c r="AT235" s="455" t="s">
        <v>259</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625</v>
      </c>
      <c r="BM235" s="455" t="s">
        <v>2565</v>
      </c>
    </row>
    <row r="236" spans="2:65" s="365" customFormat="1" ht="24.2" customHeight="1" x14ac:dyDescent="0.25">
      <c r="B236" s="364"/>
      <c r="C236" s="445" t="s">
        <v>945</v>
      </c>
      <c r="D236" s="445" t="s">
        <v>218</v>
      </c>
      <c r="E236" s="446" t="s">
        <v>2427</v>
      </c>
      <c r="F236" s="447" t="s">
        <v>2428</v>
      </c>
      <c r="G236" s="448" t="s">
        <v>113</v>
      </c>
      <c r="H236" s="449">
        <v>584</v>
      </c>
      <c r="I236" s="329">
        <v>0</v>
      </c>
      <c r="J236" s="450">
        <f t="shared" si="70"/>
        <v>0</v>
      </c>
      <c r="K236" s="451"/>
      <c r="L236" s="364"/>
      <c r="M236" s="452" t="s">
        <v>171</v>
      </c>
      <c r="N236" s="415" t="s">
        <v>185</v>
      </c>
      <c r="O236" s="453">
        <v>3.2500000000000001E-2</v>
      </c>
      <c r="P236" s="453">
        <f t="shared" si="71"/>
        <v>18.98</v>
      </c>
      <c r="Q236" s="453">
        <v>0</v>
      </c>
      <c r="R236" s="453">
        <f t="shared" si="72"/>
        <v>0</v>
      </c>
      <c r="S236" s="453">
        <v>0</v>
      </c>
      <c r="T236" s="454">
        <f t="shared" si="73"/>
        <v>0</v>
      </c>
      <c r="AR236" s="455" t="s">
        <v>625</v>
      </c>
      <c r="AT236" s="455" t="s">
        <v>218</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625</v>
      </c>
      <c r="BM236" s="455" t="s">
        <v>2566</v>
      </c>
    </row>
    <row r="237" spans="2:65" s="365" customFormat="1" ht="24.2" customHeight="1" x14ac:dyDescent="0.25">
      <c r="B237" s="364"/>
      <c r="C237" s="457" t="s">
        <v>948</v>
      </c>
      <c r="D237" s="457" t="s">
        <v>259</v>
      </c>
      <c r="E237" s="458" t="s">
        <v>2430</v>
      </c>
      <c r="F237" s="459" t="s">
        <v>2431</v>
      </c>
      <c r="G237" s="460" t="s">
        <v>113</v>
      </c>
      <c r="H237" s="461">
        <v>584</v>
      </c>
      <c r="I237" s="330">
        <v>0</v>
      </c>
      <c r="J237" s="462">
        <f t="shared" si="70"/>
        <v>0</v>
      </c>
      <c r="K237" s="463"/>
      <c r="L237" s="464"/>
      <c r="M237" s="465" t="s">
        <v>171</v>
      </c>
      <c r="N237" s="466" t="s">
        <v>185</v>
      </c>
      <c r="O237" s="453">
        <v>0</v>
      </c>
      <c r="P237" s="453">
        <f t="shared" si="71"/>
        <v>0</v>
      </c>
      <c r="Q237" s="453">
        <v>2.1000000000000001E-4</v>
      </c>
      <c r="R237" s="453">
        <f t="shared" si="72"/>
        <v>0.12264</v>
      </c>
      <c r="S237" s="453">
        <v>0</v>
      </c>
      <c r="T237" s="454">
        <f t="shared" si="73"/>
        <v>0</v>
      </c>
      <c r="AR237" s="455" t="s">
        <v>1631</v>
      </c>
      <c r="AT237" s="455" t="s">
        <v>259</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1631</v>
      </c>
      <c r="BM237" s="455" t="s">
        <v>2567</v>
      </c>
    </row>
    <row r="238" spans="2:65" s="365" customFormat="1" ht="33" customHeight="1" x14ac:dyDescent="0.25">
      <c r="B238" s="364"/>
      <c r="C238" s="445" t="s">
        <v>1199</v>
      </c>
      <c r="D238" s="445" t="s">
        <v>218</v>
      </c>
      <c r="E238" s="446" t="s">
        <v>2433</v>
      </c>
      <c r="F238" s="447" t="s">
        <v>2434</v>
      </c>
      <c r="G238" s="448" t="s">
        <v>113</v>
      </c>
      <c r="H238" s="449">
        <v>320</v>
      </c>
      <c r="I238" s="329">
        <v>0</v>
      </c>
      <c r="J238" s="450">
        <f t="shared" si="70"/>
        <v>0</v>
      </c>
      <c r="K238" s="451"/>
      <c r="L238" s="364"/>
      <c r="M238" s="452" t="s">
        <v>171</v>
      </c>
      <c r="N238" s="415" t="s">
        <v>185</v>
      </c>
      <c r="O238" s="453">
        <v>0.1235</v>
      </c>
      <c r="P238" s="453">
        <f t="shared" si="71"/>
        <v>39.519999999999996</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2568</v>
      </c>
    </row>
    <row r="239" spans="2:65" s="365" customFormat="1" ht="33" customHeight="1" x14ac:dyDescent="0.25">
      <c r="B239" s="364"/>
      <c r="C239" s="445" t="s">
        <v>1200</v>
      </c>
      <c r="D239" s="445" t="s">
        <v>218</v>
      </c>
      <c r="E239" s="446" t="s">
        <v>2436</v>
      </c>
      <c r="F239" s="447" t="s">
        <v>2437</v>
      </c>
      <c r="G239" s="448" t="s">
        <v>113</v>
      </c>
      <c r="H239" s="449">
        <v>254</v>
      </c>
      <c r="I239" s="329">
        <v>0</v>
      </c>
      <c r="J239" s="450">
        <f t="shared" si="70"/>
        <v>0</v>
      </c>
      <c r="K239" s="451"/>
      <c r="L239" s="364"/>
      <c r="M239" s="452" t="s">
        <v>171</v>
      </c>
      <c r="N239" s="415" t="s">
        <v>185</v>
      </c>
      <c r="O239" s="453">
        <v>0.17549999999999999</v>
      </c>
      <c r="P239" s="453">
        <f t="shared" si="71"/>
        <v>44.576999999999998</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2569</v>
      </c>
    </row>
    <row r="240" spans="2:65" s="365" customFormat="1" ht="33" customHeight="1" x14ac:dyDescent="0.25">
      <c r="B240" s="364"/>
      <c r="C240" s="445" t="s">
        <v>1202</v>
      </c>
      <c r="D240" s="445" t="s">
        <v>218</v>
      </c>
      <c r="E240" s="446" t="s">
        <v>2570</v>
      </c>
      <c r="F240" s="447" t="s">
        <v>2571</v>
      </c>
      <c r="G240" s="448" t="s">
        <v>113</v>
      </c>
      <c r="H240" s="449">
        <v>10</v>
      </c>
      <c r="I240" s="329">
        <v>0</v>
      </c>
      <c r="J240" s="450">
        <f t="shared" si="70"/>
        <v>0</v>
      </c>
      <c r="K240" s="451"/>
      <c r="L240" s="364"/>
      <c r="M240" s="452" t="s">
        <v>171</v>
      </c>
      <c r="N240" s="415" t="s">
        <v>185</v>
      </c>
      <c r="O240" s="453">
        <v>0.17549999999999999</v>
      </c>
      <c r="P240" s="453">
        <f t="shared" si="71"/>
        <v>1.7549999999999999</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2572</v>
      </c>
    </row>
    <row r="241" spans="2:65" s="365" customFormat="1" ht="33" customHeight="1" x14ac:dyDescent="0.25">
      <c r="B241" s="364"/>
      <c r="C241" s="445" t="s">
        <v>1203</v>
      </c>
      <c r="D241" s="445" t="s">
        <v>218</v>
      </c>
      <c r="E241" s="446" t="s">
        <v>2439</v>
      </c>
      <c r="F241" s="447" t="s">
        <v>2440</v>
      </c>
      <c r="G241" s="448" t="s">
        <v>113</v>
      </c>
      <c r="H241" s="449">
        <v>18</v>
      </c>
      <c r="I241" s="329">
        <v>0</v>
      </c>
      <c r="J241" s="450">
        <f t="shared" si="70"/>
        <v>0</v>
      </c>
      <c r="K241" s="451"/>
      <c r="L241" s="364"/>
      <c r="M241" s="452" t="s">
        <v>171</v>
      </c>
      <c r="N241" s="415" t="s">
        <v>185</v>
      </c>
      <c r="O241" s="453">
        <v>0.36530000000000001</v>
      </c>
      <c r="P241" s="453">
        <f t="shared" si="71"/>
        <v>6.5754000000000001</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2573</v>
      </c>
    </row>
    <row r="242" spans="2:65" s="365" customFormat="1" ht="24.2" customHeight="1" x14ac:dyDescent="0.25">
      <c r="B242" s="364"/>
      <c r="C242" s="445" t="s">
        <v>1206</v>
      </c>
      <c r="D242" s="445" t="s">
        <v>218</v>
      </c>
      <c r="E242" s="446" t="s">
        <v>2574</v>
      </c>
      <c r="F242" s="447" t="s">
        <v>2575</v>
      </c>
      <c r="G242" s="448" t="s">
        <v>114</v>
      </c>
      <c r="H242" s="449">
        <v>28.111999999999998</v>
      </c>
      <c r="I242" s="329">
        <v>0</v>
      </c>
      <c r="J242" s="450">
        <f t="shared" si="70"/>
        <v>0</v>
      </c>
      <c r="K242" s="451"/>
      <c r="L242" s="364"/>
      <c r="M242" s="452" t="s">
        <v>171</v>
      </c>
      <c r="N242" s="415" t="s">
        <v>185</v>
      </c>
      <c r="O242" s="453">
        <v>0.3049</v>
      </c>
      <c r="P242" s="453">
        <f t="shared" si="71"/>
        <v>8.5713487999999991</v>
      </c>
      <c r="Q242" s="453">
        <v>0</v>
      </c>
      <c r="R242" s="453">
        <f t="shared" si="72"/>
        <v>0</v>
      </c>
      <c r="S242" s="453">
        <v>0</v>
      </c>
      <c r="T242" s="454">
        <f t="shared" si="73"/>
        <v>0</v>
      </c>
      <c r="AR242" s="455" t="s">
        <v>625</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625</v>
      </c>
      <c r="BM242" s="455" t="s">
        <v>2576</v>
      </c>
    </row>
    <row r="243" spans="2:65" s="365" customFormat="1" ht="24.2" customHeight="1" x14ac:dyDescent="0.25">
      <c r="B243" s="364"/>
      <c r="C243" s="445" t="s">
        <v>1208</v>
      </c>
      <c r="D243" s="445" t="s">
        <v>218</v>
      </c>
      <c r="E243" s="446" t="s">
        <v>2577</v>
      </c>
      <c r="F243" s="447" t="s">
        <v>2578</v>
      </c>
      <c r="G243" s="448" t="s">
        <v>114</v>
      </c>
      <c r="H243" s="449">
        <v>702.8</v>
      </c>
      <c r="I243" s="329">
        <v>0</v>
      </c>
      <c r="J243" s="450">
        <f t="shared" si="70"/>
        <v>0</v>
      </c>
      <c r="K243" s="451"/>
      <c r="L243" s="364"/>
      <c r="M243" s="452" t="s">
        <v>171</v>
      </c>
      <c r="N243" s="415" t="s">
        <v>185</v>
      </c>
      <c r="O243" s="453">
        <v>7.3699999999999998E-3</v>
      </c>
      <c r="P243" s="453">
        <f t="shared" si="71"/>
        <v>5.1796359999999995</v>
      </c>
      <c r="Q243" s="453">
        <v>0</v>
      </c>
      <c r="R243" s="453">
        <f t="shared" si="72"/>
        <v>0</v>
      </c>
      <c r="S243" s="453">
        <v>0</v>
      </c>
      <c r="T243" s="454">
        <f t="shared" si="73"/>
        <v>0</v>
      </c>
      <c r="AR243" s="455" t="s">
        <v>625</v>
      </c>
      <c r="AT243" s="455" t="s">
        <v>218</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625</v>
      </c>
      <c r="BM243" s="455" t="s">
        <v>2579</v>
      </c>
    </row>
    <row r="244" spans="2:65" s="434" customFormat="1" ht="25.9" customHeight="1" x14ac:dyDescent="0.2">
      <c r="B244" s="433"/>
      <c r="D244" s="435" t="s">
        <v>216</v>
      </c>
      <c r="E244" s="436" t="s">
        <v>2445</v>
      </c>
      <c r="F244" s="436" t="s">
        <v>2446</v>
      </c>
      <c r="I244" s="331"/>
      <c r="J244" s="437">
        <f>BK244</f>
        <v>0</v>
      </c>
      <c r="L244" s="433"/>
      <c r="M244" s="438"/>
      <c r="P244" s="439">
        <f>SUM(P245:P247)</f>
        <v>132.98000000000002</v>
      </c>
      <c r="R244" s="439">
        <f>SUM(R245:R247)</f>
        <v>0</v>
      </c>
      <c r="T244" s="440">
        <f>SUM(T245:T247)</f>
        <v>0</v>
      </c>
      <c r="AR244" s="435" t="s">
        <v>110</v>
      </c>
      <c r="AT244" s="441" t="s">
        <v>216</v>
      </c>
      <c r="AU244" s="441" t="s">
        <v>165</v>
      </c>
      <c r="AY244" s="435" t="s">
        <v>217</v>
      </c>
      <c r="BK244" s="442">
        <f>SUM(BK245:BK247)</f>
        <v>0</v>
      </c>
    </row>
    <row r="245" spans="2:65" s="365" customFormat="1" ht="37.9" customHeight="1" x14ac:dyDescent="0.25">
      <c r="B245" s="364"/>
      <c r="C245" s="445" t="s">
        <v>649</v>
      </c>
      <c r="D245" s="445" t="s">
        <v>218</v>
      </c>
      <c r="E245" s="446" t="s">
        <v>2447</v>
      </c>
      <c r="F245" s="447" t="s">
        <v>2448</v>
      </c>
      <c r="G245" s="448" t="s">
        <v>2010</v>
      </c>
      <c r="H245" s="449">
        <v>56</v>
      </c>
      <c r="I245" s="329">
        <v>0</v>
      </c>
      <c r="J245" s="450">
        <f>ROUND(I245*H245,2)</f>
        <v>0</v>
      </c>
      <c r="K245" s="451"/>
      <c r="L245" s="364"/>
      <c r="M245" s="452" t="s">
        <v>171</v>
      </c>
      <c r="N245" s="415" t="s">
        <v>185</v>
      </c>
      <c r="O245" s="453">
        <v>1.0900000000000001</v>
      </c>
      <c r="P245" s="453">
        <f>O245*H245</f>
        <v>61.040000000000006</v>
      </c>
      <c r="Q245" s="453">
        <v>0</v>
      </c>
      <c r="R245" s="453">
        <f>Q245*H245</f>
        <v>0</v>
      </c>
      <c r="S245" s="453">
        <v>0</v>
      </c>
      <c r="T245" s="454">
        <f>S245*H245</f>
        <v>0</v>
      </c>
      <c r="AR245" s="455" t="s">
        <v>2207</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2207</v>
      </c>
      <c r="BM245" s="455" t="s">
        <v>2580</v>
      </c>
    </row>
    <row r="246" spans="2:65" s="365" customFormat="1" ht="37.9" customHeight="1" x14ac:dyDescent="0.25">
      <c r="B246" s="364"/>
      <c r="C246" s="445" t="s">
        <v>1211</v>
      </c>
      <c r="D246" s="445" t="s">
        <v>218</v>
      </c>
      <c r="E246" s="446" t="s">
        <v>2450</v>
      </c>
      <c r="F246" s="447" t="s">
        <v>2451</v>
      </c>
      <c r="G246" s="448" t="s">
        <v>2010</v>
      </c>
      <c r="H246" s="449">
        <v>38</v>
      </c>
      <c r="I246" s="329">
        <v>0</v>
      </c>
      <c r="J246" s="450">
        <f>ROUND(I246*H246,2)</f>
        <v>0</v>
      </c>
      <c r="K246" s="451"/>
      <c r="L246" s="364"/>
      <c r="M246" s="452" t="s">
        <v>171</v>
      </c>
      <c r="N246" s="415" t="s">
        <v>185</v>
      </c>
      <c r="O246" s="453">
        <v>1.0900000000000001</v>
      </c>
      <c r="P246" s="453">
        <f>O246*H246</f>
        <v>41.42</v>
      </c>
      <c r="Q246" s="453">
        <v>0</v>
      </c>
      <c r="R246" s="453">
        <f>Q246*H246</f>
        <v>0</v>
      </c>
      <c r="S246" s="453">
        <v>0</v>
      </c>
      <c r="T246" s="454">
        <f>S246*H246</f>
        <v>0</v>
      </c>
      <c r="AR246" s="455" t="s">
        <v>2207</v>
      </c>
      <c r="AT246" s="455" t="s">
        <v>218</v>
      </c>
      <c r="AU246" s="455" t="s">
        <v>109</v>
      </c>
      <c r="AY246" s="357" t="s">
        <v>217</v>
      </c>
      <c r="BE246" s="456">
        <f>IF(N246="základná",J246,0)</f>
        <v>0</v>
      </c>
      <c r="BF246" s="456">
        <f>IF(N246="znížená",J246,0)</f>
        <v>0</v>
      </c>
      <c r="BG246" s="456">
        <f>IF(N246="zákl. prenesená",J246,0)</f>
        <v>0</v>
      </c>
      <c r="BH246" s="456">
        <f>IF(N246="zníž. prenesená",J246,0)</f>
        <v>0</v>
      </c>
      <c r="BI246" s="456">
        <f>IF(N246="nulová",J246,0)</f>
        <v>0</v>
      </c>
      <c r="BJ246" s="357" t="s">
        <v>108</v>
      </c>
      <c r="BK246" s="456">
        <f>ROUND(I246*H246,2)</f>
        <v>0</v>
      </c>
      <c r="BL246" s="357" t="s">
        <v>2207</v>
      </c>
      <c r="BM246" s="455" t="s">
        <v>2581</v>
      </c>
    </row>
    <row r="247" spans="2:65" s="365" customFormat="1" ht="37.9" customHeight="1" x14ac:dyDescent="0.25">
      <c r="B247" s="364"/>
      <c r="C247" s="445" t="s">
        <v>1213</v>
      </c>
      <c r="D247" s="445" t="s">
        <v>218</v>
      </c>
      <c r="E247" s="446" t="s">
        <v>2453</v>
      </c>
      <c r="F247" s="447" t="s">
        <v>2454</v>
      </c>
      <c r="G247" s="448" t="s">
        <v>2010</v>
      </c>
      <c r="H247" s="449">
        <v>28</v>
      </c>
      <c r="I247" s="329">
        <v>0</v>
      </c>
      <c r="J247" s="450">
        <f>ROUND(I247*H247,2)</f>
        <v>0</v>
      </c>
      <c r="K247" s="451"/>
      <c r="L247" s="364"/>
      <c r="M247" s="468" t="s">
        <v>171</v>
      </c>
      <c r="N247" s="469" t="s">
        <v>185</v>
      </c>
      <c r="O247" s="470">
        <v>1.0900000000000001</v>
      </c>
      <c r="P247" s="470">
        <f>O247*H247</f>
        <v>30.520000000000003</v>
      </c>
      <c r="Q247" s="470">
        <v>0</v>
      </c>
      <c r="R247" s="470">
        <f>Q247*H247</f>
        <v>0</v>
      </c>
      <c r="S247" s="470">
        <v>0</v>
      </c>
      <c r="T247" s="471">
        <f>S247*H247</f>
        <v>0</v>
      </c>
      <c r="AR247" s="455" t="s">
        <v>2207</v>
      </c>
      <c r="AT247" s="455" t="s">
        <v>218</v>
      </c>
      <c r="AU247" s="455" t="s">
        <v>109</v>
      </c>
      <c r="AY247" s="357" t="s">
        <v>217</v>
      </c>
      <c r="BE247" s="456">
        <f>IF(N247="základná",J247,0)</f>
        <v>0</v>
      </c>
      <c r="BF247" s="456">
        <f>IF(N247="znížená",J247,0)</f>
        <v>0</v>
      </c>
      <c r="BG247" s="456">
        <f>IF(N247="zákl. prenesená",J247,0)</f>
        <v>0</v>
      </c>
      <c r="BH247" s="456">
        <f>IF(N247="zníž. prenesená",J247,0)</f>
        <v>0</v>
      </c>
      <c r="BI247" s="456">
        <f>IF(N247="nulová",J247,0)</f>
        <v>0</v>
      </c>
      <c r="BJ247" s="357" t="s">
        <v>108</v>
      </c>
      <c r="BK247" s="456">
        <f>ROUND(I247*H247,2)</f>
        <v>0</v>
      </c>
      <c r="BL247" s="357" t="s">
        <v>2207</v>
      </c>
      <c r="BM247" s="455" t="s">
        <v>2582</v>
      </c>
    </row>
    <row r="248" spans="2:65" s="365" customFormat="1" ht="6.95" customHeight="1" x14ac:dyDescent="0.25">
      <c r="B248" s="397"/>
      <c r="C248" s="398"/>
      <c r="D248" s="398"/>
      <c r="E248" s="398"/>
      <c r="F248" s="398"/>
      <c r="G248" s="398"/>
      <c r="H248" s="398"/>
      <c r="I248" s="398"/>
      <c r="J248" s="398"/>
      <c r="K248" s="398"/>
      <c r="L248" s="364"/>
    </row>
  </sheetData>
  <sheetProtection algorithmName="SHA-512" hashValue="ovciyVkqv9ZQL/5W2ezSamvXCAQ9e3Y//niXiqiFQ9ByZesnCgiUEttGzt8rVNRgzbrzYxURskbPurkY77xy4Q==" saltValue="ns8WUAGykwth/YAXL9TthQ==" spinCount="100000" sheet="1" objects="1" scenarios="1"/>
  <autoFilter ref="C132:K247" xr:uid="{00000000-0009-0000-0000-000017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69CD-684D-43A3-B39B-A083B0179EC4}">
  <sheetPr codeName="Hárok4"/>
  <dimension ref="B1:B23"/>
  <sheetViews>
    <sheetView workbookViewId="0">
      <selection activeCell="A13" sqref="A13:XFD13"/>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149</v>
      </c>
    </row>
    <row r="3" spans="2:2" x14ac:dyDescent="0.25">
      <c r="B3" s="4"/>
    </row>
    <row r="4" spans="2:2" x14ac:dyDescent="0.25">
      <c r="B4" s="5" t="s">
        <v>41</v>
      </c>
    </row>
    <row r="5" spans="2:2" x14ac:dyDescent="0.25">
      <c r="B5" s="6"/>
    </row>
    <row r="6" spans="2:2" x14ac:dyDescent="0.25">
      <c r="B6" s="7" t="s">
        <v>42</v>
      </c>
    </row>
    <row r="7" spans="2:2" x14ac:dyDescent="0.25">
      <c r="B7" s="5"/>
    </row>
    <row r="8" spans="2:2" x14ac:dyDescent="0.25">
      <c r="B8" s="128" t="s">
        <v>150</v>
      </c>
    </row>
    <row r="9" spans="2:2" x14ac:dyDescent="0.25">
      <c r="B9" s="128"/>
    </row>
    <row r="10" spans="2:2" x14ac:dyDescent="0.25">
      <c r="B10" s="129" t="s">
        <v>151</v>
      </c>
    </row>
    <row r="11" spans="2:2" x14ac:dyDescent="0.25">
      <c r="B11" s="129" t="s">
        <v>152</v>
      </c>
    </row>
    <row r="12" spans="2:2" x14ac:dyDescent="0.25">
      <c r="B12" s="129" t="s">
        <v>153</v>
      </c>
    </row>
    <row r="13" spans="2:2" x14ac:dyDescent="0.25">
      <c r="B13" s="129" t="s">
        <v>154</v>
      </c>
    </row>
    <row r="14" spans="2:2" ht="16.5" customHeight="1" x14ac:dyDescent="0.25">
      <c r="B14" s="5"/>
    </row>
    <row r="15" spans="2:2" ht="30" x14ac:dyDescent="0.25">
      <c r="B15" s="128" t="s">
        <v>155</v>
      </c>
    </row>
    <row r="16" spans="2:2" x14ac:dyDescent="0.25">
      <c r="B16" s="8"/>
    </row>
    <row r="17" spans="2:2" ht="30" x14ac:dyDescent="0.25">
      <c r="B17" s="5" t="s">
        <v>156</v>
      </c>
    </row>
    <row r="18" spans="2:2" ht="15.75" thickBot="1" x14ac:dyDescent="0.3">
      <c r="B18" s="9"/>
    </row>
    <row r="19" spans="2:2" x14ac:dyDescent="0.25">
      <c r="B19" s="1"/>
    </row>
    <row r="20" spans="2:2" x14ac:dyDescent="0.25">
      <c r="B20" s="1"/>
    </row>
    <row r="21" spans="2:2" x14ac:dyDescent="0.25">
      <c r="B21" s="1"/>
    </row>
    <row r="22" spans="2:2" ht="13.5" customHeight="1" x14ac:dyDescent="0.25">
      <c r="B22" s="1"/>
    </row>
    <row r="23" spans="2:2" ht="15.75" x14ac:dyDescent="0.25">
      <c r="B23" s="2"/>
    </row>
  </sheetData>
  <sheetProtection algorithmName="SHA-512" hashValue="toJfMST7ajChTzeaxyjPgy1kbk6IaTYS2VkBaQz4Ps3TJfhzggSlz218j/WCoombldfXl1ivHHegisoez8BAhA==" saltValue="MMnoWRVf58Isv9v8y4B6NQ==" spinCount="100000" sheet="1" objects="1" scenarios="1"/>
  <hyperlinks>
    <hyperlink ref="B8" r:id="rId1" location="paragraf-32:~:text=Za%20osobu%20pod%C4%BEa,t%C3%A1to%20osoba%20riadi." display="že v spoločnosti uchádazača neexistuje iná osoba podľa § 32 osd. 8 ZVO." xr:uid="{600AB8C0-DAFD-469E-B5A0-3314CD5426E8}"/>
    <hyperlink ref="B15" r:id="rId2" location="paragraf-32.odsek-1.pismeno-a" xr:uid="{776C27AF-6EFD-4E21-B07B-9C369759C7D3}"/>
  </hyperlinks>
  <pageMargins left="0.7" right="0.7" top="0.75" bottom="0.75" header="0.3" footer="0.3"/>
  <pageSetup paperSize="9" orientation="portrait"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BDCD-24EF-4A45-BCEF-F794895A05D5}">
  <sheetPr codeName="Hárok30">
    <pageSetUpPr fitToPage="1"/>
  </sheetPr>
  <dimension ref="B2:BM248"/>
  <sheetViews>
    <sheetView topLeftCell="A226" workbookViewId="0">
      <selection activeCell="I136" sqref="I136:I247"/>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404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2583</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2154</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2155</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3193</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SUM(BE133:BE247)),  2)</f>
        <v>0</v>
      </c>
      <c r="G35" s="380"/>
      <c r="H35" s="380"/>
      <c r="I35" s="381">
        <v>0.23</v>
      </c>
      <c r="J35" s="379">
        <f>ROUND(((SUM(BE112:BE113) + SUM(BE133:BE247))*I35),  2)</f>
        <v>0</v>
      </c>
      <c r="L35" s="364"/>
    </row>
    <row r="36" spans="2:12" s="365" customFormat="1" ht="14.45" customHeight="1" x14ac:dyDescent="0.25">
      <c r="B36" s="364"/>
      <c r="E36" s="378" t="s">
        <v>185</v>
      </c>
      <c r="F36" s="382">
        <f>ROUND((SUM(BF112:BF113) + SUM(BF133:BF247)),  2)</f>
        <v>0</v>
      </c>
      <c r="I36" s="383">
        <v>0.23</v>
      </c>
      <c r="J36" s="382">
        <f>ROUND(((SUM(BF112:BF113) + SUM(BF133:BF247))*I36),  2)</f>
        <v>0</v>
      </c>
      <c r="L36" s="364"/>
    </row>
    <row r="37" spans="2:12" s="365" customFormat="1" ht="14.45" hidden="1" customHeight="1" x14ac:dyDescent="0.25">
      <c r="B37" s="364"/>
      <c r="E37" s="363" t="s">
        <v>186</v>
      </c>
      <c r="F37" s="382">
        <f>ROUND((SUM(BG112:BG113) + SUM(BG133:BG247)),  2)</f>
        <v>0</v>
      </c>
      <c r="I37" s="383">
        <v>0.23</v>
      </c>
      <c r="J37" s="382">
        <f>0</f>
        <v>0</v>
      </c>
      <c r="L37" s="364"/>
    </row>
    <row r="38" spans="2:12" s="365" customFormat="1" ht="14.45" hidden="1" customHeight="1" x14ac:dyDescent="0.25">
      <c r="B38" s="364"/>
      <c r="E38" s="363" t="s">
        <v>187</v>
      </c>
      <c r="F38" s="382">
        <f>ROUND((SUM(BH112:BH113) + SUM(BH133:BH247)),  2)</f>
        <v>0</v>
      </c>
      <c r="I38" s="383">
        <v>0.23</v>
      </c>
      <c r="J38" s="382">
        <f>0</f>
        <v>0</v>
      </c>
      <c r="L38" s="364"/>
    </row>
    <row r="39" spans="2:12" s="365" customFormat="1" ht="14.45" hidden="1" customHeight="1" x14ac:dyDescent="0.25">
      <c r="B39" s="364"/>
      <c r="E39" s="378" t="s">
        <v>188</v>
      </c>
      <c r="F39" s="379">
        <f>ROUND((SUM(BI112:BI113) + SUM(BI133:BI247)),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SO 200.C - Verejné osvetlenie, úsek C</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953</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1616</v>
      </c>
      <c r="E106" s="407"/>
      <c r="F106" s="407"/>
      <c r="G106" s="407"/>
      <c r="H106" s="407"/>
      <c r="I106" s="407"/>
      <c r="J106" s="408">
        <f>J189</f>
        <v>0</v>
      </c>
      <c r="L106" s="404"/>
    </row>
    <row r="107" spans="2:14" s="410" customFormat="1" ht="19.899999999999999" customHeight="1" x14ac:dyDescent="0.25">
      <c r="B107" s="409"/>
      <c r="D107" s="411" t="s">
        <v>2156</v>
      </c>
      <c r="E107" s="412"/>
      <c r="F107" s="412"/>
      <c r="G107" s="412"/>
      <c r="H107" s="412"/>
      <c r="I107" s="412"/>
      <c r="J107" s="413">
        <f>J190</f>
        <v>0</v>
      </c>
      <c r="L107" s="409"/>
    </row>
    <row r="108" spans="2:14" s="410" customFormat="1" ht="19.899999999999999" customHeight="1" x14ac:dyDescent="0.25">
      <c r="B108" s="409"/>
      <c r="D108" s="411" t="s">
        <v>1618</v>
      </c>
      <c r="E108" s="412"/>
      <c r="F108" s="412"/>
      <c r="G108" s="412"/>
      <c r="H108" s="412"/>
      <c r="I108" s="412"/>
      <c r="J108" s="413">
        <f>J228</f>
        <v>0</v>
      </c>
      <c r="L108" s="409"/>
    </row>
    <row r="109" spans="2:14" s="405" customFormat="1" ht="24.95" customHeight="1" x14ac:dyDescent="0.25">
      <c r="B109" s="404"/>
      <c r="D109" s="406" t="s">
        <v>2157</v>
      </c>
      <c r="E109" s="407"/>
      <c r="F109" s="407"/>
      <c r="G109" s="407"/>
      <c r="H109" s="407"/>
      <c r="I109" s="407"/>
      <c r="J109" s="408">
        <f>J244</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3066</v>
      </c>
      <c r="J112" s="414">
        <v>0</v>
      </c>
      <c r="L112" s="364"/>
      <c r="N112" s="415" t="s">
        <v>183</v>
      </c>
    </row>
    <row r="113" spans="2:12" s="365" customFormat="1" ht="18" customHeight="1" x14ac:dyDescent="0.25">
      <c r="B113" s="364"/>
      <c r="L113" s="364"/>
    </row>
    <row r="114" spans="2:12" s="365" customFormat="1" ht="29.25" customHeight="1" x14ac:dyDescent="0.25">
      <c r="B114" s="364"/>
      <c r="C114" s="416" t="s">
        <v>3063</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59" t="str">
        <f>E7</f>
        <v>Cyklotrasa - Devín_RP1</v>
      </c>
      <c r="F123" s="860"/>
      <c r="G123" s="860"/>
      <c r="H123" s="860"/>
      <c r="L123" s="364"/>
    </row>
    <row r="124" spans="2:12" s="365" customFormat="1" ht="12" customHeight="1" x14ac:dyDescent="0.25">
      <c r="B124" s="364"/>
      <c r="C124" s="363" t="s">
        <v>408</v>
      </c>
      <c r="L124" s="364"/>
    </row>
    <row r="125" spans="2:12" s="365" customFormat="1" ht="16.5" customHeight="1" x14ac:dyDescent="0.25">
      <c r="B125" s="364"/>
      <c r="E125" s="857" t="str">
        <f>E9</f>
        <v>SO 200.C - Verejné osvetlenie, úsek C</v>
      </c>
      <c r="F125" s="858"/>
      <c r="G125" s="858"/>
      <c r="H125" s="858"/>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P134+P181+P189+P244</f>
        <v>2248.5930749999993</v>
      </c>
      <c r="Q133" s="371"/>
      <c r="R133" s="430">
        <f>R134+R181+R189+R244</f>
        <v>134.36458482606398</v>
      </c>
      <c r="S133" s="371"/>
      <c r="T133" s="431">
        <f>T134+T181+T189+T244</f>
        <v>104.9575</v>
      </c>
      <c r="AT133" s="357" t="s">
        <v>216</v>
      </c>
      <c r="AU133" s="357" t="s">
        <v>202</v>
      </c>
      <c r="BK133" s="432">
        <f>BK134+BK181+BK189+BK244</f>
        <v>0</v>
      </c>
    </row>
    <row r="134" spans="2:65" s="434" customFormat="1" ht="25.9" customHeight="1" x14ac:dyDescent="0.2">
      <c r="B134" s="433"/>
      <c r="D134" s="435" t="s">
        <v>216</v>
      </c>
      <c r="E134" s="436" t="s">
        <v>418</v>
      </c>
      <c r="F134" s="436" t="s">
        <v>419</v>
      </c>
      <c r="J134" s="437">
        <f>BK134</f>
        <v>0</v>
      </c>
      <c r="L134" s="433"/>
      <c r="M134" s="438"/>
      <c r="P134" s="439">
        <f>P135+P143+P150+P161+P165+P174</f>
        <v>594.45791620999989</v>
      </c>
      <c r="R134" s="439">
        <f>R135+R143+R150+R161+R165+R174</f>
        <v>91.437731992203979</v>
      </c>
      <c r="T134" s="440">
        <f>T135+T143+T150+T161+T165+T174</f>
        <v>104.9575</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227.06972500000001</v>
      </c>
      <c r="R135" s="439">
        <f>SUM(R136:R142)</f>
        <v>0</v>
      </c>
      <c r="T135" s="440">
        <f>SUM(T136:T142)</f>
        <v>89.0625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2158</v>
      </c>
      <c r="F136" s="447" t="s">
        <v>2159</v>
      </c>
      <c r="G136" s="448" t="s">
        <v>111</v>
      </c>
      <c r="H136" s="449">
        <v>71.25</v>
      </c>
      <c r="I136" s="329">
        <v>0</v>
      </c>
      <c r="J136" s="450">
        <f t="shared" ref="J136:J142" si="0">ROUND(I136*H136,2)</f>
        <v>0</v>
      </c>
      <c r="K136" s="451"/>
      <c r="L136" s="364"/>
      <c r="M136" s="452" t="s">
        <v>171</v>
      </c>
      <c r="N136" s="415" t="s">
        <v>185</v>
      </c>
      <c r="O136" s="453">
        <v>1.97</v>
      </c>
      <c r="P136" s="453">
        <f t="shared" ref="P136:P142" si="1">O136*H136</f>
        <v>140.36250000000001</v>
      </c>
      <c r="Q136" s="453">
        <v>0</v>
      </c>
      <c r="R136" s="453">
        <f t="shared" ref="R136:R142" si="2">Q136*H136</f>
        <v>0</v>
      </c>
      <c r="S136" s="453">
        <v>0.5</v>
      </c>
      <c r="T136" s="454">
        <f t="shared" ref="T136:T142" si="3">S136*H136</f>
        <v>35.625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2584</v>
      </c>
    </row>
    <row r="137" spans="2:65" s="365" customFormat="1" ht="24.2" customHeight="1" x14ac:dyDescent="0.25">
      <c r="B137" s="364"/>
      <c r="C137" s="445" t="s">
        <v>108</v>
      </c>
      <c r="D137" s="445" t="s">
        <v>218</v>
      </c>
      <c r="E137" s="446" t="s">
        <v>2161</v>
      </c>
      <c r="F137" s="447" t="s">
        <v>2162</v>
      </c>
      <c r="G137" s="448" t="s">
        <v>111</v>
      </c>
      <c r="H137" s="449">
        <v>71.25</v>
      </c>
      <c r="I137" s="329">
        <v>0</v>
      </c>
      <c r="J137" s="450">
        <f t="shared" si="0"/>
        <v>0</v>
      </c>
      <c r="K137" s="451"/>
      <c r="L137" s="364"/>
      <c r="M137" s="452" t="s">
        <v>171</v>
      </c>
      <c r="N137" s="415" t="s">
        <v>185</v>
      </c>
      <c r="O137" s="453">
        <v>0.35499999999999998</v>
      </c>
      <c r="P137" s="453">
        <f t="shared" si="1"/>
        <v>25.293749999999999</v>
      </c>
      <c r="Q137" s="453">
        <v>0</v>
      </c>
      <c r="R137" s="453">
        <f t="shared" si="2"/>
        <v>0</v>
      </c>
      <c r="S137" s="453">
        <v>0.25</v>
      </c>
      <c r="T137" s="454">
        <f t="shared" si="3"/>
        <v>17.8125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2585</v>
      </c>
    </row>
    <row r="138" spans="2:65" s="365" customFormat="1" ht="24.2" customHeight="1" x14ac:dyDescent="0.25">
      <c r="B138" s="364"/>
      <c r="C138" s="445" t="s">
        <v>119</v>
      </c>
      <c r="D138" s="445" t="s">
        <v>218</v>
      </c>
      <c r="E138" s="446" t="s">
        <v>2164</v>
      </c>
      <c r="F138" s="447" t="s">
        <v>2165</v>
      </c>
      <c r="G138" s="448" t="s">
        <v>111</v>
      </c>
      <c r="H138" s="449">
        <v>71.25</v>
      </c>
      <c r="I138" s="329">
        <v>0</v>
      </c>
      <c r="J138" s="450">
        <f t="shared" si="0"/>
        <v>0</v>
      </c>
      <c r="K138" s="451"/>
      <c r="L138" s="364"/>
      <c r="M138" s="452" t="s">
        <v>171</v>
      </c>
      <c r="N138" s="415" t="s">
        <v>185</v>
      </c>
      <c r="O138" s="453">
        <v>0.82699999999999996</v>
      </c>
      <c r="P138" s="453">
        <f t="shared" si="1"/>
        <v>58.923749999999998</v>
      </c>
      <c r="Q138" s="453">
        <v>0</v>
      </c>
      <c r="R138" s="453">
        <f t="shared" si="2"/>
        <v>0</v>
      </c>
      <c r="S138" s="453">
        <v>0.5</v>
      </c>
      <c r="T138" s="454">
        <f t="shared" si="3"/>
        <v>35.625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2586</v>
      </c>
    </row>
    <row r="139" spans="2:65" s="365" customFormat="1" ht="37.9" customHeight="1" x14ac:dyDescent="0.25">
      <c r="B139" s="364"/>
      <c r="C139" s="445" t="s">
        <v>110</v>
      </c>
      <c r="D139" s="445" t="s">
        <v>218</v>
      </c>
      <c r="E139" s="446" t="s">
        <v>712</v>
      </c>
      <c r="F139" s="447" t="s">
        <v>2587</v>
      </c>
      <c r="G139" s="448" t="s">
        <v>114</v>
      </c>
      <c r="H139" s="449">
        <v>15.12</v>
      </c>
      <c r="I139" s="329">
        <v>0</v>
      </c>
      <c r="J139" s="450">
        <f t="shared" si="0"/>
        <v>0</v>
      </c>
      <c r="K139" s="451"/>
      <c r="L139" s="364"/>
      <c r="M139" s="452" t="s">
        <v>171</v>
      </c>
      <c r="N139" s="415" t="s">
        <v>185</v>
      </c>
      <c r="O139" s="453">
        <v>4.8899999999999999E-2</v>
      </c>
      <c r="P139" s="453">
        <f t="shared" si="1"/>
        <v>0.73936799999999991</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2588</v>
      </c>
    </row>
    <row r="140" spans="2:65" s="365" customFormat="1" ht="44.25" customHeight="1" x14ac:dyDescent="0.25">
      <c r="B140" s="364"/>
      <c r="C140" s="445" t="s">
        <v>118</v>
      </c>
      <c r="D140" s="445" t="s">
        <v>218</v>
      </c>
      <c r="E140" s="446" t="s">
        <v>714</v>
      </c>
      <c r="F140" s="447" t="s">
        <v>2589</v>
      </c>
      <c r="G140" s="448" t="s">
        <v>114</v>
      </c>
      <c r="H140" s="449">
        <v>302.3</v>
      </c>
      <c r="I140" s="329">
        <v>0</v>
      </c>
      <c r="J140" s="450">
        <f t="shared" si="0"/>
        <v>0</v>
      </c>
      <c r="K140" s="451"/>
      <c r="L140" s="364"/>
      <c r="M140" s="452" t="s">
        <v>171</v>
      </c>
      <c r="N140" s="415" t="s">
        <v>185</v>
      </c>
      <c r="O140" s="453">
        <v>5.3899999999999998E-3</v>
      </c>
      <c r="P140" s="453">
        <f t="shared" si="1"/>
        <v>1.629397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2590</v>
      </c>
    </row>
    <row r="141" spans="2:65" s="365" customFormat="1" ht="21.75" customHeight="1" x14ac:dyDescent="0.25">
      <c r="B141" s="364"/>
      <c r="C141" s="445" t="s">
        <v>117</v>
      </c>
      <c r="D141" s="445" t="s">
        <v>218</v>
      </c>
      <c r="E141" s="446" t="s">
        <v>717</v>
      </c>
      <c r="F141" s="447" t="s">
        <v>224</v>
      </c>
      <c r="G141" s="448" t="s">
        <v>114</v>
      </c>
      <c r="H141" s="449">
        <v>15.12</v>
      </c>
      <c r="I141" s="329">
        <v>0</v>
      </c>
      <c r="J141" s="450">
        <f t="shared" si="0"/>
        <v>0</v>
      </c>
      <c r="K141" s="451"/>
      <c r="L141" s="364"/>
      <c r="M141" s="452" t="s">
        <v>171</v>
      </c>
      <c r="N141" s="415" t="s">
        <v>185</v>
      </c>
      <c r="O141" s="453">
        <v>8.0000000000000002E-3</v>
      </c>
      <c r="P141" s="453">
        <f t="shared" si="1"/>
        <v>0.12096</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2591</v>
      </c>
    </row>
    <row r="142" spans="2:65" s="365" customFormat="1" ht="21.75" customHeight="1" x14ac:dyDescent="0.25">
      <c r="B142" s="364"/>
      <c r="C142" s="445" t="s">
        <v>116</v>
      </c>
      <c r="D142" s="445" t="s">
        <v>218</v>
      </c>
      <c r="E142" s="446" t="s">
        <v>1101</v>
      </c>
      <c r="F142" s="447" t="s">
        <v>3154</v>
      </c>
      <c r="G142" s="448" t="s">
        <v>112</v>
      </c>
      <c r="H142" s="449">
        <f>Ponuka!S134</f>
        <v>24.183000000000007</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2592</v>
      </c>
    </row>
    <row r="143" spans="2:65" s="434" customFormat="1" ht="22.9" customHeight="1" x14ac:dyDescent="0.2">
      <c r="B143" s="433"/>
      <c r="D143" s="435" t="s">
        <v>216</v>
      </c>
      <c r="E143" s="443" t="s">
        <v>108</v>
      </c>
      <c r="F143" s="443" t="s">
        <v>469</v>
      </c>
      <c r="I143" s="331"/>
      <c r="J143" s="444">
        <f>BK143</f>
        <v>0</v>
      </c>
      <c r="L143" s="433"/>
      <c r="M143" s="438"/>
      <c r="P143" s="439">
        <f>SUM(P144:P149)</f>
        <v>120.32979920999999</v>
      </c>
      <c r="R143" s="439">
        <f>SUM(R144:R149)</f>
        <v>90.86710571220398</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115</v>
      </c>
      <c r="D144" s="445" t="s">
        <v>218</v>
      </c>
      <c r="E144" s="446" t="s">
        <v>2173</v>
      </c>
      <c r="F144" s="447" t="s">
        <v>2593</v>
      </c>
      <c r="G144" s="448" t="s">
        <v>114</v>
      </c>
      <c r="H144" s="449">
        <v>15.135</v>
      </c>
      <c r="I144" s="329">
        <v>0</v>
      </c>
      <c r="J144" s="450">
        <f t="shared" ref="J144:J149" si="10">ROUND(I144*H144,2)</f>
        <v>0</v>
      </c>
      <c r="K144" s="451"/>
      <c r="L144" s="364"/>
      <c r="M144" s="452" t="s">
        <v>171</v>
      </c>
      <c r="N144" s="415" t="s">
        <v>185</v>
      </c>
      <c r="O144" s="453">
        <v>0.58055000000000001</v>
      </c>
      <c r="P144" s="453">
        <f t="shared" ref="P144:P149" si="11">O144*H144</f>
        <v>8.7866242500000009</v>
      </c>
      <c r="Q144" s="453">
        <v>2.204E-6</v>
      </c>
      <c r="R144" s="453">
        <f t="shared" ref="R144:R149" si="12">Q144*H144</f>
        <v>3.3357539999999996E-5</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2594</v>
      </c>
    </row>
    <row r="145" spans="2:65" s="365" customFormat="1" ht="24.2" customHeight="1" x14ac:dyDescent="0.25">
      <c r="B145" s="364"/>
      <c r="C145" s="457" t="s">
        <v>162</v>
      </c>
      <c r="D145" s="457" t="s">
        <v>259</v>
      </c>
      <c r="E145" s="458" t="s">
        <v>2176</v>
      </c>
      <c r="F145" s="459" t="s">
        <v>2177</v>
      </c>
      <c r="G145" s="460" t="s">
        <v>114</v>
      </c>
      <c r="H145" s="461">
        <v>15.135</v>
      </c>
      <c r="I145" s="330">
        <v>0</v>
      </c>
      <c r="J145" s="462">
        <f t="shared" si="10"/>
        <v>0</v>
      </c>
      <c r="K145" s="463"/>
      <c r="L145" s="464"/>
      <c r="M145" s="465" t="s">
        <v>171</v>
      </c>
      <c r="N145" s="466" t="s">
        <v>185</v>
      </c>
      <c r="O145" s="453">
        <v>0</v>
      </c>
      <c r="P145" s="453">
        <f t="shared" si="11"/>
        <v>0</v>
      </c>
      <c r="Q145" s="453">
        <v>2.1723499999999998</v>
      </c>
      <c r="R145" s="453">
        <f t="shared" si="12"/>
        <v>32.878517249999994</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2595</v>
      </c>
    </row>
    <row r="146" spans="2:65" s="365" customFormat="1" ht="16.5" customHeight="1" x14ac:dyDescent="0.25">
      <c r="B146" s="364"/>
      <c r="C146" s="445" t="s">
        <v>221</v>
      </c>
      <c r="D146" s="445" t="s">
        <v>218</v>
      </c>
      <c r="E146" s="446" t="s">
        <v>2179</v>
      </c>
      <c r="F146" s="447" t="s">
        <v>2180</v>
      </c>
      <c r="G146" s="448" t="s">
        <v>114</v>
      </c>
      <c r="H146" s="449">
        <v>12.241</v>
      </c>
      <c r="I146" s="329">
        <v>0</v>
      </c>
      <c r="J146" s="450">
        <f t="shared" si="10"/>
        <v>0</v>
      </c>
      <c r="K146" s="451"/>
      <c r="L146" s="364"/>
      <c r="M146" s="452" t="s">
        <v>171</v>
      </c>
      <c r="N146" s="415" t="s">
        <v>185</v>
      </c>
      <c r="O146" s="453">
        <v>0.58055999999999996</v>
      </c>
      <c r="P146" s="453">
        <f t="shared" si="11"/>
        <v>7.1066349599999992</v>
      </c>
      <c r="Q146" s="453">
        <v>2.2375227039999999</v>
      </c>
      <c r="R146" s="453">
        <f t="shared" si="12"/>
        <v>27.389515419663997</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2596</v>
      </c>
    </row>
    <row r="147" spans="2:65" s="365" customFormat="1" ht="24.2" customHeight="1" x14ac:dyDescent="0.25">
      <c r="B147" s="364"/>
      <c r="C147" s="457" t="s">
        <v>222</v>
      </c>
      <c r="D147" s="457" t="s">
        <v>259</v>
      </c>
      <c r="E147" s="458" t="s">
        <v>2182</v>
      </c>
      <c r="F147" s="459" t="s">
        <v>2183</v>
      </c>
      <c r="G147" s="460" t="s">
        <v>114</v>
      </c>
      <c r="H147" s="461">
        <v>12.241</v>
      </c>
      <c r="I147" s="330">
        <v>0</v>
      </c>
      <c r="J147" s="462">
        <f t="shared" si="10"/>
        <v>0</v>
      </c>
      <c r="K147" s="463"/>
      <c r="L147" s="464"/>
      <c r="M147" s="465" t="s">
        <v>171</v>
      </c>
      <c r="N147" s="466" t="s">
        <v>185</v>
      </c>
      <c r="O147" s="453">
        <v>0</v>
      </c>
      <c r="P147" s="453">
        <f t="shared" si="11"/>
        <v>0</v>
      </c>
      <c r="Q147" s="453">
        <v>2.1791999999999998</v>
      </c>
      <c r="R147" s="453">
        <f t="shared" si="12"/>
        <v>26.675587199999995</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2597</v>
      </c>
    </row>
    <row r="148" spans="2:65" s="365" customFormat="1" ht="21.75" customHeight="1" x14ac:dyDescent="0.25">
      <c r="B148" s="364"/>
      <c r="C148" s="445" t="s">
        <v>223</v>
      </c>
      <c r="D148" s="445" t="s">
        <v>218</v>
      </c>
      <c r="E148" s="446" t="s">
        <v>2185</v>
      </c>
      <c r="F148" s="447" t="s">
        <v>2186</v>
      </c>
      <c r="G148" s="448" t="s">
        <v>111</v>
      </c>
      <c r="H148" s="449">
        <v>70.47</v>
      </c>
      <c r="I148" s="329">
        <v>0</v>
      </c>
      <c r="J148" s="450">
        <f t="shared" si="10"/>
        <v>0</v>
      </c>
      <c r="K148" s="451"/>
      <c r="L148" s="364"/>
      <c r="M148" s="452" t="s">
        <v>171</v>
      </c>
      <c r="N148" s="415" t="s">
        <v>185</v>
      </c>
      <c r="O148" s="453">
        <v>1.052</v>
      </c>
      <c r="P148" s="453">
        <f t="shared" si="11"/>
        <v>74.134439999999998</v>
      </c>
      <c r="Q148" s="453">
        <v>5.5675500000000003E-2</v>
      </c>
      <c r="R148" s="453">
        <f t="shared" si="12"/>
        <v>3.9234524850000003</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2598</v>
      </c>
    </row>
    <row r="149" spans="2:65" s="365" customFormat="1" ht="24.2" customHeight="1" x14ac:dyDescent="0.25">
      <c r="B149" s="364"/>
      <c r="C149" s="445" t="s">
        <v>225</v>
      </c>
      <c r="D149" s="445" t="s">
        <v>218</v>
      </c>
      <c r="E149" s="446" t="s">
        <v>2188</v>
      </c>
      <c r="F149" s="447" t="s">
        <v>2189</v>
      </c>
      <c r="G149" s="448" t="s">
        <v>111</v>
      </c>
      <c r="H149" s="449">
        <v>70.47</v>
      </c>
      <c r="I149" s="329">
        <v>0</v>
      </c>
      <c r="J149" s="450">
        <f t="shared" si="10"/>
        <v>0</v>
      </c>
      <c r="K149" s="451"/>
      <c r="L149" s="364"/>
      <c r="M149" s="452" t="s">
        <v>171</v>
      </c>
      <c r="N149" s="415" t="s">
        <v>185</v>
      </c>
      <c r="O149" s="453">
        <v>0.43</v>
      </c>
      <c r="P149" s="453">
        <f t="shared" si="11"/>
        <v>30.302099999999999</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2599</v>
      </c>
    </row>
    <row r="150" spans="2:65" s="434" customFormat="1" ht="22.9" customHeight="1" x14ac:dyDescent="0.2">
      <c r="B150" s="433"/>
      <c r="D150" s="435" t="s">
        <v>216</v>
      </c>
      <c r="E150" s="443" t="s">
        <v>119</v>
      </c>
      <c r="F150" s="443" t="s">
        <v>541</v>
      </c>
      <c r="I150" s="331"/>
      <c r="J150" s="444">
        <f>BK150</f>
        <v>0</v>
      </c>
      <c r="L150" s="433"/>
      <c r="M150" s="438"/>
      <c r="P150" s="439">
        <f>SUM(P151:P160)</f>
        <v>33.383999999999993</v>
      </c>
      <c r="R150" s="439">
        <f>SUM(R151:R160)</f>
        <v>0.26880000000000082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226</v>
      </c>
      <c r="D151" s="445" t="s">
        <v>218</v>
      </c>
      <c r="E151" s="446" t="s">
        <v>2197</v>
      </c>
      <c r="F151" s="447" t="s">
        <v>2198</v>
      </c>
      <c r="G151" s="448" t="s">
        <v>2199</v>
      </c>
      <c r="H151" s="449">
        <v>5</v>
      </c>
      <c r="I151" s="329">
        <v>0</v>
      </c>
      <c r="J151" s="450">
        <f t="shared" ref="J151:J160" si="20">ROUND(I151*H151,2)</f>
        <v>0</v>
      </c>
      <c r="K151" s="451"/>
      <c r="L151" s="364"/>
      <c r="M151" s="452" t="s">
        <v>171</v>
      </c>
      <c r="N151" s="415" t="s">
        <v>185</v>
      </c>
      <c r="O151" s="453">
        <v>4.8000000000000001E-2</v>
      </c>
      <c r="P151" s="453">
        <f t="shared" ref="P151:P160" si="21">O151*H151</f>
        <v>0.24</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2600</v>
      </c>
    </row>
    <row r="152" spans="2:65" s="365" customFormat="1" ht="16.5" customHeight="1" x14ac:dyDescent="0.25">
      <c r="B152" s="364"/>
      <c r="C152" s="445" t="s">
        <v>227</v>
      </c>
      <c r="D152" s="445" t="s">
        <v>218</v>
      </c>
      <c r="E152" s="446" t="s">
        <v>2201</v>
      </c>
      <c r="F152" s="447" t="s">
        <v>2202</v>
      </c>
      <c r="G152" s="448" t="s">
        <v>2199</v>
      </c>
      <c r="H152" s="449">
        <v>5</v>
      </c>
      <c r="I152" s="329">
        <v>0</v>
      </c>
      <c r="J152" s="450">
        <f t="shared" si="20"/>
        <v>0</v>
      </c>
      <c r="K152" s="451"/>
      <c r="L152" s="364"/>
      <c r="M152" s="452" t="s">
        <v>171</v>
      </c>
      <c r="N152" s="415" t="s">
        <v>185</v>
      </c>
      <c r="O152" s="453">
        <v>4.8000000000000001E-2</v>
      </c>
      <c r="P152" s="453">
        <f t="shared" si="21"/>
        <v>0.24</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2601</v>
      </c>
    </row>
    <row r="153" spans="2:65" s="365" customFormat="1" ht="24.2" customHeight="1" x14ac:dyDescent="0.25">
      <c r="B153" s="364"/>
      <c r="C153" s="445" t="s">
        <v>228</v>
      </c>
      <c r="D153" s="445" t="s">
        <v>218</v>
      </c>
      <c r="E153" s="446" t="s">
        <v>2191</v>
      </c>
      <c r="F153" s="447" t="s">
        <v>2192</v>
      </c>
      <c r="G153" s="448" t="s">
        <v>113</v>
      </c>
      <c r="H153" s="449">
        <v>672</v>
      </c>
      <c r="I153" s="329">
        <v>0</v>
      </c>
      <c r="J153" s="450">
        <f t="shared" si="20"/>
        <v>0</v>
      </c>
      <c r="K153" s="451"/>
      <c r="L153" s="364"/>
      <c r="M153" s="452" t="s">
        <v>171</v>
      </c>
      <c r="N153" s="415" t="s">
        <v>185</v>
      </c>
      <c r="O153" s="453">
        <v>3.6999999999999998E-2</v>
      </c>
      <c r="P153" s="453">
        <f t="shared" si="21"/>
        <v>24.863999999999997</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2602</v>
      </c>
    </row>
    <row r="154" spans="2:65" s="365" customFormat="1" ht="24.2" customHeight="1" x14ac:dyDescent="0.25">
      <c r="B154" s="364"/>
      <c r="C154" s="457" t="s">
        <v>229</v>
      </c>
      <c r="D154" s="457" t="s">
        <v>259</v>
      </c>
      <c r="E154" s="458" t="s">
        <v>2194</v>
      </c>
      <c r="F154" s="459" t="s">
        <v>2195</v>
      </c>
      <c r="G154" s="460" t="s">
        <v>113</v>
      </c>
      <c r="H154" s="461">
        <v>672.00000000000205</v>
      </c>
      <c r="I154" s="330">
        <v>0</v>
      </c>
      <c r="J154" s="462">
        <f t="shared" si="20"/>
        <v>0</v>
      </c>
      <c r="K154" s="463"/>
      <c r="L154" s="464"/>
      <c r="M154" s="465" t="s">
        <v>171</v>
      </c>
      <c r="N154" s="466" t="s">
        <v>185</v>
      </c>
      <c r="O154" s="453">
        <v>0</v>
      </c>
      <c r="P154" s="453">
        <f t="shared" si="21"/>
        <v>0</v>
      </c>
      <c r="Q154" s="453">
        <v>4.0000000000000002E-4</v>
      </c>
      <c r="R154" s="453">
        <f t="shared" si="22"/>
        <v>0.26880000000000082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2603</v>
      </c>
    </row>
    <row r="155" spans="2:65" s="365" customFormat="1" ht="16.5" customHeight="1" x14ac:dyDescent="0.25">
      <c r="B155" s="364"/>
      <c r="C155" s="445" t="s">
        <v>231</v>
      </c>
      <c r="D155" s="445" t="s">
        <v>218</v>
      </c>
      <c r="E155" s="446" t="s">
        <v>1648</v>
      </c>
      <c r="F155" s="447" t="s">
        <v>1649</v>
      </c>
      <c r="G155" s="448" t="s">
        <v>123</v>
      </c>
      <c r="H155" s="449">
        <v>28</v>
      </c>
      <c r="I155" s="329">
        <v>0</v>
      </c>
      <c r="J155" s="450">
        <f t="shared" si="20"/>
        <v>0</v>
      </c>
      <c r="K155" s="451"/>
      <c r="L155" s="364"/>
      <c r="M155" s="452" t="s">
        <v>171</v>
      </c>
      <c r="N155" s="415" t="s">
        <v>185</v>
      </c>
      <c r="O155" s="453">
        <v>5.5E-2</v>
      </c>
      <c r="P155" s="453">
        <f t="shared" si="21"/>
        <v>1.54</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2604</v>
      </c>
    </row>
    <row r="156" spans="2:65" s="365" customFormat="1" ht="16.5" customHeight="1" x14ac:dyDescent="0.25">
      <c r="B156" s="364"/>
      <c r="C156" s="445" t="s">
        <v>232</v>
      </c>
      <c r="D156" s="445" t="s">
        <v>218</v>
      </c>
      <c r="E156" s="446" t="s">
        <v>2205</v>
      </c>
      <c r="F156" s="447" t="s">
        <v>2206</v>
      </c>
      <c r="G156" s="448" t="s">
        <v>123</v>
      </c>
      <c r="H156" s="449">
        <v>28</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2207</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2207</v>
      </c>
      <c r="BM156" s="455" t="s">
        <v>2605</v>
      </c>
    </row>
    <row r="157" spans="2:65" s="365" customFormat="1" ht="16.5" customHeight="1" x14ac:dyDescent="0.25">
      <c r="B157" s="364"/>
      <c r="C157" s="445" t="s">
        <v>234</v>
      </c>
      <c r="D157" s="445" t="s">
        <v>218</v>
      </c>
      <c r="E157" s="446" t="s">
        <v>1654</v>
      </c>
      <c r="F157" s="447" t="s">
        <v>2209</v>
      </c>
      <c r="G157" s="448" t="s">
        <v>123</v>
      </c>
      <c r="H157" s="449">
        <v>4</v>
      </c>
      <c r="I157" s="329">
        <v>0</v>
      </c>
      <c r="J157" s="450">
        <f t="shared" si="20"/>
        <v>0</v>
      </c>
      <c r="K157" s="451"/>
      <c r="L157" s="364"/>
      <c r="M157" s="452" t="s">
        <v>171</v>
      </c>
      <c r="N157" s="415" t="s">
        <v>185</v>
      </c>
      <c r="O157" s="453">
        <v>1.4770000000000001</v>
      </c>
      <c r="P157" s="453">
        <f t="shared" si="21"/>
        <v>5.9080000000000004</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2606</v>
      </c>
    </row>
    <row r="158" spans="2:65" s="365" customFormat="1" ht="24.2" customHeight="1" x14ac:dyDescent="0.25">
      <c r="B158" s="364"/>
      <c r="C158" s="445" t="s">
        <v>235</v>
      </c>
      <c r="D158" s="445" t="s">
        <v>218</v>
      </c>
      <c r="E158" s="446" t="s">
        <v>2211</v>
      </c>
      <c r="F158" s="447" t="s">
        <v>2212</v>
      </c>
      <c r="G158" s="448" t="s">
        <v>123</v>
      </c>
      <c r="H158" s="449">
        <v>4</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2207</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2207</v>
      </c>
      <c r="BM158" s="455" t="s">
        <v>2607</v>
      </c>
    </row>
    <row r="159" spans="2:65" s="365" customFormat="1" ht="21.75" customHeight="1" x14ac:dyDescent="0.25">
      <c r="B159" s="364"/>
      <c r="C159" s="445" t="s">
        <v>236</v>
      </c>
      <c r="D159" s="445" t="s">
        <v>218</v>
      </c>
      <c r="E159" s="446" t="s">
        <v>2214</v>
      </c>
      <c r="F159" s="447" t="s">
        <v>2215</v>
      </c>
      <c r="G159" s="448" t="s">
        <v>123</v>
      </c>
      <c r="H159" s="449">
        <v>4</v>
      </c>
      <c r="I159" s="329">
        <v>0</v>
      </c>
      <c r="J159" s="450">
        <f t="shared" si="20"/>
        <v>0</v>
      </c>
      <c r="K159" s="451"/>
      <c r="L159" s="364"/>
      <c r="M159" s="452" t="s">
        <v>171</v>
      </c>
      <c r="N159" s="415" t="s">
        <v>185</v>
      </c>
      <c r="O159" s="453">
        <v>0.14799999999999999</v>
      </c>
      <c r="P159" s="453">
        <f t="shared" si="21"/>
        <v>0.59199999999999997</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2608</v>
      </c>
    </row>
    <row r="160" spans="2:65" s="365" customFormat="1" ht="16.5" customHeight="1" x14ac:dyDescent="0.25">
      <c r="B160" s="364"/>
      <c r="C160" s="445" t="s">
        <v>237</v>
      </c>
      <c r="D160" s="445" t="s">
        <v>218</v>
      </c>
      <c r="E160" s="446" t="s">
        <v>2217</v>
      </c>
      <c r="F160" s="447" t="s">
        <v>2218</v>
      </c>
      <c r="G160" s="448" t="s">
        <v>123</v>
      </c>
      <c r="H160" s="449">
        <v>4</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2207</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2207</v>
      </c>
      <c r="BM160" s="455" t="s">
        <v>2609</v>
      </c>
    </row>
    <row r="161" spans="2:65" s="434" customFormat="1" ht="22.9" customHeight="1" x14ac:dyDescent="0.2">
      <c r="B161" s="433"/>
      <c r="D161" s="435" t="s">
        <v>216</v>
      </c>
      <c r="E161" s="443" t="s">
        <v>115</v>
      </c>
      <c r="F161" s="443" t="s">
        <v>1023</v>
      </c>
      <c r="I161" s="331"/>
      <c r="J161" s="444">
        <f>BK161</f>
        <v>0</v>
      </c>
      <c r="L161" s="433"/>
      <c r="M161" s="438"/>
      <c r="P161" s="439">
        <f>SUM(P162:P164)</f>
        <v>15.78</v>
      </c>
      <c r="R161" s="439">
        <f>SUM(R162:R164)</f>
        <v>0.3</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238</v>
      </c>
      <c r="D162" s="445" t="s">
        <v>218</v>
      </c>
      <c r="E162" s="446" t="s">
        <v>2220</v>
      </c>
      <c r="F162" s="447" t="s">
        <v>2221</v>
      </c>
      <c r="G162" s="448" t="s">
        <v>123</v>
      </c>
      <c r="H162" s="449">
        <v>4</v>
      </c>
      <c r="I162" s="329">
        <v>0</v>
      </c>
      <c r="J162" s="450">
        <f>ROUND(I162*H162,2)</f>
        <v>0</v>
      </c>
      <c r="K162" s="451"/>
      <c r="L162" s="364"/>
      <c r="M162" s="452" t="s">
        <v>171</v>
      </c>
      <c r="N162" s="415" t="s">
        <v>185</v>
      </c>
      <c r="O162" s="453">
        <v>3.9449999999999998</v>
      </c>
      <c r="P162" s="453">
        <f>O162*H162</f>
        <v>15.78</v>
      </c>
      <c r="Q162" s="453">
        <v>7.4999999999999997E-2</v>
      </c>
      <c r="R162" s="453">
        <f>Q162*H162</f>
        <v>0.3</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2610</v>
      </c>
    </row>
    <row r="163" spans="2:65" s="365" customFormat="1" ht="16.5" customHeight="1" x14ac:dyDescent="0.25">
      <c r="B163" s="364"/>
      <c r="C163" s="445" t="s">
        <v>239</v>
      </c>
      <c r="D163" s="445" t="s">
        <v>218</v>
      </c>
      <c r="E163" s="446" t="s">
        <v>2223</v>
      </c>
      <c r="F163" s="447" t="s">
        <v>2224</v>
      </c>
      <c r="G163" s="448" t="s">
        <v>123</v>
      </c>
      <c r="H163" s="449">
        <v>4</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2611</v>
      </c>
    </row>
    <row r="164" spans="2:65" s="365" customFormat="1" ht="24.2" customHeight="1" x14ac:dyDescent="0.25">
      <c r="B164" s="364"/>
      <c r="C164" s="445" t="s">
        <v>240</v>
      </c>
      <c r="D164" s="445" t="s">
        <v>218</v>
      </c>
      <c r="E164" s="446" t="s">
        <v>2226</v>
      </c>
      <c r="F164" s="447" t="s">
        <v>2227</v>
      </c>
      <c r="G164" s="448" t="s">
        <v>123</v>
      </c>
      <c r="H164" s="449">
        <v>4</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2612</v>
      </c>
    </row>
    <row r="165" spans="2:65" s="434" customFormat="1" ht="22.9" customHeight="1" x14ac:dyDescent="0.2">
      <c r="B165" s="433"/>
      <c r="D165" s="435" t="s">
        <v>216</v>
      </c>
      <c r="E165" s="443" t="s">
        <v>162</v>
      </c>
      <c r="F165" s="443" t="s">
        <v>633</v>
      </c>
      <c r="I165" s="331"/>
      <c r="J165" s="444">
        <f>BK165</f>
        <v>0</v>
      </c>
      <c r="L165" s="433"/>
      <c r="M165" s="438"/>
      <c r="P165" s="439">
        <f>SUM(P166:P173)</f>
        <v>186.64221400000002</v>
      </c>
      <c r="R165" s="439">
        <f>SUM(R166:R173)</f>
        <v>1.82628E-3</v>
      </c>
      <c r="T165" s="440">
        <f>SUM(T166:T173)</f>
        <v>15.895000000000001</v>
      </c>
      <c r="AR165" s="435" t="s">
        <v>109</v>
      </c>
      <c r="AT165" s="441" t="s">
        <v>216</v>
      </c>
      <c r="AU165" s="441" t="s">
        <v>109</v>
      </c>
      <c r="AY165" s="435" t="s">
        <v>217</v>
      </c>
      <c r="BK165" s="442">
        <f>SUM(BK166:BK173)</f>
        <v>0</v>
      </c>
    </row>
    <row r="166" spans="2:65" s="365" customFormat="1" ht="24.2" customHeight="1" x14ac:dyDescent="0.25">
      <c r="B166" s="364"/>
      <c r="C166" s="445" t="s">
        <v>241</v>
      </c>
      <c r="D166" s="445" t="s">
        <v>218</v>
      </c>
      <c r="E166" s="446" t="s">
        <v>2229</v>
      </c>
      <c r="F166" s="447" t="s">
        <v>2230</v>
      </c>
      <c r="G166" s="448" t="s">
        <v>113</v>
      </c>
      <c r="H166" s="449">
        <v>114</v>
      </c>
      <c r="I166" s="329">
        <v>0</v>
      </c>
      <c r="J166" s="450">
        <f t="shared" ref="J166:J173" si="30">ROUND(I166*H166,2)</f>
        <v>0</v>
      </c>
      <c r="K166" s="451"/>
      <c r="L166" s="364"/>
      <c r="M166" s="452" t="s">
        <v>171</v>
      </c>
      <c r="N166" s="415" t="s">
        <v>185</v>
      </c>
      <c r="O166" s="453">
        <v>0.314</v>
      </c>
      <c r="P166" s="453">
        <f t="shared" ref="P166:P173" si="31">O166*H166</f>
        <v>35.795999999999999</v>
      </c>
      <c r="Q166" s="453">
        <v>8.9999999999999996E-7</v>
      </c>
      <c r="R166" s="453">
        <f t="shared" ref="R166:R173" si="32">Q166*H166</f>
        <v>1.026E-4</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2613</v>
      </c>
    </row>
    <row r="167" spans="2:65" s="365" customFormat="1" ht="24.2" customHeight="1" x14ac:dyDescent="0.25">
      <c r="B167" s="364"/>
      <c r="C167" s="445" t="s">
        <v>242</v>
      </c>
      <c r="D167" s="445" t="s">
        <v>218</v>
      </c>
      <c r="E167" s="446" t="s">
        <v>2232</v>
      </c>
      <c r="F167" s="447" t="s">
        <v>2233</v>
      </c>
      <c r="G167" s="448" t="s">
        <v>113</v>
      </c>
      <c r="H167" s="449">
        <v>114</v>
      </c>
      <c r="I167" s="329">
        <v>0</v>
      </c>
      <c r="J167" s="450">
        <f t="shared" si="30"/>
        <v>0</v>
      </c>
      <c r="K167" s="451"/>
      <c r="L167" s="364"/>
      <c r="M167" s="452" t="s">
        <v>171</v>
      </c>
      <c r="N167" s="415" t="s">
        <v>185</v>
      </c>
      <c r="O167" s="453">
        <v>0.85702</v>
      </c>
      <c r="P167" s="453">
        <f t="shared" si="31"/>
        <v>97.700280000000006</v>
      </c>
      <c r="Q167" s="453">
        <v>1.5119999999999999E-5</v>
      </c>
      <c r="R167" s="453">
        <f t="shared" si="32"/>
        <v>1.72368E-3</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2614</v>
      </c>
    </row>
    <row r="168" spans="2:65" s="365" customFormat="1" ht="37.9" customHeight="1" x14ac:dyDescent="0.25">
      <c r="B168" s="364"/>
      <c r="C168" s="445" t="s">
        <v>243</v>
      </c>
      <c r="D168" s="445" t="s">
        <v>218</v>
      </c>
      <c r="E168" s="446" t="s">
        <v>1488</v>
      </c>
      <c r="F168" s="447" t="s">
        <v>1489</v>
      </c>
      <c r="G168" s="448" t="s">
        <v>114</v>
      </c>
      <c r="H168" s="449">
        <v>7.2249999999999996</v>
      </c>
      <c r="I168" s="329">
        <v>0</v>
      </c>
      <c r="J168" s="450">
        <f t="shared" si="30"/>
        <v>0</v>
      </c>
      <c r="K168" s="451"/>
      <c r="L168" s="364"/>
      <c r="M168" s="452" t="s">
        <v>171</v>
      </c>
      <c r="N168" s="415" t="s">
        <v>185</v>
      </c>
      <c r="O168" s="453">
        <v>5.1219999999999999</v>
      </c>
      <c r="P168" s="453">
        <f t="shared" si="31"/>
        <v>37.006449999999994</v>
      </c>
      <c r="Q168" s="453">
        <v>0</v>
      </c>
      <c r="R168" s="453">
        <f t="shared" si="32"/>
        <v>0</v>
      </c>
      <c r="S168" s="453">
        <v>2.2000000000000002</v>
      </c>
      <c r="T168" s="454">
        <f t="shared" si="33"/>
        <v>15.895000000000001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2615</v>
      </c>
    </row>
    <row r="169" spans="2:65" s="365" customFormat="1" ht="24.2" customHeight="1" x14ac:dyDescent="0.25">
      <c r="B169" s="364"/>
      <c r="C169" s="445" t="s">
        <v>244</v>
      </c>
      <c r="D169" s="445" t="s">
        <v>218</v>
      </c>
      <c r="E169" s="446" t="s">
        <v>652</v>
      </c>
      <c r="F169" s="447" t="s">
        <v>2616</v>
      </c>
      <c r="G169" s="448" t="s">
        <v>112</v>
      </c>
      <c r="H169" s="449">
        <f>H176+H177</f>
        <v>26.721000000000007</v>
      </c>
      <c r="I169" s="329">
        <v>0</v>
      </c>
      <c r="J169" s="450">
        <f t="shared" si="30"/>
        <v>0</v>
      </c>
      <c r="K169" s="451"/>
      <c r="L169" s="364"/>
      <c r="M169" s="452" t="s">
        <v>171</v>
      </c>
      <c r="N169" s="415" t="s">
        <v>185</v>
      </c>
      <c r="O169" s="453">
        <v>0.59799999999999998</v>
      </c>
      <c r="P169" s="453">
        <f t="shared" si="31"/>
        <v>15.979158000000004</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2617</v>
      </c>
    </row>
    <row r="170" spans="2:65" s="365" customFormat="1" ht="62.65" customHeight="1" x14ac:dyDescent="0.25">
      <c r="B170" s="364"/>
      <c r="C170" s="445" t="s">
        <v>245</v>
      </c>
      <c r="D170" s="445" t="s">
        <v>218</v>
      </c>
      <c r="E170" s="446" t="s">
        <v>635</v>
      </c>
      <c r="F170" s="447" t="s">
        <v>3155</v>
      </c>
      <c r="G170" s="448" t="s">
        <v>112</v>
      </c>
      <c r="H170" s="449">
        <f>Ponuka!L134</f>
        <v>24.940999999999999</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2618</v>
      </c>
    </row>
    <row r="171" spans="2:65" s="365" customFormat="1" ht="62.65" customHeight="1" x14ac:dyDescent="0.25">
      <c r="B171" s="364"/>
      <c r="C171" s="445" t="s">
        <v>246</v>
      </c>
      <c r="D171" s="445" t="s">
        <v>218</v>
      </c>
      <c r="E171" s="446" t="s">
        <v>926</v>
      </c>
      <c r="F171" s="447" t="s">
        <v>3156</v>
      </c>
      <c r="G171" s="448" t="s">
        <v>112</v>
      </c>
      <c r="H171" s="449">
        <f>Ponuka!N134</f>
        <v>37.407999999999994</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2619</v>
      </c>
    </row>
    <row r="172" spans="2:65" s="365" customFormat="1" ht="66.75" customHeight="1" x14ac:dyDescent="0.25">
      <c r="B172" s="364"/>
      <c r="C172" s="445" t="s">
        <v>247</v>
      </c>
      <c r="D172" s="445" t="s">
        <v>218</v>
      </c>
      <c r="E172" s="446" t="s">
        <v>638</v>
      </c>
      <c r="F172" s="447" t="s">
        <v>3157</v>
      </c>
      <c r="G172" s="448" t="s">
        <v>112</v>
      </c>
      <c r="H172" s="449">
        <f>Ponuka!R134</f>
        <v>56.426999999999992</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2620</v>
      </c>
    </row>
    <row r="173" spans="2:65" s="365" customFormat="1" ht="24.2" customHeight="1" x14ac:dyDescent="0.25">
      <c r="B173" s="364"/>
      <c r="C173" s="445" t="s">
        <v>248</v>
      </c>
      <c r="D173" s="445" t="s">
        <v>218</v>
      </c>
      <c r="E173" s="446" t="s">
        <v>641</v>
      </c>
      <c r="F173" s="447" t="s">
        <v>642</v>
      </c>
      <c r="G173" s="448" t="s">
        <v>112</v>
      </c>
      <c r="H173" s="449">
        <f>H169</f>
        <v>26.721000000000007</v>
      </c>
      <c r="I173" s="329">
        <v>0</v>
      </c>
      <c r="J173" s="450">
        <f t="shared" si="30"/>
        <v>0</v>
      </c>
      <c r="K173" s="451"/>
      <c r="L173" s="364"/>
      <c r="M173" s="452" t="s">
        <v>171</v>
      </c>
      <c r="N173" s="415" t="s">
        <v>185</v>
      </c>
      <c r="O173" s="453">
        <v>6.0000000000000001E-3</v>
      </c>
      <c r="P173" s="453">
        <f t="shared" si="31"/>
        <v>0.16032600000000005</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2621</v>
      </c>
    </row>
    <row r="174" spans="2:65" s="434" customFormat="1" ht="22.9" customHeight="1" x14ac:dyDescent="0.2">
      <c r="B174" s="433"/>
      <c r="D174" s="435" t="s">
        <v>216</v>
      </c>
      <c r="E174" s="443" t="s">
        <v>649</v>
      </c>
      <c r="F174" s="443" t="s">
        <v>650</v>
      </c>
      <c r="I174" s="331"/>
      <c r="J174" s="444">
        <f>BK174</f>
        <v>0</v>
      </c>
      <c r="L174" s="433"/>
      <c r="M174" s="438"/>
      <c r="P174" s="439">
        <f>SUM(P175:P180)</f>
        <v>11.252178000000001</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249</v>
      </c>
      <c r="D175" s="445" t="s">
        <v>218</v>
      </c>
      <c r="E175" s="446" t="s">
        <v>942</v>
      </c>
      <c r="F175" s="447" t="s">
        <v>2622</v>
      </c>
      <c r="G175" s="448" t="s">
        <v>112</v>
      </c>
      <c r="H175" s="449">
        <f>H173*22</f>
        <v>587.86200000000019</v>
      </c>
      <c r="I175" s="329">
        <v>0</v>
      </c>
      <c r="J175" s="450">
        <f t="shared" ref="J175:J180" si="40">ROUND(I175*H175,2)</f>
        <v>0</v>
      </c>
      <c r="K175" s="451"/>
      <c r="L175" s="364"/>
      <c r="M175" s="452" t="s">
        <v>171</v>
      </c>
      <c r="N175" s="415" t="s">
        <v>185</v>
      </c>
      <c r="O175" s="453">
        <v>7.0000000000000001E-3</v>
      </c>
      <c r="P175" s="453">
        <f t="shared" ref="P175:P180" si="41">O175*H175</f>
        <v>4.1150340000000014</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2623</v>
      </c>
    </row>
    <row r="176" spans="2:65" s="365" customFormat="1" ht="21.75" customHeight="1" x14ac:dyDescent="0.25">
      <c r="B176" s="364"/>
      <c r="C176" s="445" t="s">
        <v>250</v>
      </c>
      <c r="D176" s="445" t="s">
        <v>218</v>
      </c>
      <c r="E176" s="446" t="s">
        <v>946</v>
      </c>
      <c r="F176" s="447" t="s">
        <v>3158</v>
      </c>
      <c r="G176" s="448" t="s">
        <v>112</v>
      </c>
      <c r="H176" s="449">
        <f>Ponuka!M134</f>
        <v>10.689000000000004</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2624</v>
      </c>
    </row>
    <row r="177" spans="2:65" s="365" customFormat="1" ht="24.2" customHeight="1" x14ac:dyDescent="0.25">
      <c r="B177" s="364"/>
      <c r="C177" s="445" t="s">
        <v>251</v>
      </c>
      <c r="D177" s="445" t="s">
        <v>218</v>
      </c>
      <c r="E177" s="446" t="s">
        <v>949</v>
      </c>
      <c r="F177" s="447" t="s">
        <v>3159</v>
      </c>
      <c r="G177" s="448" t="s">
        <v>112</v>
      </c>
      <c r="H177" s="449">
        <f>Ponuka!O134</f>
        <v>16.032000000000004</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2625</v>
      </c>
    </row>
    <row r="178" spans="2:65" s="365" customFormat="1" ht="24.2" customHeight="1" x14ac:dyDescent="0.25">
      <c r="B178" s="364"/>
      <c r="C178" s="445" t="s">
        <v>252</v>
      </c>
      <c r="D178" s="445" t="s">
        <v>218</v>
      </c>
      <c r="E178" s="446" t="s">
        <v>2247</v>
      </c>
      <c r="F178" s="447" t="s">
        <v>2248</v>
      </c>
      <c r="G178" s="448" t="s">
        <v>112</v>
      </c>
      <c r="H178" s="449">
        <v>104.958</v>
      </c>
      <c r="I178" s="329">
        <v>0</v>
      </c>
      <c r="J178" s="450">
        <f t="shared" si="40"/>
        <v>0</v>
      </c>
      <c r="K178" s="451"/>
      <c r="L178" s="364"/>
      <c r="M178" s="452" t="s">
        <v>171</v>
      </c>
      <c r="N178" s="415" t="s">
        <v>185</v>
      </c>
      <c r="O178" s="453">
        <v>0.03</v>
      </c>
      <c r="P178" s="453">
        <f t="shared" si="41"/>
        <v>3.1487399999999997</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2626</v>
      </c>
    </row>
    <row r="179" spans="2:65" s="365" customFormat="1" ht="49.15" customHeight="1" x14ac:dyDescent="0.25">
      <c r="B179" s="364"/>
      <c r="C179" s="445" t="s">
        <v>253</v>
      </c>
      <c r="D179" s="445" t="s">
        <v>218</v>
      </c>
      <c r="E179" s="446" t="s">
        <v>2250</v>
      </c>
      <c r="F179" s="447" t="s">
        <v>2251</v>
      </c>
      <c r="G179" s="448" t="s">
        <v>112</v>
      </c>
      <c r="H179" s="449">
        <v>104.958</v>
      </c>
      <c r="I179" s="329">
        <v>0</v>
      </c>
      <c r="J179" s="450">
        <f t="shared" si="40"/>
        <v>0</v>
      </c>
      <c r="K179" s="451"/>
      <c r="L179" s="364"/>
      <c r="M179" s="452" t="s">
        <v>171</v>
      </c>
      <c r="N179" s="415" t="s">
        <v>185</v>
      </c>
      <c r="O179" s="453">
        <v>1.4E-2</v>
      </c>
      <c r="P179" s="453">
        <f t="shared" si="41"/>
        <v>1.4694119999999999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2627</v>
      </c>
    </row>
    <row r="180" spans="2:65" s="365" customFormat="1" ht="37.9" customHeight="1" x14ac:dyDescent="0.25">
      <c r="B180" s="364"/>
      <c r="C180" s="445" t="s">
        <v>254</v>
      </c>
      <c r="D180" s="445" t="s">
        <v>218</v>
      </c>
      <c r="E180" s="446" t="s">
        <v>2253</v>
      </c>
      <c r="F180" s="447" t="s">
        <v>2254</v>
      </c>
      <c r="G180" s="448" t="s">
        <v>112</v>
      </c>
      <c r="H180" s="449">
        <v>419.83199999999999</v>
      </c>
      <c r="I180" s="329">
        <v>0</v>
      </c>
      <c r="J180" s="450">
        <f t="shared" si="40"/>
        <v>0</v>
      </c>
      <c r="K180" s="451"/>
      <c r="L180" s="364"/>
      <c r="M180" s="452" t="s">
        <v>171</v>
      </c>
      <c r="N180" s="415" t="s">
        <v>185</v>
      </c>
      <c r="O180" s="453">
        <v>6.0000000000000001E-3</v>
      </c>
      <c r="P180" s="453">
        <f t="shared" si="41"/>
        <v>2.5189919999999999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2628</v>
      </c>
    </row>
    <row r="181" spans="2:65" s="434" customFormat="1" ht="25.9" customHeight="1" x14ac:dyDescent="0.2">
      <c r="B181" s="433"/>
      <c r="D181" s="435" t="s">
        <v>216</v>
      </c>
      <c r="E181" s="436" t="s">
        <v>662</v>
      </c>
      <c r="F181" s="436" t="s">
        <v>663</v>
      </c>
      <c r="I181" s="331"/>
      <c r="J181" s="437">
        <f>BK181</f>
        <v>0</v>
      </c>
      <c r="L181" s="433"/>
      <c r="M181" s="438"/>
      <c r="P181" s="439">
        <f>P182</f>
        <v>7.9460979399999996</v>
      </c>
      <c r="R181" s="439">
        <f>R182</f>
        <v>3.3802833859999992E-2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668</v>
      </c>
      <c r="F182" s="443" t="s">
        <v>669</v>
      </c>
      <c r="I182" s="331"/>
      <c r="J182" s="444">
        <f>BK182</f>
        <v>0</v>
      </c>
      <c r="L182" s="433"/>
      <c r="M182" s="438"/>
      <c r="P182" s="439">
        <f>SUM(P183:P188)</f>
        <v>7.9460979399999996</v>
      </c>
      <c r="R182" s="439">
        <f>SUM(R183:R188)</f>
        <v>3.3802833859999992E-2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255</v>
      </c>
      <c r="D183" s="445" t="s">
        <v>218</v>
      </c>
      <c r="E183" s="446" t="s">
        <v>2256</v>
      </c>
      <c r="F183" s="447" t="s">
        <v>2257</v>
      </c>
      <c r="G183" s="448" t="s">
        <v>111</v>
      </c>
      <c r="H183" s="449">
        <v>26.741</v>
      </c>
      <c r="I183" s="329">
        <v>0</v>
      </c>
      <c r="J183" s="450">
        <f t="shared" ref="J183:J188" si="50">ROUND(I183*H183,2)</f>
        <v>0</v>
      </c>
      <c r="K183" s="451"/>
      <c r="L183" s="364"/>
      <c r="M183" s="452" t="s">
        <v>171</v>
      </c>
      <c r="N183" s="415" t="s">
        <v>185</v>
      </c>
      <c r="O183" s="453">
        <v>0.16400000000000001</v>
      </c>
      <c r="P183" s="453">
        <f t="shared" ref="P183:P188" si="51">O183*H183</f>
        <v>4.3855240000000002</v>
      </c>
      <c r="Q183" s="453">
        <v>5.5345999999999998E-4</v>
      </c>
      <c r="R183" s="453">
        <f t="shared" ref="R183:R188" si="52">Q183*H183</f>
        <v>1.4800073859999999E-2</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2629</v>
      </c>
    </row>
    <row r="184" spans="2:65" s="365" customFormat="1" ht="24.2" customHeight="1" x14ac:dyDescent="0.25">
      <c r="B184" s="364"/>
      <c r="C184" s="457" t="s">
        <v>256</v>
      </c>
      <c r="D184" s="457" t="s">
        <v>259</v>
      </c>
      <c r="E184" s="458" t="s">
        <v>2259</v>
      </c>
      <c r="F184" s="459" t="s">
        <v>2260</v>
      </c>
      <c r="G184" s="460" t="s">
        <v>536</v>
      </c>
      <c r="H184" s="461">
        <v>5.0839999999999996</v>
      </c>
      <c r="I184" s="330">
        <v>0</v>
      </c>
      <c r="J184" s="462">
        <f t="shared" si="50"/>
        <v>0</v>
      </c>
      <c r="K184" s="463"/>
      <c r="L184" s="464"/>
      <c r="M184" s="465" t="s">
        <v>171</v>
      </c>
      <c r="N184" s="466" t="s">
        <v>185</v>
      </c>
      <c r="O184" s="453">
        <v>0</v>
      </c>
      <c r="P184" s="453">
        <f t="shared" si="51"/>
        <v>0</v>
      </c>
      <c r="Q184" s="453">
        <v>1E-3</v>
      </c>
      <c r="R184" s="453">
        <f t="shared" si="52"/>
        <v>5.084E-3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2630</v>
      </c>
    </row>
    <row r="185" spans="2:65" s="365" customFormat="1" ht="24.2" customHeight="1" x14ac:dyDescent="0.25">
      <c r="B185" s="364"/>
      <c r="C185" s="445" t="s">
        <v>257</v>
      </c>
      <c r="D185" s="445" t="s">
        <v>218</v>
      </c>
      <c r="E185" s="446" t="s">
        <v>2262</v>
      </c>
      <c r="F185" s="447" t="s">
        <v>2263</v>
      </c>
      <c r="G185" s="448" t="s">
        <v>111</v>
      </c>
      <c r="H185" s="449">
        <v>13.371</v>
      </c>
      <c r="I185" s="329">
        <v>0</v>
      </c>
      <c r="J185" s="450">
        <f t="shared" si="50"/>
        <v>0</v>
      </c>
      <c r="K185" s="451"/>
      <c r="L185" s="364"/>
      <c r="M185" s="452" t="s">
        <v>171</v>
      </c>
      <c r="N185" s="415" t="s">
        <v>185</v>
      </c>
      <c r="O185" s="453">
        <v>0.04</v>
      </c>
      <c r="P185" s="453">
        <f t="shared" si="51"/>
        <v>0.53483999999999998</v>
      </c>
      <c r="Q185" s="453">
        <v>2.5999999999999998E-4</v>
      </c>
      <c r="R185" s="453">
        <f t="shared" si="52"/>
        <v>3.4764599999999998E-3</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2631</v>
      </c>
    </row>
    <row r="186" spans="2:65" s="365" customFormat="1" ht="24.2" customHeight="1" x14ac:dyDescent="0.25">
      <c r="B186" s="364"/>
      <c r="C186" s="457" t="s">
        <v>258</v>
      </c>
      <c r="D186" s="457" t="s">
        <v>259</v>
      </c>
      <c r="E186" s="458" t="s">
        <v>2265</v>
      </c>
      <c r="F186" s="459" t="s">
        <v>2266</v>
      </c>
      <c r="G186" s="460" t="s">
        <v>536</v>
      </c>
      <c r="H186" s="461">
        <v>2.6080000000000001</v>
      </c>
      <c r="I186" s="330">
        <v>0</v>
      </c>
      <c r="J186" s="462">
        <f t="shared" si="50"/>
        <v>0</v>
      </c>
      <c r="K186" s="463"/>
      <c r="L186" s="464"/>
      <c r="M186" s="465" t="s">
        <v>171</v>
      </c>
      <c r="N186" s="466" t="s">
        <v>185</v>
      </c>
      <c r="O186" s="453">
        <v>0</v>
      </c>
      <c r="P186" s="453">
        <f t="shared" si="51"/>
        <v>0</v>
      </c>
      <c r="Q186" s="453">
        <v>1E-3</v>
      </c>
      <c r="R186" s="453">
        <f t="shared" si="52"/>
        <v>2.6080000000000001E-3</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2632</v>
      </c>
    </row>
    <row r="187" spans="2:65" s="365" customFormat="1" ht="24.2" customHeight="1" x14ac:dyDescent="0.25">
      <c r="B187" s="364"/>
      <c r="C187" s="445" t="s">
        <v>260</v>
      </c>
      <c r="D187" s="445" t="s">
        <v>218</v>
      </c>
      <c r="E187" s="446" t="s">
        <v>2268</v>
      </c>
      <c r="F187" s="447" t="s">
        <v>2269</v>
      </c>
      <c r="G187" s="448" t="s">
        <v>111</v>
      </c>
      <c r="H187" s="449">
        <v>22.382999999999999</v>
      </c>
      <c r="I187" s="329">
        <v>0</v>
      </c>
      <c r="J187" s="450">
        <f t="shared" si="50"/>
        <v>0</v>
      </c>
      <c r="K187" s="451"/>
      <c r="L187" s="364"/>
      <c r="M187" s="452" t="s">
        <v>171</v>
      </c>
      <c r="N187" s="415" t="s">
        <v>185</v>
      </c>
      <c r="O187" s="453">
        <v>0.13517999999999999</v>
      </c>
      <c r="P187" s="453">
        <f t="shared" si="51"/>
        <v>3.0257339399999998</v>
      </c>
      <c r="Q187" s="453">
        <v>1E-4</v>
      </c>
      <c r="R187" s="453">
        <f t="shared" si="52"/>
        <v>2.2382999999999999E-3</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2633</v>
      </c>
    </row>
    <row r="188" spans="2:65" s="365" customFormat="1" ht="24.2" customHeight="1" x14ac:dyDescent="0.25">
      <c r="B188" s="364"/>
      <c r="C188" s="457" t="s">
        <v>262</v>
      </c>
      <c r="D188" s="457" t="s">
        <v>259</v>
      </c>
      <c r="E188" s="458" t="s">
        <v>2271</v>
      </c>
      <c r="F188" s="459" t="s">
        <v>2272</v>
      </c>
      <c r="G188" s="460" t="s">
        <v>536</v>
      </c>
      <c r="H188" s="461">
        <v>5.5960000000000001</v>
      </c>
      <c r="I188" s="330">
        <v>0</v>
      </c>
      <c r="J188" s="462">
        <f t="shared" si="50"/>
        <v>0</v>
      </c>
      <c r="K188" s="463"/>
      <c r="L188" s="464"/>
      <c r="M188" s="465" t="s">
        <v>171</v>
      </c>
      <c r="N188" s="466" t="s">
        <v>185</v>
      </c>
      <c r="O188" s="453">
        <v>0</v>
      </c>
      <c r="P188" s="453">
        <f t="shared" si="51"/>
        <v>0</v>
      </c>
      <c r="Q188" s="453">
        <v>1E-3</v>
      </c>
      <c r="R188" s="453">
        <f t="shared" si="52"/>
        <v>5.5960000000000003E-3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2634</v>
      </c>
    </row>
    <row r="189" spans="2:65" s="434" customFormat="1" ht="25.9" customHeight="1" x14ac:dyDescent="0.2">
      <c r="B189" s="433"/>
      <c r="D189" s="435" t="s">
        <v>216</v>
      </c>
      <c r="E189" s="436" t="s">
        <v>259</v>
      </c>
      <c r="F189" s="436" t="s">
        <v>1667</v>
      </c>
      <c r="I189" s="331"/>
      <c r="J189" s="437">
        <f>BK189</f>
        <v>0</v>
      </c>
      <c r="L189" s="433"/>
      <c r="M189" s="438"/>
      <c r="P189" s="439">
        <f>P190+P228</f>
        <v>1493.5890608499997</v>
      </c>
      <c r="R189" s="439">
        <f>R190+R228</f>
        <v>42.893050000000002</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2274</v>
      </c>
      <c r="F190" s="443" t="s">
        <v>2275</v>
      </c>
      <c r="I190" s="331"/>
      <c r="J190" s="444">
        <f>BK190</f>
        <v>0</v>
      </c>
      <c r="L190" s="433"/>
      <c r="M190" s="438"/>
      <c r="P190" s="439">
        <f>SUM(P191:P227)</f>
        <v>480.40499999999992</v>
      </c>
      <c r="R190" s="439">
        <f>SUM(R191:R227)</f>
        <v>5.0929000000000002</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263</v>
      </c>
      <c r="D191" s="445" t="s">
        <v>218</v>
      </c>
      <c r="E191" s="446" t="s">
        <v>2276</v>
      </c>
      <c r="F191" s="447" t="s">
        <v>2277</v>
      </c>
      <c r="G191" s="448" t="s">
        <v>113</v>
      </c>
      <c r="H191" s="449">
        <v>955</v>
      </c>
      <c r="I191" s="329">
        <v>0</v>
      </c>
      <c r="J191" s="450">
        <f t="shared" ref="J191:J227" si="60">ROUND(I191*H191,2)</f>
        <v>0</v>
      </c>
      <c r="K191" s="451"/>
      <c r="L191" s="364"/>
      <c r="M191" s="452" t="s">
        <v>171</v>
      </c>
      <c r="N191" s="415" t="s">
        <v>185</v>
      </c>
      <c r="O191" s="453">
        <v>0.124</v>
      </c>
      <c r="P191" s="453">
        <f t="shared" ref="P191:P227" si="61">O191*H191</f>
        <v>118.42</v>
      </c>
      <c r="Q191" s="453">
        <v>0</v>
      </c>
      <c r="R191" s="453">
        <f t="shared" ref="R191:R227" si="62">Q191*H191</f>
        <v>0</v>
      </c>
      <c r="S191" s="453">
        <v>0</v>
      </c>
      <c r="T191" s="454">
        <f t="shared" ref="T191:T227" si="63">S191*H191</f>
        <v>0</v>
      </c>
      <c r="AR191" s="455" t="s">
        <v>625</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625</v>
      </c>
      <c r="BM191" s="455" t="s">
        <v>2635</v>
      </c>
    </row>
    <row r="192" spans="2:65" s="365" customFormat="1" ht="24.2" customHeight="1" x14ac:dyDescent="0.25">
      <c r="B192" s="364"/>
      <c r="C192" s="457" t="s">
        <v>264</v>
      </c>
      <c r="D192" s="457" t="s">
        <v>259</v>
      </c>
      <c r="E192" s="458" t="s">
        <v>2279</v>
      </c>
      <c r="F192" s="459" t="s">
        <v>2280</v>
      </c>
      <c r="G192" s="460" t="s">
        <v>123</v>
      </c>
      <c r="H192" s="461">
        <v>60</v>
      </c>
      <c r="I192" s="330">
        <v>0</v>
      </c>
      <c r="J192" s="462">
        <f t="shared" si="60"/>
        <v>0</v>
      </c>
      <c r="K192" s="463"/>
      <c r="L192" s="464"/>
      <c r="M192" s="465" t="s">
        <v>171</v>
      </c>
      <c r="N192" s="466" t="s">
        <v>185</v>
      </c>
      <c r="O192" s="453">
        <v>0</v>
      </c>
      <c r="P192" s="453">
        <f t="shared" si="61"/>
        <v>0</v>
      </c>
      <c r="Q192" s="453">
        <v>5.0000000000000002E-5</v>
      </c>
      <c r="R192" s="453">
        <f t="shared" si="62"/>
        <v>3.0000000000000001E-3</v>
      </c>
      <c r="S192" s="453">
        <v>0</v>
      </c>
      <c r="T192" s="454">
        <f t="shared" si="63"/>
        <v>0</v>
      </c>
      <c r="AR192" s="455" t="s">
        <v>1631</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1631</v>
      </c>
      <c r="BM192" s="455" t="s">
        <v>2636</v>
      </c>
    </row>
    <row r="193" spans="2:65" s="365" customFormat="1" ht="24.2" customHeight="1" x14ac:dyDescent="0.25">
      <c r="B193" s="364"/>
      <c r="C193" s="457" t="s">
        <v>265</v>
      </c>
      <c r="D193" s="457" t="s">
        <v>259</v>
      </c>
      <c r="E193" s="458" t="s">
        <v>2282</v>
      </c>
      <c r="F193" s="459" t="s">
        <v>2283</v>
      </c>
      <c r="G193" s="460" t="s">
        <v>113</v>
      </c>
      <c r="H193" s="461">
        <v>955</v>
      </c>
      <c r="I193" s="330">
        <v>0</v>
      </c>
      <c r="J193" s="462">
        <f t="shared" si="60"/>
        <v>0</v>
      </c>
      <c r="K193" s="463"/>
      <c r="L193" s="464"/>
      <c r="M193" s="465" t="s">
        <v>171</v>
      </c>
      <c r="N193" s="466" t="s">
        <v>185</v>
      </c>
      <c r="O193" s="453">
        <v>0</v>
      </c>
      <c r="P193" s="453">
        <f t="shared" si="61"/>
        <v>0</v>
      </c>
      <c r="Q193" s="453">
        <v>2.2000000000000001E-4</v>
      </c>
      <c r="R193" s="453">
        <f t="shared" si="62"/>
        <v>0.21010000000000001</v>
      </c>
      <c r="S193" s="453">
        <v>0</v>
      </c>
      <c r="T193" s="454">
        <f t="shared" si="63"/>
        <v>0</v>
      </c>
      <c r="AR193" s="455" t="s">
        <v>1631</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1631</v>
      </c>
      <c r="BM193" s="455" t="s">
        <v>2637</v>
      </c>
    </row>
    <row r="194" spans="2:65" s="365" customFormat="1" ht="24.2" customHeight="1" x14ac:dyDescent="0.25">
      <c r="B194" s="364"/>
      <c r="C194" s="445" t="s">
        <v>266</v>
      </c>
      <c r="D194" s="445" t="s">
        <v>218</v>
      </c>
      <c r="E194" s="446" t="s">
        <v>2285</v>
      </c>
      <c r="F194" s="447" t="s">
        <v>2286</v>
      </c>
      <c r="G194" s="448" t="s">
        <v>113</v>
      </c>
      <c r="H194" s="449">
        <v>276</v>
      </c>
      <c r="I194" s="329">
        <v>0</v>
      </c>
      <c r="J194" s="450">
        <f t="shared" si="60"/>
        <v>0</v>
      </c>
      <c r="K194" s="451"/>
      <c r="L194" s="364"/>
      <c r="M194" s="452" t="s">
        <v>171</v>
      </c>
      <c r="N194" s="415" t="s">
        <v>185</v>
      </c>
      <c r="O194" s="453">
        <v>0.17199999999999999</v>
      </c>
      <c r="P194" s="453">
        <f t="shared" si="61"/>
        <v>47.471999999999994</v>
      </c>
      <c r="Q194" s="453">
        <v>0</v>
      </c>
      <c r="R194" s="453">
        <f t="shared" si="62"/>
        <v>0</v>
      </c>
      <c r="S194" s="453">
        <v>0</v>
      </c>
      <c r="T194" s="454">
        <f t="shared" si="63"/>
        <v>0</v>
      </c>
      <c r="AR194" s="455" t="s">
        <v>625</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625</v>
      </c>
      <c r="BM194" s="455" t="s">
        <v>2638</v>
      </c>
    </row>
    <row r="195" spans="2:65" s="365" customFormat="1" ht="24.2" customHeight="1" x14ac:dyDescent="0.25">
      <c r="B195" s="364"/>
      <c r="C195" s="457" t="s">
        <v>573</v>
      </c>
      <c r="D195" s="457" t="s">
        <v>259</v>
      </c>
      <c r="E195" s="458" t="s">
        <v>2288</v>
      </c>
      <c r="F195" s="459" t="s">
        <v>2289</v>
      </c>
      <c r="G195" s="460" t="s">
        <v>113</v>
      </c>
      <c r="H195" s="461">
        <v>276</v>
      </c>
      <c r="I195" s="330">
        <v>0</v>
      </c>
      <c r="J195" s="462">
        <f t="shared" si="60"/>
        <v>0</v>
      </c>
      <c r="K195" s="463"/>
      <c r="L195" s="464"/>
      <c r="M195" s="465" t="s">
        <v>171</v>
      </c>
      <c r="N195" s="466" t="s">
        <v>185</v>
      </c>
      <c r="O195" s="453">
        <v>0</v>
      </c>
      <c r="P195" s="453">
        <f t="shared" si="61"/>
        <v>0</v>
      </c>
      <c r="Q195" s="453">
        <v>5.0000000000000001E-4</v>
      </c>
      <c r="R195" s="453">
        <f t="shared" si="62"/>
        <v>0.13800000000000001</v>
      </c>
      <c r="S195" s="453">
        <v>0</v>
      </c>
      <c r="T195" s="454">
        <f t="shared" si="63"/>
        <v>0</v>
      </c>
      <c r="AR195" s="455" t="s">
        <v>1631</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1631</v>
      </c>
      <c r="BM195" s="455" t="s">
        <v>2639</v>
      </c>
    </row>
    <row r="196" spans="2:65" s="365" customFormat="1" ht="24.2" customHeight="1" x14ac:dyDescent="0.25">
      <c r="B196" s="364"/>
      <c r="C196" s="445" t="s">
        <v>577</v>
      </c>
      <c r="D196" s="445" t="s">
        <v>218</v>
      </c>
      <c r="E196" s="446" t="s">
        <v>2640</v>
      </c>
      <c r="F196" s="447" t="s">
        <v>2641</v>
      </c>
      <c r="G196" s="448" t="s">
        <v>113</v>
      </c>
      <c r="H196" s="449">
        <v>57</v>
      </c>
      <c r="I196" s="329">
        <v>0</v>
      </c>
      <c r="J196" s="450">
        <f t="shared" si="60"/>
        <v>0</v>
      </c>
      <c r="K196" s="451"/>
      <c r="L196" s="364"/>
      <c r="M196" s="452" t="s">
        <v>171</v>
      </c>
      <c r="N196" s="415" t="s">
        <v>185</v>
      </c>
      <c r="O196" s="453">
        <v>0.17899999999999999</v>
      </c>
      <c r="P196" s="453">
        <f t="shared" si="61"/>
        <v>10.202999999999999</v>
      </c>
      <c r="Q196" s="453">
        <v>0</v>
      </c>
      <c r="R196" s="453">
        <f t="shared" si="62"/>
        <v>0</v>
      </c>
      <c r="S196" s="453">
        <v>0</v>
      </c>
      <c r="T196" s="454">
        <f t="shared" si="63"/>
        <v>0</v>
      </c>
      <c r="AR196" s="455" t="s">
        <v>625</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625</v>
      </c>
      <c r="BM196" s="455" t="s">
        <v>2642</v>
      </c>
    </row>
    <row r="197" spans="2:65" s="365" customFormat="1" ht="16.5" customHeight="1" x14ac:dyDescent="0.25">
      <c r="B197" s="364"/>
      <c r="C197" s="457" t="s">
        <v>581</v>
      </c>
      <c r="D197" s="457" t="s">
        <v>259</v>
      </c>
      <c r="E197" s="458" t="s">
        <v>2643</v>
      </c>
      <c r="F197" s="459" t="s">
        <v>2644</v>
      </c>
      <c r="G197" s="460" t="s">
        <v>113</v>
      </c>
      <c r="H197" s="461">
        <v>57</v>
      </c>
      <c r="I197" s="330">
        <v>0</v>
      </c>
      <c r="J197" s="462">
        <f t="shared" si="60"/>
        <v>0</v>
      </c>
      <c r="K197" s="463"/>
      <c r="L197" s="464"/>
      <c r="M197" s="465" t="s">
        <v>171</v>
      </c>
      <c r="N197" s="466" t="s">
        <v>185</v>
      </c>
      <c r="O197" s="453">
        <v>0</v>
      </c>
      <c r="P197" s="453">
        <f t="shared" si="61"/>
        <v>0</v>
      </c>
      <c r="Q197" s="453">
        <v>2.4399999999999999E-3</v>
      </c>
      <c r="R197" s="453">
        <f t="shared" si="62"/>
        <v>0.13907999999999998</v>
      </c>
      <c r="S197" s="453">
        <v>0</v>
      </c>
      <c r="T197" s="454">
        <f t="shared" si="63"/>
        <v>0</v>
      </c>
      <c r="AR197" s="455" t="s">
        <v>1631</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1631</v>
      </c>
      <c r="BM197" s="455" t="s">
        <v>2645</v>
      </c>
    </row>
    <row r="198" spans="2:65" s="365" customFormat="1" ht="24.2" customHeight="1" x14ac:dyDescent="0.25">
      <c r="B198" s="364"/>
      <c r="C198" s="445" t="s">
        <v>585</v>
      </c>
      <c r="D198" s="445" t="s">
        <v>218</v>
      </c>
      <c r="E198" s="446" t="s">
        <v>2291</v>
      </c>
      <c r="F198" s="447" t="s">
        <v>2292</v>
      </c>
      <c r="G198" s="448" t="s">
        <v>123</v>
      </c>
      <c r="H198" s="449">
        <v>164</v>
      </c>
      <c r="I198" s="329">
        <v>0</v>
      </c>
      <c r="J198" s="450">
        <f t="shared" si="60"/>
        <v>0</v>
      </c>
      <c r="K198" s="451"/>
      <c r="L198" s="364"/>
      <c r="M198" s="452" t="s">
        <v>171</v>
      </c>
      <c r="N198" s="415" t="s">
        <v>185</v>
      </c>
      <c r="O198" s="453">
        <v>0.124</v>
      </c>
      <c r="P198" s="453">
        <f t="shared" si="61"/>
        <v>20.335999999999999</v>
      </c>
      <c r="Q198" s="453">
        <v>0</v>
      </c>
      <c r="R198" s="453">
        <f t="shared" si="62"/>
        <v>0</v>
      </c>
      <c r="S198" s="453">
        <v>0</v>
      </c>
      <c r="T198" s="454">
        <f t="shared" si="63"/>
        <v>0</v>
      </c>
      <c r="AR198" s="455" t="s">
        <v>625</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625</v>
      </c>
      <c r="BM198" s="455" t="s">
        <v>2646</v>
      </c>
    </row>
    <row r="199" spans="2:65" s="365" customFormat="1" ht="16.5" customHeight="1" x14ac:dyDescent="0.25">
      <c r="B199" s="364"/>
      <c r="C199" s="457" t="s">
        <v>589</v>
      </c>
      <c r="D199" s="457" t="s">
        <v>259</v>
      </c>
      <c r="E199" s="458" t="s">
        <v>2294</v>
      </c>
      <c r="F199" s="459" t="s">
        <v>2295</v>
      </c>
      <c r="G199" s="460" t="s">
        <v>123</v>
      </c>
      <c r="H199" s="461">
        <v>164</v>
      </c>
      <c r="I199" s="330">
        <v>0</v>
      </c>
      <c r="J199" s="462">
        <f t="shared" si="60"/>
        <v>0</v>
      </c>
      <c r="K199" s="463"/>
      <c r="L199" s="464"/>
      <c r="M199" s="465" t="s">
        <v>171</v>
      </c>
      <c r="N199" s="466" t="s">
        <v>185</v>
      </c>
      <c r="O199" s="453">
        <v>0</v>
      </c>
      <c r="P199" s="453">
        <f t="shared" si="61"/>
        <v>0</v>
      </c>
      <c r="Q199" s="453">
        <v>3.0000000000000001E-5</v>
      </c>
      <c r="R199" s="453">
        <f t="shared" si="62"/>
        <v>4.9199999999999999E-3</v>
      </c>
      <c r="S199" s="453">
        <v>0</v>
      </c>
      <c r="T199" s="454">
        <f t="shared" si="63"/>
        <v>0</v>
      </c>
      <c r="AR199" s="455" t="s">
        <v>1631</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1631</v>
      </c>
      <c r="BM199" s="455" t="s">
        <v>2647</v>
      </c>
    </row>
    <row r="200" spans="2:65" s="365" customFormat="1" ht="37.9" customHeight="1" x14ac:dyDescent="0.25">
      <c r="B200" s="364"/>
      <c r="C200" s="445" t="s">
        <v>593</v>
      </c>
      <c r="D200" s="445" t="s">
        <v>218</v>
      </c>
      <c r="E200" s="446" t="s">
        <v>2297</v>
      </c>
      <c r="F200" s="447" t="s">
        <v>2298</v>
      </c>
      <c r="G200" s="448" t="s">
        <v>123</v>
      </c>
      <c r="H200" s="449">
        <v>41</v>
      </c>
      <c r="I200" s="329">
        <v>0</v>
      </c>
      <c r="J200" s="450">
        <f t="shared" si="60"/>
        <v>0</v>
      </c>
      <c r="K200" s="451"/>
      <c r="L200" s="364"/>
      <c r="M200" s="452" t="s">
        <v>171</v>
      </c>
      <c r="N200" s="415" t="s">
        <v>185</v>
      </c>
      <c r="O200" s="453">
        <v>0.3</v>
      </c>
      <c r="P200" s="453">
        <f t="shared" si="61"/>
        <v>12.299999999999999</v>
      </c>
      <c r="Q200" s="453">
        <v>0</v>
      </c>
      <c r="R200" s="453">
        <f t="shared" si="62"/>
        <v>0</v>
      </c>
      <c r="S200" s="453">
        <v>0</v>
      </c>
      <c r="T200" s="454">
        <f t="shared" si="63"/>
        <v>0</v>
      </c>
      <c r="AR200" s="455" t="s">
        <v>625</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625</v>
      </c>
      <c r="BM200" s="455" t="s">
        <v>2648</v>
      </c>
    </row>
    <row r="201" spans="2:65" s="365" customFormat="1" ht="24.2" customHeight="1" x14ac:dyDescent="0.25">
      <c r="B201" s="364"/>
      <c r="C201" s="457" t="s">
        <v>597</v>
      </c>
      <c r="D201" s="457" t="s">
        <v>259</v>
      </c>
      <c r="E201" s="458" t="s">
        <v>2300</v>
      </c>
      <c r="F201" s="459" t="s">
        <v>2301</v>
      </c>
      <c r="G201" s="460" t="s">
        <v>123</v>
      </c>
      <c r="H201" s="461">
        <v>41</v>
      </c>
      <c r="I201" s="330">
        <v>0</v>
      </c>
      <c r="J201" s="462">
        <f t="shared" si="60"/>
        <v>0</v>
      </c>
      <c r="K201" s="463"/>
      <c r="L201" s="464"/>
      <c r="M201" s="465" t="s">
        <v>171</v>
      </c>
      <c r="N201" s="466" t="s">
        <v>185</v>
      </c>
      <c r="O201" s="453">
        <v>0</v>
      </c>
      <c r="P201" s="453">
        <f t="shared" si="61"/>
        <v>0</v>
      </c>
      <c r="Q201" s="453">
        <v>1E-3</v>
      </c>
      <c r="R201" s="453">
        <f t="shared" si="62"/>
        <v>4.1000000000000002E-2</v>
      </c>
      <c r="S201" s="453">
        <v>0</v>
      </c>
      <c r="T201" s="454">
        <f t="shared" si="63"/>
        <v>0</v>
      </c>
      <c r="AR201" s="455" t="s">
        <v>1631</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1631</v>
      </c>
      <c r="BM201" s="455" t="s">
        <v>2649</v>
      </c>
    </row>
    <row r="202" spans="2:65" s="365" customFormat="1" ht="24.2" customHeight="1" x14ac:dyDescent="0.25">
      <c r="B202" s="364"/>
      <c r="C202" s="445" t="s">
        <v>601</v>
      </c>
      <c r="D202" s="445" t="s">
        <v>218</v>
      </c>
      <c r="E202" s="446" t="s">
        <v>2312</v>
      </c>
      <c r="F202" s="447" t="s">
        <v>2313</v>
      </c>
      <c r="G202" s="448" t="s">
        <v>123</v>
      </c>
      <c r="H202" s="449">
        <v>1</v>
      </c>
      <c r="I202" s="329">
        <v>0</v>
      </c>
      <c r="J202" s="450">
        <f t="shared" si="60"/>
        <v>0</v>
      </c>
      <c r="K202" s="451"/>
      <c r="L202" s="364"/>
      <c r="M202" s="452" t="s">
        <v>171</v>
      </c>
      <c r="N202" s="415" t="s">
        <v>185</v>
      </c>
      <c r="O202" s="453">
        <v>1.4870000000000001</v>
      </c>
      <c r="P202" s="453">
        <f t="shared" si="61"/>
        <v>1.4870000000000001</v>
      </c>
      <c r="Q202" s="453">
        <v>0</v>
      </c>
      <c r="R202" s="453">
        <f t="shared" si="62"/>
        <v>0</v>
      </c>
      <c r="S202" s="453">
        <v>0</v>
      </c>
      <c r="T202" s="454">
        <f t="shared" si="63"/>
        <v>0</v>
      </c>
      <c r="AR202" s="455" t="s">
        <v>110</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110</v>
      </c>
      <c r="BM202" s="455" t="s">
        <v>2650</v>
      </c>
    </row>
    <row r="203" spans="2:65" s="365" customFormat="1" ht="24.2" customHeight="1" x14ac:dyDescent="0.25">
      <c r="B203" s="364"/>
      <c r="C203" s="457" t="s">
        <v>605</v>
      </c>
      <c r="D203" s="457" t="s">
        <v>259</v>
      </c>
      <c r="E203" s="458" t="s">
        <v>2315</v>
      </c>
      <c r="F203" s="459" t="s">
        <v>2316</v>
      </c>
      <c r="G203" s="460" t="s">
        <v>123</v>
      </c>
      <c r="H203" s="461">
        <v>1</v>
      </c>
      <c r="I203" s="330">
        <v>0</v>
      </c>
      <c r="J203" s="462">
        <f t="shared" si="60"/>
        <v>0</v>
      </c>
      <c r="K203" s="463"/>
      <c r="L203" s="464"/>
      <c r="M203" s="465" t="s">
        <v>171</v>
      </c>
      <c r="N203" s="466" t="s">
        <v>185</v>
      </c>
      <c r="O203" s="453">
        <v>0</v>
      </c>
      <c r="P203" s="453">
        <f t="shared" si="61"/>
        <v>0</v>
      </c>
      <c r="Q203" s="453">
        <v>2.1999999999999999E-2</v>
      </c>
      <c r="R203" s="453">
        <f t="shared" si="62"/>
        <v>2.1999999999999999E-2</v>
      </c>
      <c r="S203" s="453">
        <v>0</v>
      </c>
      <c r="T203" s="454">
        <f t="shared" si="63"/>
        <v>0</v>
      </c>
      <c r="AR203" s="455" t="s">
        <v>1631</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1631</v>
      </c>
      <c r="BM203" s="455" t="s">
        <v>2651</v>
      </c>
    </row>
    <row r="204" spans="2:65" s="365" customFormat="1" ht="24.2" customHeight="1" x14ac:dyDescent="0.25">
      <c r="B204" s="364"/>
      <c r="C204" s="445" t="s">
        <v>609</v>
      </c>
      <c r="D204" s="445" t="s">
        <v>218</v>
      </c>
      <c r="E204" s="446" t="s">
        <v>2318</v>
      </c>
      <c r="F204" s="447" t="s">
        <v>2319</v>
      </c>
      <c r="G204" s="448" t="s">
        <v>123</v>
      </c>
      <c r="H204" s="449">
        <v>19</v>
      </c>
      <c r="I204" s="329">
        <v>0</v>
      </c>
      <c r="J204" s="450">
        <f t="shared" si="60"/>
        <v>0</v>
      </c>
      <c r="K204" s="451"/>
      <c r="L204" s="364"/>
      <c r="M204" s="452" t="s">
        <v>171</v>
      </c>
      <c r="N204" s="415" t="s">
        <v>185</v>
      </c>
      <c r="O204" s="453">
        <v>0.44</v>
      </c>
      <c r="P204" s="453">
        <f t="shared" si="61"/>
        <v>8.36</v>
      </c>
      <c r="Q204" s="453">
        <v>0</v>
      </c>
      <c r="R204" s="453">
        <f t="shared" si="62"/>
        <v>0</v>
      </c>
      <c r="S204" s="453">
        <v>0</v>
      </c>
      <c r="T204" s="454">
        <f t="shared" si="63"/>
        <v>0</v>
      </c>
      <c r="AR204" s="455" t="s">
        <v>625</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625</v>
      </c>
      <c r="BM204" s="455" t="s">
        <v>2652</v>
      </c>
    </row>
    <row r="205" spans="2:65" s="365" customFormat="1" ht="24.2" customHeight="1" x14ac:dyDescent="0.25">
      <c r="B205" s="364"/>
      <c r="C205" s="457" t="s">
        <v>613</v>
      </c>
      <c r="D205" s="457" t="s">
        <v>259</v>
      </c>
      <c r="E205" s="458" t="s">
        <v>2324</v>
      </c>
      <c r="F205" s="459" t="s">
        <v>2325</v>
      </c>
      <c r="G205" s="460" t="s">
        <v>123</v>
      </c>
      <c r="H205" s="461">
        <v>1</v>
      </c>
      <c r="I205" s="330">
        <v>0</v>
      </c>
      <c r="J205" s="462">
        <f t="shared" si="60"/>
        <v>0</v>
      </c>
      <c r="K205" s="463"/>
      <c r="L205" s="464"/>
      <c r="M205" s="465" t="s">
        <v>171</v>
      </c>
      <c r="N205" s="466" t="s">
        <v>185</v>
      </c>
      <c r="O205" s="453">
        <v>0</v>
      </c>
      <c r="P205" s="453">
        <f t="shared" si="61"/>
        <v>0</v>
      </c>
      <c r="Q205" s="453">
        <v>2.5000000000000001E-3</v>
      </c>
      <c r="R205" s="453">
        <f t="shared" si="62"/>
        <v>2.5000000000000001E-3</v>
      </c>
      <c r="S205" s="453">
        <v>0</v>
      </c>
      <c r="T205" s="454">
        <f t="shared" si="63"/>
        <v>0</v>
      </c>
      <c r="AR205" s="455" t="s">
        <v>1795</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625</v>
      </c>
      <c r="BM205" s="455" t="s">
        <v>2653</v>
      </c>
    </row>
    <row r="206" spans="2:65" s="365" customFormat="1" ht="24.2" customHeight="1" x14ac:dyDescent="0.25">
      <c r="B206" s="364"/>
      <c r="C206" s="457" t="s">
        <v>617</v>
      </c>
      <c r="D206" s="457" t="s">
        <v>259</v>
      </c>
      <c r="E206" s="458" t="s">
        <v>2321</v>
      </c>
      <c r="F206" s="459" t="s">
        <v>2322</v>
      </c>
      <c r="G206" s="460" t="s">
        <v>123</v>
      </c>
      <c r="H206" s="461">
        <v>7</v>
      </c>
      <c r="I206" s="330">
        <v>0</v>
      </c>
      <c r="J206" s="462">
        <f t="shared" si="60"/>
        <v>0</v>
      </c>
      <c r="K206" s="463"/>
      <c r="L206" s="464"/>
      <c r="M206" s="465" t="s">
        <v>171</v>
      </c>
      <c r="N206" s="466" t="s">
        <v>185</v>
      </c>
      <c r="O206" s="453">
        <v>0</v>
      </c>
      <c r="P206" s="453">
        <f t="shared" si="61"/>
        <v>0</v>
      </c>
      <c r="Q206" s="453">
        <v>2.5000000000000001E-3</v>
      </c>
      <c r="R206" s="453">
        <f t="shared" si="62"/>
        <v>1.7500000000000002E-2</v>
      </c>
      <c r="S206" s="453">
        <v>0</v>
      </c>
      <c r="T206" s="454">
        <f t="shared" si="63"/>
        <v>0</v>
      </c>
      <c r="AR206" s="455" t="s">
        <v>1795</v>
      </c>
      <c r="AT206" s="455" t="s">
        <v>259</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2654</v>
      </c>
    </row>
    <row r="207" spans="2:65" s="365" customFormat="1" ht="24.2" customHeight="1" x14ac:dyDescent="0.25">
      <c r="B207" s="364"/>
      <c r="C207" s="457" t="s">
        <v>621</v>
      </c>
      <c r="D207" s="457" t="s">
        <v>259</v>
      </c>
      <c r="E207" s="458" t="s">
        <v>2327</v>
      </c>
      <c r="F207" s="459" t="s">
        <v>2328</v>
      </c>
      <c r="G207" s="460" t="s">
        <v>123</v>
      </c>
      <c r="H207" s="461">
        <v>1</v>
      </c>
      <c r="I207" s="330">
        <v>0</v>
      </c>
      <c r="J207" s="462">
        <f t="shared" si="60"/>
        <v>0</v>
      </c>
      <c r="K207" s="463"/>
      <c r="L207" s="464"/>
      <c r="M207" s="465" t="s">
        <v>171</v>
      </c>
      <c r="N207" s="466" t="s">
        <v>185</v>
      </c>
      <c r="O207" s="453">
        <v>0</v>
      </c>
      <c r="P207" s="453">
        <f t="shared" si="61"/>
        <v>0</v>
      </c>
      <c r="Q207" s="453">
        <v>2.5000000000000001E-3</v>
      </c>
      <c r="R207" s="453">
        <f t="shared" si="62"/>
        <v>2.5000000000000001E-3</v>
      </c>
      <c r="S207" s="453">
        <v>0</v>
      </c>
      <c r="T207" s="454">
        <f t="shared" si="63"/>
        <v>0</v>
      </c>
      <c r="AR207" s="455" t="s">
        <v>1631</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1631</v>
      </c>
      <c r="BM207" s="455" t="s">
        <v>2655</v>
      </c>
    </row>
    <row r="208" spans="2:65" s="365" customFormat="1" ht="24.2" customHeight="1" x14ac:dyDescent="0.25">
      <c r="B208" s="364"/>
      <c r="C208" s="445" t="s">
        <v>625</v>
      </c>
      <c r="D208" s="445" t="s">
        <v>218</v>
      </c>
      <c r="E208" s="446" t="s">
        <v>2330</v>
      </c>
      <c r="F208" s="447" t="s">
        <v>2331</v>
      </c>
      <c r="G208" s="448" t="s">
        <v>123</v>
      </c>
      <c r="H208" s="449">
        <v>10</v>
      </c>
      <c r="I208" s="329">
        <v>0</v>
      </c>
      <c r="J208" s="450">
        <f t="shared" si="60"/>
        <v>0</v>
      </c>
      <c r="K208" s="451"/>
      <c r="L208" s="364"/>
      <c r="M208" s="452" t="s">
        <v>171</v>
      </c>
      <c r="N208" s="415" t="s">
        <v>185</v>
      </c>
      <c r="O208" s="453">
        <v>0.22</v>
      </c>
      <c r="P208" s="453">
        <f t="shared" si="61"/>
        <v>2.2000000000000002</v>
      </c>
      <c r="Q208" s="453">
        <v>0</v>
      </c>
      <c r="R208" s="453">
        <f t="shared" si="62"/>
        <v>0</v>
      </c>
      <c r="S208" s="453">
        <v>0</v>
      </c>
      <c r="T208" s="454">
        <f t="shared" si="63"/>
        <v>0</v>
      </c>
      <c r="AR208" s="455" t="s">
        <v>625</v>
      </c>
      <c r="AT208" s="455" t="s">
        <v>218</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625</v>
      </c>
      <c r="BM208" s="455" t="s">
        <v>2656</v>
      </c>
    </row>
    <row r="209" spans="2:65" s="365" customFormat="1" ht="16.5" customHeight="1" x14ac:dyDescent="0.25">
      <c r="B209" s="364"/>
      <c r="C209" s="445" t="s">
        <v>629</v>
      </c>
      <c r="D209" s="445" t="s">
        <v>218</v>
      </c>
      <c r="E209" s="446" t="s">
        <v>2333</v>
      </c>
      <c r="F209" s="447" t="s">
        <v>2334</v>
      </c>
      <c r="G209" s="448" t="s">
        <v>123</v>
      </c>
      <c r="H209" s="449">
        <v>19</v>
      </c>
      <c r="I209" s="329">
        <v>0</v>
      </c>
      <c r="J209" s="450">
        <f t="shared" si="60"/>
        <v>0</v>
      </c>
      <c r="K209" s="451"/>
      <c r="L209" s="364"/>
      <c r="M209" s="452" t="s">
        <v>171</v>
      </c>
      <c r="N209" s="415" t="s">
        <v>185</v>
      </c>
      <c r="O209" s="453">
        <v>3.2160000000000002</v>
      </c>
      <c r="P209" s="453">
        <f t="shared" si="61"/>
        <v>61.104000000000006</v>
      </c>
      <c r="Q209" s="453">
        <v>0</v>
      </c>
      <c r="R209" s="453">
        <f t="shared" si="62"/>
        <v>0</v>
      </c>
      <c r="S209" s="453">
        <v>0</v>
      </c>
      <c r="T209" s="454">
        <f t="shared" si="63"/>
        <v>0</v>
      </c>
      <c r="AR209" s="455" t="s">
        <v>625</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625</v>
      </c>
      <c r="BM209" s="455" t="s">
        <v>2657</v>
      </c>
    </row>
    <row r="210" spans="2:65" s="365" customFormat="1" ht="33" customHeight="1" x14ac:dyDescent="0.25">
      <c r="B210" s="364"/>
      <c r="C210" s="457" t="s">
        <v>634</v>
      </c>
      <c r="D210" s="457" t="s">
        <v>259</v>
      </c>
      <c r="E210" s="458" t="s">
        <v>2339</v>
      </c>
      <c r="F210" s="459" t="s">
        <v>2340</v>
      </c>
      <c r="G210" s="460" t="s">
        <v>123</v>
      </c>
      <c r="H210" s="461">
        <v>11</v>
      </c>
      <c r="I210" s="330">
        <v>0</v>
      </c>
      <c r="J210" s="462">
        <f t="shared" si="60"/>
        <v>0</v>
      </c>
      <c r="K210" s="463"/>
      <c r="L210" s="464"/>
      <c r="M210" s="465" t="s">
        <v>171</v>
      </c>
      <c r="N210" s="466" t="s">
        <v>185</v>
      </c>
      <c r="O210" s="453">
        <v>0</v>
      </c>
      <c r="P210" s="453">
        <f t="shared" si="61"/>
        <v>0</v>
      </c>
      <c r="Q210" s="453">
        <v>0.17397000000000001</v>
      </c>
      <c r="R210" s="453">
        <f t="shared" si="62"/>
        <v>1.9136700000000002</v>
      </c>
      <c r="S210" s="453">
        <v>0</v>
      </c>
      <c r="T210" s="454">
        <f t="shared" si="63"/>
        <v>0</v>
      </c>
      <c r="AR210" s="455" t="s">
        <v>1631</v>
      </c>
      <c r="AT210" s="455" t="s">
        <v>259</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1631</v>
      </c>
      <c r="BM210" s="455" t="s">
        <v>2658</v>
      </c>
    </row>
    <row r="211" spans="2:65" s="365" customFormat="1" ht="33" customHeight="1" x14ac:dyDescent="0.25">
      <c r="B211" s="364"/>
      <c r="C211" s="457" t="s">
        <v>637</v>
      </c>
      <c r="D211" s="457" t="s">
        <v>259</v>
      </c>
      <c r="E211" s="458" t="s">
        <v>2336</v>
      </c>
      <c r="F211" s="459" t="s">
        <v>2337</v>
      </c>
      <c r="G211" s="460" t="s">
        <v>123</v>
      </c>
      <c r="H211" s="461">
        <v>8</v>
      </c>
      <c r="I211" s="330">
        <v>0</v>
      </c>
      <c r="J211" s="462">
        <f t="shared" si="60"/>
        <v>0</v>
      </c>
      <c r="K211" s="463"/>
      <c r="L211" s="464"/>
      <c r="M211" s="465" t="s">
        <v>171</v>
      </c>
      <c r="N211" s="466" t="s">
        <v>185</v>
      </c>
      <c r="O211" s="453">
        <v>0</v>
      </c>
      <c r="P211" s="453">
        <f t="shared" si="61"/>
        <v>0</v>
      </c>
      <c r="Q211" s="453">
        <v>0.16800000000000001</v>
      </c>
      <c r="R211" s="453">
        <f t="shared" si="62"/>
        <v>1.3440000000000001</v>
      </c>
      <c r="S211" s="453">
        <v>0</v>
      </c>
      <c r="T211" s="454">
        <f t="shared" si="63"/>
        <v>0</v>
      </c>
      <c r="AR211" s="455" t="s">
        <v>1631</v>
      </c>
      <c r="AT211" s="455" t="s">
        <v>259</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1631</v>
      </c>
      <c r="BM211" s="455" t="s">
        <v>2659</v>
      </c>
    </row>
    <row r="212" spans="2:65" s="365" customFormat="1" ht="21.75" customHeight="1" x14ac:dyDescent="0.25">
      <c r="B212" s="364"/>
      <c r="C212" s="445" t="s">
        <v>640</v>
      </c>
      <c r="D212" s="445" t="s">
        <v>218</v>
      </c>
      <c r="E212" s="446" t="s">
        <v>2345</v>
      </c>
      <c r="F212" s="447" t="s">
        <v>2346</v>
      </c>
      <c r="G212" s="448" t="s">
        <v>123</v>
      </c>
      <c r="H212" s="449">
        <v>10</v>
      </c>
      <c r="I212" s="329">
        <v>0</v>
      </c>
      <c r="J212" s="450">
        <f t="shared" si="60"/>
        <v>0</v>
      </c>
      <c r="K212" s="451"/>
      <c r="L212" s="364"/>
      <c r="M212" s="452" t="s">
        <v>171</v>
      </c>
      <c r="N212" s="415" t="s">
        <v>185</v>
      </c>
      <c r="O212" s="453">
        <v>1.6080000000000001</v>
      </c>
      <c r="P212" s="453">
        <f t="shared" si="61"/>
        <v>16.080000000000002</v>
      </c>
      <c r="Q212" s="453">
        <v>0</v>
      </c>
      <c r="R212" s="453">
        <f t="shared" si="62"/>
        <v>0</v>
      </c>
      <c r="S212" s="453">
        <v>0</v>
      </c>
      <c r="T212" s="454">
        <f t="shared" si="63"/>
        <v>0</v>
      </c>
      <c r="AR212" s="455" t="s">
        <v>625</v>
      </c>
      <c r="AT212" s="455" t="s">
        <v>218</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625</v>
      </c>
      <c r="BM212" s="455" t="s">
        <v>2660</v>
      </c>
    </row>
    <row r="213" spans="2:65" s="365" customFormat="1" ht="16.5" customHeight="1" x14ac:dyDescent="0.25">
      <c r="B213" s="364"/>
      <c r="C213" s="445" t="s">
        <v>644</v>
      </c>
      <c r="D213" s="445" t="s">
        <v>218</v>
      </c>
      <c r="E213" s="446" t="s">
        <v>2357</v>
      </c>
      <c r="F213" s="447" t="s">
        <v>2358</v>
      </c>
      <c r="G213" s="448" t="s">
        <v>123</v>
      </c>
      <c r="H213" s="449">
        <v>19</v>
      </c>
      <c r="I213" s="329">
        <v>0</v>
      </c>
      <c r="J213" s="450">
        <f t="shared" si="60"/>
        <v>0</v>
      </c>
      <c r="K213" s="451"/>
      <c r="L213" s="364"/>
      <c r="M213" s="452" t="s">
        <v>171</v>
      </c>
      <c r="N213" s="415" t="s">
        <v>185</v>
      </c>
      <c r="O213" s="453">
        <v>1.3340000000000001</v>
      </c>
      <c r="P213" s="453">
        <f t="shared" si="61"/>
        <v>25.346</v>
      </c>
      <c r="Q213" s="453">
        <v>0</v>
      </c>
      <c r="R213" s="453">
        <f t="shared" si="62"/>
        <v>0</v>
      </c>
      <c r="S213" s="453">
        <v>0</v>
      </c>
      <c r="T213" s="454">
        <f t="shared" si="63"/>
        <v>0</v>
      </c>
      <c r="AR213" s="455" t="s">
        <v>625</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625</v>
      </c>
      <c r="BM213" s="455" t="s">
        <v>2661</v>
      </c>
    </row>
    <row r="214" spans="2:65" s="365" customFormat="1" ht="24.2" customHeight="1" x14ac:dyDescent="0.25">
      <c r="B214" s="364"/>
      <c r="C214" s="457" t="s">
        <v>645</v>
      </c>
      <c r="D214" s="457" t="s">
        <v>259</v>
      </c>
      <c r="E214" s="458" t="s">
        <v>2360</v>
      </c>
      <c r="F214" s="459" t="s">
        <v>2361</v>
      </c>
      <c r="G214" s="460" t="s">
        <v>123</v>
      </c>
      <c r="H214" s="461">
        <v>19</v>
      </c>
      <c r="I214" s="330">
        <v>0</v>
      </c>
      <c r="J214" s="462">
        <f t="shared" si="60"/>
        <v>0</v>
      </c>
      <c r="K214" s="463"/>
      <c r="L214" s="464"/>
      <c r="M214" s="465" t="s">
        <v>171</v>
      </c>
      <c r="N214" s="466" t="s">
        <v>185</v>
      </c>
      <c r="O214" s="453">
        <v>0</v>
      </c>
      <c r="P214" s="453">
        <f t="shared" si="61"/>
        <v>0</v>
      </c>
      <c r="Q214" s="453">
        <v>0</v>
      </c>
      <c r="R214" s="453">
        <f t="shared" si="62"/>
        <v>0</v>
      </c>
      <c r="S214" s="453">
        <v>0</v>
      </c>
      <c r="T214" s="454">
        <f t="shared" si="63"/>
        <v>0</v>
      </c>
      <c r="AR214" s="455" t="s">
        <v>1631</v>
      </c>
      <c r="AT214" s="455" t="s">
        <v>259</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1631</v>
      </c>
      <c r="BM214" s="455" t="s">
        <v>2662</v>
      </c>
    </row>
    <row r="215" spans="2:65" s="365" customFormat="1" ht="16.5" customHeight="1" x14ac:dyDescent="0.25">
      <c r="B215" s="364"/>
      <c r="C215" s="457" t="s">
        <v>651</v>
      </c>
      <c r="D215" s="457" t="s">
        <v>259</v>
      </c>
      <c r="E215" s="458" t="s">
        <v>2363</v>
      </c>
      <c r="F215" s="459" t="s">
        <v>2364</v>
      </c>
      <c r="G215" s="460" t="s">
        <v>123</v>
      </c>
      <c r="H215" s="461">
        <v>38</v>
      </c>
      <c r="I215" s="330">
        <v>0</v>
      </c>
      <c r="J215" s="462">
        <f t="shared" si="60"/>
        <v>0</v>
      </c>
      <c r="K215" s="463"/>
      <c r="L215" s="464"/>
      <c r="M215" s="465" t="s">
        <v>171</v>
      </c>
      <c r="N215" s="466" t="s">
        <v>185</v>
      </c>
      <c r="O215" s="453">
        <v>0</v>
      </c>
      <c r="P215" s="453">
        <f t="shared" si="61"/>
        <v>0</v>
      </c>
      <c r="Q215" s="453">
        <v>6.0000000000000002E-5</v>
      </c>
      <c r="R215" s="453">
        <f t="shared" si="62"/>
        <v>2.2799999999999999E-3</v>
      </c>
      <c r="S215" s="453">
        <v>0</v>
      </c>
      <c r="T215" s="454">
        <f t="shared" si="63"/>
        <v>0</v>
      </c>
      <c r="AR215" s="455" t="s">
        <v>1631</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1631</v>
      </c>
      <c r="BM215" s="455" t="s">
        <v>2663</v>
      </c>
    </row>
    <row r="216" spans="2:65" s="365" customFormat="1" ht="16.5" customHeight="1" x14ac:dyDescent="0.25">
      <c r="B216" s="364"/>
      <c r="C216" s="445" t="s">
        <v>655</v>
      </c>
      <c r="D216" s="445" t="s">
        <v>218</v>
      </c>
      <c r="E216" s="446" t="s">
        <v>2366</v>
      </c>
      <c r="F216" s="447" t="s">
        <v>2367</v>
      </c>
      <c r="G216" s="448" t="s">
        <v>123</v>
      </c>
      <c r="H216" s="449">
        <v>10</v>
      </c>
      <c r="I216" s="329">
        <v>0</v>
      </c>
      <c r="J216" s="450">
        <f t="shared" si="60"/>
        <v>0</v>
      </c>
      <c r="K216" s="451"/>
      <c r="L216" s="364"/>
      <c r="M216" s="452" t="s">
        <v>171</v>
      </c>
      <c r="N216" s="415" t="s">
        <v>185</v>
      </c>
      <c r="O216" s="453">
        <v>0.66700000000000004</v>
      </c>
      <c r="P216" s="453">
        <f t="shared" si="61"/>
        <v>6.67</v>
      </c>
      <c r="Q216" s="453">
        <v>0</v>
      </c>
      <c r="R216" s="453">
        <f t="shared" si="62"/>
        <v>0</v>
      </c>
      <c r="S216" s="453">
        <v>0</v>
      </c>
      <c r="T216" s="454">
        <f t="shared" si="63"/>
        <v>0</v>
      </c>
      <c r="AR216" s="455" t="s">
        <v>625</v>
      </c>
      <c r="AT216" s="455" t="s">
        <v>218</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625</v>
      </c>
      <c r="BM216" s="455" t="s">
        <v>2664</v>
      </c>
    </row>
    <row r="217" spans="2:65" s="365" customFormat="1" ht="24.2" customHeight="1" x14ac:dyDescent="0.25">
      <c r="B217" s="364"/>
      <c r="C217" s="445" t="s">
        <v>659</v>
      </c>
      <c r="D217" s="445" t="s">
        <v>218</v>
      </c>
      <c r="E217" s="446" t="s">
        <v>2369</v>
      </c>
      <c r="F217" s="447" t="s">
        <v>2370</v>
      </c>
      <c r="G217" s="448" t="s">
        <v>113</v>
      </c>
      <c r="H217" s="449">
        <v>28.5</v>
      </c>
      <c r="I217" s="329">
        <v>0</v>
      </c>
      <c r="J217" s="450">
        <f t="shared" si="60"/>
        <v>0</v>
      </c>
      <c r="K217" s="451"/>
      <c r="L217" s="364"/>
      <c r="M217" s="452" t="s">
        <v>171</v>
      </c>
      <c r="N217" s="415" t="s">
        <v>185</v>
      </c>
      <c r="O217" s="453">
        <v>0.15</v>
      </c>
      <c r="P217" s="453">
        <f t="shared" si="61"/>
        <v>4.2749999999999995</v>
      </c>
      <c r="Q217" s="453">
        <v>0</v>
      </c>
      <c r="R217" s="453">
        <f t="shared" si="62"/>
        <v>0</v>
      </c>
      <c r="S217" s="453">
        <v>0</v>
      </c>
      <c r="T217" s="454">
        <f t="shared" si="63"/>
        <v>0</v>
      </c>
      <c r="AR217" s="455" t="s">
        <v>625</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625</v>
      </c>
      <c r="BM217" s="455" t="s">
        <v>2665</v>
      </c>
    </row>
    <row r="218" spans="2:65" s="365" customFormat="1" ht="16.5" customHeight="1" x14ac:dyDescent="0.25">
      <c r="B218" s="364"/>
      <c r="C218" s="457" t="s">
        <v>664</v>
      </c>
      <c r="D218" s="457" t="s">
        <v>259</v>
      </c>
      <c r="E218" s="458" t="s">
        <v>2372</v>
      </c>
      <c r="F218" s="459" t="s">
        <v>2373</v>
      </c>
      <c r="G218" s="460" t="s">
        <v>536</v>
      </c>
      <c r="H218" s="461">
        <v>19.95</v>
      </c>
      <c r="I218" s="330">
        <v>0</v>
      </c>
      <c r="J218" s="462">
        <f t="shared" si="60"/>
        <v>0</v>
      </c>
      <c r="K218" s="463"/>
      <c r="L218" s="464"/>
      <c r="M218" s="465" t="s">
        <v>171</v>
      </c>
      <c r="N218" s="466" t="s">
        <v>185</v>
      </c>
      <c r="O218" s="453">
        <v>0</v>
      </c>
      <c r="P218" s="453">
        <f t="shared" si="61"/>
        <v>0</v>
      </c>
      <c r="Q218" s="453">
        <v>1E-3</v>
      </c>
      <c r="R218" s="453">
        <f t="shared" si="62"/>
        <v>1.9949999999999999E-2</v>
      </c>
      <c r="S218" s="453">
        <v>0</v>
      </c>
      <c r="T218" s="454">
        <f t="shared" si="63"/>
        <v>0</v>
      </c>
      <c r="AR218" s="455" t="s">
        <v>1631</v>
      </c>
      <c r="AT218" s="455" t="s">
        <v>259</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1631</v>
      </c>
      <c r="BM218" s="455" t="s">
        <v>2666</v>
      </c>
    </row>
    <row r="219" spans="2:65" s="365" customFormat="1" ht="24.2" customHeight="1" x14ac:dyDescent="0.25">
      <c r="B219" s="364"/>
      <c r="C219" s="445" t="s">
        <v>670</v>
      </c>
      <c r="D219" s="445" t="s">
        <v>218</v>
      </c>
      <c r="E219" s="446" t="s">
        <v>2375</v>
      </c>
      <c r="F219" s="447" t="s">
        <v>2376</v>
      </c>
      <c r="G219" s="448" t="s">
        <v>113</v>
      </c>
      <c r="H219" s="449">
        <v>580</v>
      </c>
      <c r="I219" s="329">
        <v>0</v>
      </c>
      <c r="J219" s="450">
        <f t="shared" si="60"/>
        <v>0</v>
      </c>
      <c r="K219" s="451"/>
      <c r="L219" s="364"/>
      <c r="M219" s="452" t="s">
        <v>171</v>
      </c>
      <c r="N219" s="415" t="s">
        <v>185</v>
      </c>
      <c r="O219" s="453">
        <v>0.11799999999999999</v>
      </c>
      <c r="P219" s="453">
        <f t="shared" si="61"/>
        <v>68.44</v>
      </c>
      <c r="Q219" s="453">
        <v>0</v>
      </c>
      <c r="R219" s="453">
        <f t="shared" si="62"/>
        <v>0</v>
      </c>
      <c r="S219" s="453">
        <v>0</v>
      </c>
      <c r="T219" s="454">
        <f t="shared" si="63"/>
        <v>0</v>
      </c>
      <c r="AR219" s="455" t="s">
        <v>625</v>
      </c>
      <c r="AT219" s="455" t="s">
        <v>218</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625</v>
      </c>
      <c r="BM219" s="455" t="s">
        <v>2667</v>
      </c>
    </row>
    <row r="220" spans="2:65" s="365" customFormat="1" ht="16.5" customHeight="1" x14ac:dyDescent="0.25">
      <c r="B220" s="364"/>
      <c r="C220" s="457" t="s">
        <v>674</v>
      </c>
      <c r="D220" s="457" t="s">
        <v>259</v>
      </c>
      <c r="E220" s="458" t="s">
        <v>2378</v>
      </c>
      <c r="F220" s="459" t="s">
        <v>2379</v>
      </c>
      <c r="G220" s="460" t="s">
        <v>536</v>
      </c>
      <c r="H220" s="461">
        <v>546.36</v>
      </c>
      <c r="I220" s="330">
        <v>0</v>
      </c>
      <c r="J220" s="462">
        <f t="shared" si="60"/>
        <v>0</v>
      </c>
      <c r="K220" s="463"/>
      <c r="L220" s="464"/>
      <c r="M220" s="465" t="s">
        <v>171</v>
      </c>
      <c r="N220" s="466" t="s">
        <v>185</v>
      </c>
      <c r="O220" s="453">
        <v>0</v>
      </c>
      <c r="P220" s="453">
        <f t="shared" si="61"/>
        <v>0</v>
      </c>
      <c r="Q220" s="453">
        <v>1E-3</v>
      </c>
      <c r="R220" s="453">
        <f t="shared" si="62"/>
        <v>0.54636000000000007</v>
      </c>
      <c r="S220" s="453">
        <v>0</v>
      </c>
      <c r="T220" s="454">
        <f t="shared" si="63"/>
        <v>0</v>
      </c>
      <c r="AR220" s="455" t="s">
        <v>1631</v>
      </c>
      <c r="AT220" s="455" t="s">
        <v>259</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1631</v>
      </c>
      <c r="BM220" s="455" t="s">
        <v>2668</v>
      </c>
    </row>
    <row r="221" spans="2:65" s="365" customFormat="1" ht="16.5" customHeight="1" x14ac:dyDescent="0.25">
      <c r="B221" s="364"/>
      <c r="C221" s="445" t="s">
        <v>678</v>
      </c>
      <c r="D221" s="445" t="s">
        <v>218</v>
      </c>
      <c r="E221" s="446" t="s">
        <v>2387</v>
      </c>
      <c r="F221" s="447" t="s">
        <v>2388</v>
      </c>
      <c r="G221" s="448" t="s">
        <v>123</v>
      </c>
      <c r="H221" s="449">
        <v>21</v>
      </c>
      <c r="I221" s="329">
        <v>0</v>
      </c>
      <c r="J221" s="450">
        <f t="shared" si="60"/>
        <v>0</v>
      </c>
      <c r="K221" s="451"/>
      <c r="L221" s="364"/>
      <c r="M221" s="452" t="s">
        <v>171</v>
      </c>
      <c r="N221" s="415" t="s">
        <v>185</v>
      </c>
      <c r="O221" s="453">
        <v>0.11700000000000001</v>
      </c>
      <c r="P221" s="453">
        <f t="shared" si="61"/>
        <v>2.4570000000000003</v>
      </c>
      <c r="Q221" s="453">
        <v>0</v>
      </c>
      <c r="R221" s="453">
        <f t="shared" si="62"/>
        <v>0</v>
      </c>
      <c r="S221" s="453">
        <v>0</v>
      </c>
      <c r="T221" s="454">
        <f t="shared" si="63"/>
        <v>0</v>
      </c>
      <c r="AR221" s="455" t="s">
        <v>625</v>
      </c>
      <c r="AT221" s="455" t="s">
        <v>218</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625</v>
      </c>
      <c r="BM221" s="455" t="s">
        <v>2669</v>
      </c>
    </row>
    <row r="222" spans="2:65" s="365" customFormat="1" ht="16.5" customHeight="1" x14ac:dyDescent="0.25">
      <c r="B222" s="364"/>
      <c r="C222" s="457" t="s">
        <v>903</v>
      </c>
      <c r="D222" s="457" t="s">
        <v>259</v>
      </c>
      <c r="E222" s="458" t="s">
        <v>2390</v>
      </c>
      <c r="F222" s="459" t="s">
        <v>2391</v>
      </c>
      <c r="G222" s="460" t="s">
        <v>123</v>
      </c>
      <c r="H222" s="461">
        <v>21</v>
      </c>
      <c r="I222" s="330">
        <v>0</v>
      </c>
      <c r="J222" s="462">
        <f t="shared" si="60"/>
        <v>0</v>
      </c>
      <c r="K222" s="463"/>
      <c r="L222" s="464"/>
      <c r="M222" s="465" t="s">
        <v>171</v>
      </c>
      <c r="N222" s="466" t="s">
        <v>185</v>
      </c>
      <c r="O222" s="453">
        <v>0</v>
      </c>
      <c r="P222" s="453">
        <f t="shared" si="61"/>
        <v>0</v>
      </c>
      <c r="Q222" s="453">
        <v>1.3999999999999999E-4</v>
      </c>
      <c r="R222" s="453">
        <f t="shared" si="62"/>
        <v>2.9399999999999999E-3</v>
      </c>
      <c r="S222" s="453">
        <v>0</v>
      </c>
      <c r="T222" s="454">
        <f t="shared" si="63"/>
        <v>0</v>
      </c>
      <c r="AR222" s="455" t="s">
        <v>1631</v>
      </c>
      <c r="AT222" s="455" t="s">
        <v>259</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1631</v>
      </c>
      <c r="BM222" s="455" t="s">
        <v>2670</v>
      </c>
    </row>
    <row r="223" spans="2:65" s="365" customFormat="1" ht="21.75" customHeight="1" x14ac:dyDescent="0.25">
      <c r="B223" s="364"/>
      <c r="C223" s="445" t="s">
        <v>907</v>
      </c>
      <c r="D223" s="445" t="s">
        <v>218</v>
      </c>
      <c r="E223" s="446" t="s">
        <v>2393</v>
      </c>
      <c r="F223" s="447" t="s">
        <v>2394</v>
      </c>
      <c r="G223" s="448" t="s">
        <v>113</v>
      </c>
      <c r="H223" s="449">
        <v>630</v>
      </c>
      <c r="I223" s="329">
        <v>0</v>
      </c>
      <c r="J223" s="450">
        <f t="shared" si="60"/>
        <v>0</v>
      </c>
      <c r="K223" s="451"/>
      <c r="L223" s="364"/>
      <c r="M223" s="452" t="s">
        <v>171</v>
      </c>
      <c r="N223" s="415" t="s">
        <v>185</v>
      </c>
      <c r="O223" s="453">
        <v>5.1999999999999998E-2</v>
      </c>
      <c r="P223" s="453">
        <f t="shared" si="61"/>
        <v>32.76</v>
      </c>
      <c r="Q223" s="453">
        <v>0</v>
      </c>
      <c r="R223" s="453">
        <f t="shared" si="62"/>
        <v>0</v>
      </c>
      <c r="S223" s="453">
        <v>0</v>
      </c>
      <c r="T223" s="454">
        <f t="shared" si="63"/>
        <v>0</v>
      </c>
      <c r="AR223" s="455" t="s">
        <v>625</v>
      </c>
      <c r="AT223" s="455" t="s">
        <v>218</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625</v>
      </c>
      <c r="BM223" s="455" t="s">
        <v>2671</v>
      </c>
    </row>
    <row r="224" spans="2:65" s="365" customFormat="1" ht="16.5" customHeight="1" x14ac:dyDescent="0.25">
      <c r="B224" s="364"/>
      <c r="C224" s="457" t="s">
        <v>911</v>
      </c>
      <c r="D224" s="457" t="s">
        <v>259</v>
      </c>
      <c r="E224" s="458" t="s">
        <v>2396</v>
      </c>
      <c r="F224" s="459" t="s">
        <v>2397</v>
      </c>
      <c r="G224" s="460" t="s">
        <v>113</v>
      </c>
      <c r="H224" s="461">
        <v>630</v>
      </c>
      <c r="I224" s="330">
        <v>0</v>
      </c>
      <c r="J224" s="462">
        <f t="shared" si="60"/>
        <v>0</v>
      </c>
      <c r="K224" s="463"/>
      <c r="L224" s="464"/>
      <c r="M224" s="465" t="s">
        <v>171</v>
      </c>
      <c r="N224" s="466" t="s">
        <v>185</v>
      </c>
      <c r="O224" s="453">
        <v>0</v>
      </c>
      <c r="P224" s="453">
        <f t="shared" si="61"/>
        <v>0</v>
      </c>
      <c r="Q224" s="453">
        <v>6.2E-4</v>
      </c>
      <c r="R224" s="453">
        <f t="shared" si="62"/>
        <v>0.3906</v>
      </c>
      <c r="S224" s="453">
        <v>0</v>
      </c>
      <c r="T224" s="454">
        <f t="shared" si="63"/>
        <v>0</v>
      </c>
      <c r="AR224" s="455" t="s">
        <v>1631</v>
      </c>
      <c r="AT224" s="455" t="s">
        <v>259</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1631</v>
      </c>
      <c r="BM224" s="455" t="s">
        <v>2672</v>
      </c>
    </row>
    <row r="225" spans="2:65" s="365" customFormat="1" ht="21.75" customHeight="1" x14ac:dyDescent="0.25">
      <c r="B225" s="364"/>
      <c r="C225" s="445" t="s">
        <v>915</v>
      </c>
      <c r="D225" s="445" t="s">
        <v>218</v>
      </c>
      <c r="E225" s="446" t="s">
        <v>2399</v>
      </c>
      <c r="F225" s="447" t="s">
        <v>2400</v>
      </c>
      <c r="G225" s="448" t="s">
        <v>113</v>
      </c>
      <c r="H225" s="449">
        <v>325</v>
      </c>
      <c r="I225" s="329">
        <v>0</v>
      </c>
      <c r="J225" s="450">
        <f t="shared" si="60"/>
        <v>0</v>
      </c>
      <c r="K225" s="451"/>
      <c r="L225" s="364"/>
      <c r="M225" s="452" t="s">
        <v>171</v>
      </c>
      <c r="N225" s="415" t="s">
        <v>185</v>
      </c>
      <c r="O225" s="453">
        <v>6.3E-2</v>
      </c>
      <c r="P225" s="453">
        <f t="shared" si="61"/>
        <v>20.475000000000001</v>
      </c>
      <c r="Q225" s="453">
        <v>0</v>
      </c>
      <c r="R225" s="453">
        <f t="shared" si="62"/>
        <v>0</v>
      </c>
      <c r="S225" s="453">
        <v>0</v>
      </c>
      <c r="T225" s="454">
        <f t="shared" si="63"/>
        <v>0</v>
      </c>
      <c r="AR225" s="455" t="s">
        <v>625</v>
      </c>
      <c r="AT225" s="455" t="s">
        <v>218</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625</v>
      </c>
      <c r="BM225" s="455" t="s">
        <v>2673</v>
      </c>
    </row>
    <row r="226" spans="2:65" s="365" customFormat="1" ht="16.5" customHeight="1" x14ac:dyDescent="0.25">
      <c r="B226" s="364"/>
      <c r="C226" s="457" t="s">
        <v>919</v>
      </c>
      <c r="D226" s="457" t="s">
        <v>259</v>
      </c>
      <c r="E226" s="458" t="s">
        <v>2402</v>
      </c>
      <c r="F226" s="459" t="s">
        <v>2403</v>
      </c>
      <c r="G226" s="460" t="s">
        <v>113</v>
      </c>
      <c r="H226" s="461">
        <v>325</v>
      </c>
      <c r="I226" s="330">
        <v>0</v>
      </c>
      <c r="J226" s="462">
        <f t="shared" si="60"/>
        <v>0</v>
      </c>
      <c r="K226" s="463"/>
      <c r="L226" s="464"/>
      <c r="M226" s="465" t="s">
        <v>171</v>
      </c>
      <c r="N226" s="466" t="s">
        <v>185</v>
      </c>
      <c r="O226" s="453">
        <v>0</v>
      </c>
      <c r="P226" s="453">
        <f t="shared" si="61"/>
        <v>0</v>
      </c>
      <c r="Q226" s="453">
        <v>8.9999999999999998E-4</v>
      </c>
      <c r="R226" s="453">
        <f t="shared" si="62"/>
        <v>0.29249999999999998</v>
      </c>
      <c r="S226" s="453">
        <v>0</v>
      </c>
      <c r="T226" s="454">
        <f t="shared" si="63"/>
        <v>0</v>
      </c>
      <c r="AR226" s="455" t="s">
        <v>1631</v>
      </c>
      <c r="AT226" s="455" t="s">
        <v>259</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1631</v>
      </c>
      <c r="BM226" s="455" t="s">
        <v>2674</v>
      </c>
    </row>
    <row r="227" spans="2:65" s="365" customFormat="1" ht="21.75" customHeight="1" x14ac:dyDescent="0.25">
      <c r="B227" s="364"/>
      <c r="C227" s="445" t="s">
        <v>923</v>
      </c>
      <c r="D227" s="445" t="s">
        <v>218</v>
      </c>
      <c r="E227" s="446" t="s">
        <v>2405</v>
      </c>
      <c r="F227" s="447" t="s">
        <v>2406</v>
      </c>
      <c r="G227" s="448" t="s">
        <v>113</v>
      </c>
      <c r="H227" s="449">
        <v>1101</v>
      </c>
      <c r="I227" s="329">
        <v>0</v>
      </c>
      <c r="J227" s="450">
        <f t="shared" si="60"/>
        <v>0</v>
      </c>
      <c r="K227" s="451"/>
      <c r="L227" s="364"/>
      <c r="M227" s="452" t="s">
        <v>171</v>
      </c>
      <c r="N227" s="415" t="s">
        <v>185</v>
      </c>
      <c r="O227" s="453">
        <v>0.02</v>
      </c>
      <c r="P227" s="453">
        <f t="shared" si="61"/>
        <v>22.02</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2675</v>
      </c>
    </row>
    <row r="228" spans="2:65" s="434" customFormat="1" ht="22.9" customHeight="1" x14ac:dyDescent="0.2">
      <c r="B228" s="433"/>
      <c r="D228" s="435" t="s">
        <v>216</v>
      </c>
      <c r="E228" s="443" t="s">
        <v>1770</v>
      </c>
      <c r="F228" s="443" t="s">
        <v>1771</v>
      </c>
      <c r="I228" s="331"/>
      <c r="J228" s="444">
        <f>BK228</f>
        <v>0</v>
      </c>
      <c r="L228" s="433"/>
      <c r="M228" s="438"/>
      <c r="P228" s="439">
        <f>SUM(P229:P243)</f>
        <v>1013.1840608499998</v>
      </c>
      <c r="R228" s="439">
        <f>SUM(R229:R243)</f>
        <v>37.800150000000002</v>
      </c>
      <c r="T228" s="440">
        <f>SUM(T229:T243)</f>
        <v>0</v>
      </c>
      <c r="AR228" s="435" t="s">
        <v>119</v>
      </c>
      <c r="AT228" s="441" t="s">
        <v>216</v>
      </c>
      <c r="AU228" s="441" t="s">
        <v>109</v>
      </c>
      <c r="AY228" s="435" t="s">
        <v>217</v>
      </c>
      <c r="BK228" s="442">
        <f>SUM(BK229:BK243)</f>
        <v>0</v>
      </c>
    </row>
    <row r="229" spans="2:65" s="365" customFormat="1" ht="24.2" customHeight="1" x14ac:dyDescent="0.25">
      <c r="B229" s="364"/>
      <c r="C229" s="445" t="s">
        <v>925</v>
      </c>
      <c r="D229" s="445" t="s">
        <v>218</v>
      </c>
      <c r="E229" s="446" t="s">
        <v>1787</v>
      </c>
      <c r="F229" s="447" t="s">
        <v>1788</v>
      </c>
      <c r="G229" s="448" t="s">
        <v>114</v>
      </c>
      <c r="H229" s="449">
        <v>16.123999999999999</v>
      </c>
      <c r="I229" s="329">
        <v>0</v>
      </c>
      <c r="J229" s="450">
        <f t="shared" ref="J229:J243" si="70">ROUND(I229*H229,2)</f>
        <v>0</v>
      </c>
      <c r="K229" s="451"/>
      <c r="L229" s="364"/>
      <c r="M229" s="452" t="s">
        <v>171</v>
      </c>
      <c r="N229" s="415" t="s">
        <v>185</v>
      </c>
      <c r="O229" s="453">
        <v>2.9211</v>
      </c>
      <c r="P229" s="453">
        <f t="shared" ref="P229:P243" si="71">O229*H229</f>
        <v>47.099816399999995</v>
      </c>
      <c r="Q229" s="453">
        <v>0</v>
      </c>
      <c r="R229" s="453">
        <f t="shared" ref="R229:R243" si="72">Q229*H229</f>
        <v>0</v>
      </c>
      <c r="S229" s="453">
        <v>0</v>
      </c>
      <c r="T229" s="454">
        <f t="shared" ref="T229:T243" si="73">S229*H229</f>
        <v>0</v>
      </c>
      <c r="AR229" s="455" t="s">
        <v>625</v>
      </c>
      <c r="AT229" s="455" t="s">
        <v>218</v>
      </c>
      <c r="AU229" s="455" t="s">
        <v>108</v>
      </c>
      <c r="AY229" s="357" t="s">
        <v>217</v>
      </c>
      <c r="BE229" s="456">
        <f t="shared" ref="BE229:BE243" si="74">IF(N229="základná",J229,0)</f>
        <v>0</v>
      </c>
      <c r="BF229" s="456">
        <f t="shared" ref="BF229:BF243" si="75">IF(N229="znížená",J229,0)</f>
        <v>0</v>
      </c>
      <c r="BG229" s="456">
        <f t="shared" ref="BG229:BG243" si="76">IF(N229="zákl. prenesená",J229,0)</f>
        <v>0</v>
      </c>
      <c r="BH229" s="456">
        <f t="shared" ref="BH229:BH243" si="77">IF(N229="zníž. prenesená",J229,0)</f>
        <v>0</v>
      </c>
      <c r="BI229" s="456">
        <f t="shared" ref="BI229:BI243" si="78">IF(N229="nulová",J229,0)</f>
        <v>0</v>
      </c>
      <c r="BJ229" s="357" t="s">
        <v>108</v>
      </c>
      <c r="BK229" s="456">
        <f t="shared" ref="BK229:BK243" si="79">ROUND(I229*H229,2)</f>
        <v>0</v>
      </c>
      <c r="BL229" s="357" t="s">
        <v>625</v>
      </c>
      <c r="BM229" s="455" t="s">
        <v>2676</v>
      </c>
    </row>
    <row r="230" spans="2:65" s="365" customFormat="1" ht="24.2" customHeight="1" x14ac:dyDescent="0.25">
      <c r="B230" s="364"/>
      <c r="C230" s="445" t="s">
        <v>928</v>
      </c>
      <c r="D230" s="445" t="s">
        <v>218</v>
      </c>
      <c r="E230" s="446" t="s">
        <v>2409</v>
      </c>
      <c r="F230" s="447" t="s">
        <v>2410</v>
      </c>
      <c r="G230" s="448" t="s">
        <v>113</v>
      </c>
      <c r="H230" s="449">
        <v>166</v>
      </c>
      <c r="I230" s="329">
        <v>0</v>
      </c>
      <c r="J230" s="450">
        <f t="shared" si="70"/>
        <v>0</v>
      </c>
      <c r="K230" s="451"/>
      <c r="L230" s="364"/>
      <c r="M230" s="452" t="s">
        <v>171</v>
      </c>
      <c r="N230" s="415" t="s">
        <v>185</v>
      </c>
      <c r="O230" s="453">
        <v>0.71109999999999995</v>
      </c>
      <c r="P230" s="453">
        <f t="shared" si="71"/>
        <v>118.04259999999999</v>
      </c>
      <c r="Q230" s="453">
        <v>0</v>
      </c>
      <c r="R230" s="453">
        <f t="shared" si="72"/>
        <v>0</v>
      </c>
      <c r="S230" s="453">
        <v>0</v>
      </c>
      <c r="T230" s="454">
        <f t="shared" si="73"/>
        <v>0</v>
      </c>
      <c r="AR230" s="455" t="s">
        <v>625</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625</v>
      </c>
      <c r="BM230" s="455" t="s">
        <v>2677</v>
      </c>
    </row>
    <row r="231" spans="2:65" s="365" customFormat="1" ht="24.2" customHeight="1" x14ac:dyDescent="0.25">
      <c r="B231" s="364"/>
      <c r="C231" s="445" t="s">
        <v>931</v>
      </c>
      <c r="D231" s="445" t="s">
        <v>218</v>
      </c>
      <c r="E231" s="446" t="s">
        <v>2412</v>
      </c>
      <c r="F231" s="447" t="s">
        <v>2413</v>
      </c>
      <c r="G231" s="448" t="s">
        <v>113</v>
      </c>
      <c r="H231" s="449">
        <v>449</v>
      </c>
      <c r="I231" s="329">
        <v>0</v>
      </c>
      <c r="J231" s="450">
        <f t="shared" si="70"/>
        <v>0</v>
      </c>
      <c r="K231" s="451"/>
      <c r="L231" s="364"/>
      <c r="M231" s="452" t="s">
        <v>171</v>
      </c>
      <c r="N231" s="415" t="s">
        <v>185</v>
      </c>
      <c r="O231" s="453">
        <v>0.94769999999999999</v>
      </c>
      <c r="P231" s="453">
        <f t="shared" si="71"/>
        <v>425.51729999999998</v>
      </c>
      <c r="Q231" s="453">
        <v>0</v>
      </c>
      <c r="R231" s="453">
        <f t="shared" si="72"/>
        <v>0</v>
      </c>
      <c r="S231" s="453">
        <v>0</v>
      </c>
      <c r="T231" s="454">
        <f t="shared" si="73"/>
        <v>0</v>
      </c>
      <c r="AR231" s="455" t="s">
        <v>625</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625</v>
      </c>
      <c r="BM231" s="455" t="s">
        <v>2678</v>
      </c>
    </row>
    <row r="232" spans="2:65" s="365" customFormat="1" ht="24.2" customHeight="1" x14ac:dyDescent="0.25">
      <c r="B232" s="364"/>
      <c r="C232" s="445" t="s">
        <v>933</v>
      </c>
      <c r="D232" s="445" t="s">
        <v>218</v>
      </c>
      <c r="E232" s="446" t="s">
        <v>2679</v>
      </c>
      <c r="F232" s="447" t="s">
        <v>2680</v>
      </c>
      <c r="G232" s="448" t="s">
        <v>113</v>
      </c>
      <c r="H232" s="449">
        <v>16</v>
      </c>
      <c r="I232" s="329">
        <v>0</v>
      </c>
      <c r="J232" s="450">
        <f t="shared" si="70"/>
        <v>0</v>
      </c>
      <c r="K232" s="451"/>
      <c r="L232" s="364"/>
      <c r="M232" s="452" t="s">
        <v>171</v>
      </c>
      <c r="N232" s="415" t="s">
        <v>185</v>
      </c>
      <c r="O232" s="453">
        <v>2.1779999999999999</v>
      </c>
      <c r="P232" s="453">
        <f t="shared" si="71"/>
        <v>34.847999999999999</v>
      </c>
      <c r="Q232" s="453">
        <v>0</v>
      </c>
      <c r="R232" s="453">
        <f t="shared" si="72"/>
        <v>0</v>
      </c>
      <c r="S232" s="453">
        <v>0</v>
      </c>
      <c r="T232" s="454">
        <f t="shared" si="73"/>
        <v>0</v>
      </c>
      <c r="AR232" s="455" t="s">
        <v>625</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625</v>
      </c>
      <c r="BM232" s="455" t="s">
        <v>2681</v>
      </c>
    </row>
    <row r="233" spans="2:65" s="365" customFormat="1" ht="24.2" customHeight="1" x14ac:dyDescent="0.25">
      <c r="B233" s="364"/>
      <c r="C233" s="445" t="s">
        <v>935</v>
      </c>
      <c r="D233" s="445" t="s">
        <v>218</v>
      </c>
      <c r="E233" s="446" t="s">
        <v>2682</v>
      </c>
      <c r="F233" s="447" t="s">
        <v>2683</v>
      </c>
      <c r="G233" s="448" t="s">
        <v>113</v>
      </c>
      <c r="H233" s="449">
        <v>41</v>
      </c>
      <c r="I233" s="329">
        <v>0</v>
      </c>
      <c r="J233" s="450">
        <f t="shared" si="70"/>
        <v>0</v>
      </c>
      <c r="K233" s="451"/>
      <c r="L233" s="364"/>
      <c r="M233" s="452" t="s">
        <v>171</v>
      </c>
      <c r="N233" s="415" t="s">
        <v>185</v>
      </c>
      <c r="O233" s="453">
        <v>3.028</v>
      </c>
      <c r="P233" s="453">
        <f t="shared" si="71"/>
        <v>124.148</v>
      </c>
      <c r="Q233" s="453">
        <v>0</v>
      </c>
      <c r="R233" s="453">
        <f t="shared" si="72"/>
        <v>0</v>
      </c>
      <c r="S233" s="453">
        <v>0</v>
      </c>
      <c r="T233" s="454">
        <f t="shared" si="73"/>
        <v>0</v>
      </c>
      <c r="AR233" s="455" t="s">
        <v>625</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625</v>
      </c>
      <c r="BM233" s="455" t="s">
        <v>2684</v>
      </c>
    </row>
    <row r="234" spans="2:65" s="365" customFormat="1" ht="24.2" customHeight="1" x14ac:dyDescent="0.25">
      <c r="B234" s="364"/>
      <c r="C234" s="445" t="s">
        <v>938</v>
      </c>
      <c r="D234" s="445" t="s">
        <v>218</v>
      </c>
      <c r="E234" s="446" t="s">
        <v>2421</v>
      </c>
      <c r="F234" s="447" t="s">
        <v>2422</v>
      </c>
      <c r="G234" s="448" t="s">
        <v>113</v>
      </c>
      <c r="H234" s="449">
        <v>615</v>
      </c>
      <c r="I234" s="329">
        <v>0</v>
      </c>
      <c r="J234" s="450">
        <f t="shared" si="70"/>
        <v>0</v>
      </c>
      <c r="K234" s="451"/>
      <c r="L234" s="364"/>
      <c r="M234" s="452" t="s">
        <v>171</v>
      </c>
      <c r="N234" s="415" t="s">
        <v>185</v>
      </c>
      <c r="O234" s="453">
        <v>0.1469</v>
      </c>
      <c r="P234" s="453">
        <f t="shared" si="71"/>
        <v>90.343500000000006</v>
      </c>
      <c r="Q234" s="453">
        <v>0</v>
      </c>
      <c r="R234" s="453">
        <f t="shared" si="72"/>
        <v>0</v>
      </c>
      <c r="S234" s="453">
        <v>0</v>
      </c>
      <c r="T234" s="454">
        <f t="shared" si="73"/>
        <v>0</v>
      </c>
      <c r="AR234" s="455" t="s">
        <v>625</v>
      </c>
      <c r="AT234" s="455" t="s">
        <v>218</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625</v>
      </c>
      <c r="BM234" s="455" t="s">
        <v>2685</v>
      </c>
    </row>
    <row r="235" spans="2:65" s="365" customFormat="1" ht="16.5" customHeight="1" x14ac:dyDescent="0.25">
      <c r="B235" s="364"/>
      <c r="C235" s="457" t="s">
        <v>941</v>
      </c>
      <c r="D235" s="457" t="s">
        <v>259</v>
      </c>
      <c r="E235" s="458" t="s">
        <v>2424</v>
      </c>
      <c r="F235" s="459" t="s">
        <v>2425</v>
      </c>
      <c r="G235" s="460" t="s">
        <v>112</v>
      </c>
      <c r="H235" s="461">
        <v>37.670999999999999</v>
      </c>
      <c r="I235" s="330">
        <v>0</v>
      </c>
      <c r="J235" s="462">
        <f t="shared" si="70"/>
        <v>0</v>
      </c>
      <c r="K235" s="463"/>
      <c r="L235" s="464"/>
      <c r="M235" s="465" t="s">
        <v>171</v>
      </c>
      <c r="N235" s="466" t="s">
        <v>185</v>
      </c>
      <c r="O235" s="453">
        <v>0</v>
      </c>
      <c r="P235" s="453">
        <f t="shared" si="71"/>
        <v>0</v>
      </c>
      <c r="Q235" s="453">
        <v>1</v>
      </c>
      <c r="R235" s="453">
        <f t="shared" si="72"/>
        <v>37.670999999999999</v>
      </c>
      <c r="S235" s="453">
        <v>0</v>
      </c>
      <c r="T235" s="454">
        <f t="shared" si="73"/>
        <v>0</v>
      </c>
      <c r="AR235" s="455" t="s">
        <v>1795</v>
      </c>
      <c r="AT235" s="455" t="s">
        <v>259</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625</v>
      </c>
      <c r="BM235" s="455" t="s">
        <v>2686</v>
      </c>
    </row>
    <row r="236" spans="2:65" s="365" customFormat="1" ht="24.2" customHeight="1" x14ac:dyDescent="0.25">
      <c r="B236" s="364"/>
      <c r="C236" s="445" t="s">
        <v>945</v>
      </c>
      <c r="D236" s="445" t="s">
        <v>218</v>
      </c>
      <c r="E236" s="446" t="s">
        <v>2427</v>
      </c>
      <c r="F236" s="447" t="s">
        <v>2428</v>
      </c>
      <c r="G236" s="448" t="s">
        <v>113</v>
      </c>
      <c r="H236" s="449">
        <v>615</v>
      </c>
      <c r="I236" s="329">
        <v>0</v>
      </c>
      <c r="J236" s="450">
        <f t="shared" si="70"/>
        <v>0</v>
      </c>
      <c r="K236" s="451"/>
      <c r="L236" s="364"/>
      <c r="M236" s="452" t="s">
        <v>171</v>
      </c>
      <c r="N236" s="415" t="s">
        <v>185</v>
      </c>
      <c r="O236" s="453">
        <v>3.2500000000000001E-2</v>
      </c>
      <c r="P236" s="453">
        <f t="shared" si="71"/>
        <v>19.987500000000001</v>
      </c>
      <c r="Q236" s="453">
        <v>0</v>
      </c>
      <c r="R236" s="453">
        <f t="shared" si="72"/>
        <v>0</v>
      </c>
      <c r="S236" s="453">
        <v>0</v>
      </c>
      <c r="T236" s="454">
        <f t="shared" si="73"/>
        <v>0</v>
      </c>
      <c r="AR236" s="455" t="s">
        <v>625</v>
      </c>
      <c r="AT236" s="455" t="s">
        <v>218</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625</v>
      </c>
      <c r="BM236" s="455" t="s">
        <v>2687</v>
      </c>
    </row>
    <row r="237" spans="2:65" s="365" customFormat="1" ht="24.2" customHeight="1" x14ac:dyDescent="0.25">
      <c r="B237" s="364"/>
      <c r="C237" s="457" t="s">
        <v>948</v>
      </c>
      <c r="D237" s="457" t="s">
        <v>259</v>
      </c>
      <c r="E237" s="458" t="s">
        <v>2430</v>
      </c>
      <c r="F237" s="459" t="s">
        <v>2431</v>
      </c>
      <c r="G237" s="460" t="s">
        <v>113</v>
      </c>
      <c r="H237" s="461">
        <v>615</v>
      </c>
      <c r="I237" s="330">
        <v>0</v>
      </c>
      <c r="J237" s="462">
        <f t="shared" si="70"/>
        <v>0</v>
      </c>
      <c r="K237" s="463"/>
      <c r="L237" s="464"/>
      <c r="M237" s="465" t="s">
        <v>171</v>
      </c>
      <c r="N237" s="466" t="s">
        <v>185</v>
      </c>
      <c r="O237" s="453">
        <v>0</v>
      </c>
      <c r="P237" s="453">
        <f t="shared" si="71"/>
        <v>0</v>
      </c>
      <c r="Q237" s="453">
        <v>2.1000000000000001E-4</v>
      </c>
      <c r="R237" s="453">
        <f t="shared" si="72"/>
        <v>0.12915000000000001</v>
      </c>
      <c r="S237" s="453">
        <v>0</v>
      </c>
      <c r="T237" s="454">
        <f t="shared" si="73"/>
        <v>0</v>
      </c>
      <c r="AR237" s="455" t="s">
        <v>1631</v>
      </c>
      <c r="AT237" s="455" t="s">
        <v>259</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1631</v>
      </c>
      <c r="BM237" s="455" t="s">
        <v>2688</v>
      </c>
    </row>
    <row r="238" spans="2:65" s="365" customFormat="1" ht="33" customHeight="1" x14ac:dyDescent="0.25">
      <c r="B238" s="364"/>
      <c r="C238" s="445" t="s">
        <v>1199</v>
      </c>
      <c r="D238" s="445" t="s">
        <v>218</v>
      </c>
      <c r="E238" s="446" t="s">
        <v>2433</v>
      </c>
      <c r="F238" s="447" t="s">
        <v>2434</v>
      </c>
      <c r="G238" s="448" t="s">
        <v>113</v>
      </c>
      <c r="H238" s="449">
        <v>166</v>
      </c>
      <c r="I238" s="329">
        <v>0</v>
      </c>
      <c r="J238" s="450">
        <f t="shared" si="70"/>
        <v>0</v>
      </c>
      <c r="K238" s="451"/>
      <c r="L238" s="364"/>
      <c r="M238" s="452" t="s">
        <v>171</v>
      </c>
      <c r="N238" s="415" t="s">
        <v>185</v>
      </c>
      <c r="O238" s="453">
        <v>0.1235</v>
      </c>
      <c r="P238" s="453">
        <f t="shared" si="71"/>
        <v>20.501000000000001</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2689</v>
      </c>
    </row>
    <row r="239" spans="2:65" s="365" customFormat="1" ht="33" customHeight="1" x14ac:dyDescent="0.25">
      <c r="B239" s="364"/>
      <c r="C239" s="445" t="s">
        <v>1200</v>
      </c>
      <c r="D239" s="445" t="s">
        <v>218</v>
      </c>
      <c r="E239" s="446" t="s">
        <v>2436</v>
      </c>
      <c r="F239" s="447" t="s">
        <v>2437</v>
      </c>
      <c r="G239" s="448" t="s">
        <v>113</v>
      </c>
      <c r="H239" s="449">
        <v>449</v>
      </c>
      <c r="I239" s="329">
        <v>0</v>
      </c>
      <c r="J239" s="450">
        <f t="shared" si="70"/>
        <v>0</v>
      </c>
      <c r="K239" s="451"/>
      <c r="L239" s="364"/>
      <c r="M239" s="452" t="s">
        <v>171</v>
      </c>
      <c r="N239" s="415" t="s">
        <v>185</v>
      </c>
      <c r="O239" s="453">
        <v>0.17549999999999999</v>
      </c>
      <c r="P239" s="453">
        <f t="shared" si="71"/>
        <v>78.799499999999995</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2690</v>
      </c>
    </row>
    <row r="240" spans="2:65" s="365" customFormat="1" ht="33" customHeight="1" x14ac:dyDescent="0.25">
      <c r="B240" s="364"/>
      <c r="C240" s="445" t="s">
        <v>1202</v>
      </c>
      <c r="D240" s="445" t="s">
        <v>218</v>
      </c>
      <c r="E240" s="446" t="s">
        <v>2691</v>
      </c>
      <c r="F240" s="447" t="s">
        <v>2692</v>
      </c>
      <c r="G240" s="448" t="s">
        <v>113</v>
      </c>
      <c r="H240" s="449">
        <v>16</v>
      </c>
      <c r="I240" s="329">
        <v>0</v>
      </c>
      <c r="J240" s="450">
        <f t="shared" si="70"/>
        <v>0</v>
      </c>
      <c r="K240" s="451"/>
      <c r="L240" s="364"/>
      <c r="M240" s="452" t="s">
        <v>171</v>
      </c>
      <c r="N240" s="415" t="s">
        <v>185</v>
      </c>
      <c r="O240" s="453">
        <v>0.54700000000000004</v>
      </c>
      <c r="P240" s="453">
        <f t="shared" si="71"/>
        <v>8.7520000000000007</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2693</v>
      </c>
    </row>
    <row r="241" spans="2:65" s="365" customFormat="1" ht="33" customHeight="1" x14ac:dyDescent="0.25">
      <c r="B241" s="364"/>
      <c r="C241" s="445" t="s">
        <v>1203</v>
      </c>
      <c r="D241" s="445" t="s">
        <v>218</v>
      </c>
      <c r="E241" s="446" t="s">
        <v>2694</v>
      </c>
      <c r="F241" s="447" t="s">
        <v>2695</v>
      </c>
      <c r="G241" s="448" t="s">
        <v>113</v>
      </c>
      <c r="H241" s="449">
        <v>41</v>
      </c>
      <c r="I241" s="329">
        <v>0</v>
      </c>
      <c r="J241" s="450">
        <f t="shared" si="70"/>
        <v>0</v>
      </c>
      <c r="K241" s="451"/>
      <c r="L241" s="364"/>
      <c r="M241" s="452" t="s">
        <v>171</v>
      </c>
      <c r="N241" s="415" t="s">
        <v>185</v>
      </c>
      <c r="O241" s="453">
        <v>0.5</v>
      </c>
      <c r="P241" s="453">
        <f t="shared" si="71"/>
        <v>20.5</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2696</v>
      </c>
    </row>
    <row r="242" spans="2:65" s="365" customFormat="1" ht="24.2" customHeight="1" x14ac:dyDescent="0.25">
      <c r="B242" s="364"/>
      <c r="C242" s="445" t="s">
        <v>1206</v>
      </c>
      <c r="D242" s="445" t="s">
        <v>218</v>
      </c>
      <c r="E242" s="446" t="s">
        <v>2574</v>
      </c>
      <c r="F242" s="447" t="s">
        <v>2575</v>
      </c>
      <c r="G242" s="448" t="s">
        <v>114</v>
      </c>
      <c r="H242" s="449">
        <v>50.383000000000003</v>
      </c>
      <c r="I242" s="329">
        <v>0</v>
      </c>
      <c r="J242" s="450">
        <f t="shared" si="70"/>
        <v>0</v>
      </c>
      <c r="K242" s="451"/>
      <c r="L242" s="364"/>
      <c r="M242" s="452" t="s">
        <v>171</v>
      </c>
      <c r="N242" s="415" t="s">
        <v>185</v>
      </c>
      <c r="O242" s="453">
        <v>0.3049</v>
      </c>
      <c r="P242" s="453">
        <f t="shared" si="71"/>
        <v>15.361776700000002</v>
      </c>
      <c r="Q242" s="453">
        <v>0</v>
      </c>
      <c r="R242" s="453">
        <f t="shared" si="72"/>
        <v>0</v>
      </c>
      <c r="S242" s="453">
        <v>0</v>
      </c>
      <c r="T242" s="454">
        <f t="shared" si="73"/>
        <v>0</v>
      </c>
      <c r="AR242" s="455" t="s">
        <v>625</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625</v>
      </c>
      <c r="BM242" s="455" t="s">
        <v>2697</v>
      </c>
    </row>
    <row r="243" spans="2:65" s="365" customFormat="1" ht="24.2" customHeight="1" x14ac:dyDescent="0.25">
      <c r="B243" s="364"/>
      <c r="C243" s="445" t="s">
        <v>1208</v>
      </c>
      <c r="D243" s="445" t="s">
        <v>218</v>
      </c>
      <c r="E243" s="446" t="s">
        <v>2577</v>
      </c>
      <c r="F243" s="447" t="s">
        <v>2578</v>
      </c>
      <c r="G243" s="448" t="s">
        <v>114</v>
      </c>
      <c r="H243" s="449">
        <v>1259.575</v>
      </c>
      <c r="I243" s="329">
        <v>0</v>
      </c>
      <c r="J243" s="450">
        <f t="shared" si="70"/>
        <v>0</v>
      </c>
      <c r="K243" s="451"/>
      <c r="L243" s="364"/>
      <c r="M243" s="452" t="s">
        <v>171</v>
      </c>
      <c r="N243" s="415" t="s">
        <v>185</v>
      </c>
      <c r="O243" s="453">
        <v>7.3699999999999998E-3</v>
      </c>
      <c r="P243" s="453">
        <f t="shared" si="71"/>
        <v>9.2830677500000007</v>
      </c>
      <c r="Q243" s="453">
        <v>0</v>
      </c>
      <c r="R243" s="453">
        <f t="shared" si="72"/>
        <v>0</v>
      </c>
      <c r="S243" s="453">
        <v>0</v>
      </c>
      <c r="T243" s="454">
        <f t="shared" si="73"/>
        <v>0</v>
      </c>
      <c r="AR243" s="455" t="s">
        <v>625</v>
      </c>
      <c r="AT243" s="455" t="s">
        <v>218</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625</v>
      </c>
      <c r="BM243" s="455" t="s">
        <v>2698</v>
      </c>
    </row>
    <row r="244" spans="2:65" s="434" customFormat="1" ht="25.9" customHeight="1" x14ac:dyDescent="0.2">
      <c r="B244" s="433"/>
      <c r="D244" s="435" t="s">
        <v>216</v>
      </c>
      <c r="E244" s="436" t="s">
        <v>2445</v>
      </c>
      <c r="F244" s="436" t="s">
        <v>2446</v>
      </c>
      <c r="I244" s="331"/>
      <c r="J244" s="437">
        <f>BK244</f>
        <v>0</v>
      </c>
      <c r="L244" s="433"/>
      <c r="M244" s="438"/>
      <c r="P244" s="439">
        <f>SUM(P245:P247)</f>
        <v>152.60000000000002</v>
      </c>
      <c r="R244" s="439">
        <f>SUM(R245:R247)</f>
        <v>0</v>
      </c>
      <c r="T244" s="440">
        <f>SUM(T245:T247)</f>
        <v>0</v>
      </c>
      <c r="AR244" s="435" t="s">
        <v>110</v>
      </c>
      <c r="AT244" s="441" t="s">
        <v>216</v>
      </c>
      <c r="AU244" s="441" t="s">
        <v>165</v>
      </c>
      <c r="AY244" s="435" t="s">
        <v>217</v>
      </c>
      <c r="BK244" s="442">
        <f>SUM(BK245:BK247)</f>
        <v>0</v>
      </c>
    </row>
    <row r="245" spans="2:65" s="365" customFormat="1" ht="37.9" customHeight="1" x14ac:dyDescent="0.25">
      <c r="B245" s="364"/>
      <c r="C245" s="445" t="s">
        <v>649</v>
      </c>
      <c r="D245" s="445" t="s">
        <v>218</v>
      </c>
      <c r="E245" s="446" t="s">
        <v>2447</v>
      </c>
      <c r="F245" s="447" t="s">
        <v>2448</v>
      </c>
      <c r="G245" s="448" t="s">
        <v>2010</v>
      </c>
      <c r="H245" s="449">
        <v>68</v>
      </c>
      <c r="I245" s="329">
        <v>0</v>
      </c>
      <c r="J245" s="450">
        <f>ROUND(I245*H245,2)</f>
        <v>0</v>
      </c>
      <c r="K245" s="451"/>
      <c r="L245" s="364"/>
      <c r="M245" s="452" t="s">
        <v>171</v>
      </c>
      <c r="N245" s="415" t="s">
        <v>185</v>
      </c>
      <c r="O245" s="453">
        <v>1.0900000000000001</v>
      </c>
      <c r="P245" s="453">
        <f>O245*H245</f>
        <v>74.12</v>
      </c>
      <c r="Q245" s="453">
        <v>0</v>
      </c>
      <c r="R245" s="453">
        <f>Q245*H245</f>
        <v>0</v>
      </c>
      <c r="S245" s="453">
        <v>0</v>
      </c>
      <c r="T245" s="454">
        <f>S245*H245</f>
        <v>0</v>
      </c>
      <c r="AR245" s="455" t="s">
        <v>2207</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2207</v>
      </c>
      <c r="BM245" s="455" t="s">
        <v>2699</v>
      </c>
    </row>
    <row r="246" spans="2:65" s="365" customFormat="1" ht="37.9" customHeight="1" x14ac:dyDescent="0.25">
      <c r="B246" s="364"/>
      <c r="C246" s="445" t="s">
        <v>1211</v>
      </c>
      <c r="D246" s="445" t="s">
        <v>218</v>
      </c>
      <c r="E246" s="446" t="s">
        <v>2450</v>
      </c>
      <c r="F246" s="447" t="s">
        <v>2451</v>
      </c>
      <c r="G246" s="448" t="s">
        <v>2010</v>
      </c>
      <c r="H246" s="449">
        <v>44</v>
      </c>
      <c r="I246" s="329">
        <v>0</v>
      </c>
      <c r="J246" s="450">
        <f>ROUND(I246*H246,2)</f>
        <v>0</v>
      </c>
      <c r="K246" s="451"/>
      <c r="L246" s="364"/>
      <c r="M246" s="452" t="s">
        <v>171</v>
      </c>
      <c r="N246" s="415" t="s">
        <v>185</v>
      </c>
      <c r="O246" s="453">
        <v>1.0900000000000001</v>
      </c>
      <c r="P246" s="453">
        <f>O246*H246</f>
        <v>47.96</v>
      </c>
      <c r="Q246" s="453">
        <v>0</v>
      </c>
      <c r="R246" s="453">
        <f>Q246*H246</f>
        <v>0</v>
      </c>
      <c r="S246" s="453">
        <v>0</v>
      </c>
      <c r="T246" s="454">
        <f>S246*H246</f>
        <v>0</v>
      </c>
      <c r="AR246" s="455" t="s">
        <v>2207</v>
      </c>
      <c r="AT246" s="455" t="s">
        <v>218</v>
      </c>
      <c r="AU246" s="455" t="s">
        <v>109</v>
      </c>
      <c r="AY246" s="357" t="s">
        <v>217</v>
      </c>
      <c r="BE246" s="456">
        <f>IF(N246="základná",J246,0)</f>
        <v>0</v>
      </c>
      <c r="BF246" s="456">
        <f>IF(N246="znížená",J246,0)</f>
        <v>0</v>
      </c>
      <c r="BG246" s="456">
        <f>IF(N246="zákl. prenesená",J246,0)</f>
        <v>0</v>
      </c>
      <c r="BH246" s="456">
        <f>IF(N246="zníž. prenesená",J246,0)</f>
        <v>0</v>
      </c>
      <c r="BI246" s="456">
        <f>IF(N246="nulová",J246,0)</f>
        <v>0</v>
      </c>
      <c r="BJ246" s="357" t="s">
        <v>108</v>
      </c>
      <c r="BK246" s="456">
        <f>ROUND(I246*H246,2)</f>
        <v>0</v>
      </c>
      <c r="BL246" s="357" t="s">
        <v>2207</v>
      </c>
      <c r="BM246" s="455" t="s">
        <v>2700</v>
      </c>
    </row>
    <row r="247" spans="2:65" s="365" customFormat="1" ht="37.9" customHeight="1" x14ac:dyDescent="0.25">
      <c r="B247" s="364"/>
      <c r="C247" s="445" t="s">
        <v>1213</v>
      </c>
      <c r="D247" s="445" t="s">
        <v>218</v>
      </c>
      <c r="E247" s="446" t="s">
        <v>2453</v>
      </c>
      <c r="F247" s="447" t="s">
        <v>2454</v>
      </c>
      <c r="G247" s="448" t="s">
        <v>2010</v>
      </c>
      <c r="H247" s="449">
        <v>28</v>
      </c>
      <c r="I247" s="329">
        <v>0</v>
      </c>
      <c r="J247" s="450">
        <f>ROUND(I247*H247,2)</f>
        <v>0</v>
      </c>
      <c r="K247" s="451"/>
      <c r="L247" s="364"/>
      <c r="M247" s="468" t="s">
        <v>171</v>
      </c>
      <c r="N247" s="469" t="s">
        <v>185</v>
      </c>
      <c r="O247" s="470">
        <v>1.0900000000000001</v>
      </c>
      <c r="P247" s="470">
        <f>O247*H247</f>
        <v>30.520000000000003</v>
      </c>
      <c r="Q247" s="470">
        <v>0</v>
      </c>
      <c r="R247" s="470">
        <f>Q247*H247</f>
        <v>0</v>
      </c>
      <c r="S247" s="470">
        <v>0</v>
      </c>
      <c r="T247" s="471">
        <f>S247*H247</f>
        <v>0</v>
      </c>
      <c r="AR247" s="455" t="s">
        <v>2207</v>
      </c>
      <c r="AT247" s="455" t="s">
        <v>218</v>
      </c>
      <c r="AU247" s="455" t="s">
        <v>109</v>
      </c>
      <c r="AY247" s="357" t="s">
        <v>217</v>
      </c>
      <c r="BE247" s="456">
        <f>IF(N247="základná",J247,0)</f>
        <v>0</v>
      </c>
      <c r="BF247" s="456">
        <f>IF(N247="znížená",J247,0)</f>
        <v>0</v>
      </c>
      <c r="BG247" s="456">
        <f>IF(N247="zákl. prenesená",J247,0)</f>
        <v>0</v>
      </c>
      <c r="BH247" s="456">
        <f>IF(N247="zníž. prenesená",J247,0)</f>
        <v>0</v>
      </c>
      <c r="BI247" s="456">
        <f>IF(N247="nulová",J247,0)</f>
        <v>0</v>
      </c>
      <c r="BJ247" s="357" t="s">
        <v>108</v>
      </c>
      <c r="BK247" s="456">
        <f>ROUND(I247*H247,2)</f>
        <v>0</v>
      </c>
      <c r="BL247" s="357" t="s">
        <v>2207</v>
      </c>
      <c r="BM247" s="455" t="s">
        <v>2701</v>
      </c>
    </row>
    <row r="248" spans="2:65" s="365" customFormat="1" ht="6.95" customHeight="1" x14ac:dyDescent="0.25">
      <c r="B248" s="397"/>
      <c r="C248" s="398"/>
      <c r="D248" s="398"/>
      <c r="E248" s="398"/>
      <c r="F248" s="398"/>
      <c r="G248" s="398"/>
      <c r="H248" s="398"/>
      <c r="I248" s="398"/>
      <c r="J248" s="398"/>
      <c r="K248" s="398"/>
      <c r="L248" s="364"/>
    </row>
  </sheetData>
  <sheetProtection algorithmName="SHA-512" hashValue="/KvQShyBEf1bzT1ix8i/0izdbqIvuQsPMRD60PnHfggST09krAZJNCsfUQlNjmAmuqr0sXa65X12J/kc47HSMQ==" saltValue="A/mtYKoycEk0bSYBcTFbCg==" spinCount="100000" sheet="1" objects="1" scenarios="1"/>
  <autoFilter ref="C132:K247" xr:uid="{00000000-0009-0000-0000-000018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26060-ACE4-487C-8FEC-CDE193F6AAF9}">
  <sheetPr codeName="Hárok31">
    <pageSetUpPr fitToPage="1"/>
  </sheetPr>
  <dimension ref="B2:BM246"/>
  <sheetViews>
    <sheetView topLeftCell="A130" workbookViewId="0">
      <selection activeCell="I136" activeCellId="9" sqref="I243:I245 I229:I241 I191:I227 I183:I188 I175:I180 I166:I173 I162:I164 I151:I160 I144:I149 I136:I142"/>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407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16.5" customHeight="1" x14ac:dyDescent="0.25">
      <c r="B9" s="364"/>
      <c r="E9" s="857" t="s">
        <v>2702</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2154</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2155</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3193</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SUM(BE133:BE245)),  2)</f>
        <v>0</v>
      </c>
      <c r="G35" s="380"/>
      <c r="H35" s="380"/>
      <c r="I35" s="381">
        <v>0.23</v>
      </c>
      <c r="J35" s="379">
        <f>ROUND(((SUM(BE112:BE113) + SUM(BE133:BE245))*I35),  2)</f>
        <v>0</v>
      </c>
      <c r="L35" s="364"/>
    </row>
    <row r="36" spans="2:12" s="365" customFormat="1" ht="14.45" customHeight="1" x14ac:dyDescent="0.25">
      <c r="B36" s="364"/>
      <c r="E36" s="378" t="s">
        <v>185</v>
      </c>
      <c r="F36" s="382">
        <f>ROUND((SUM(BF112:BF113) + SUM(BF133:BF245)),  2)</f>
        <v>0</v>
      </c>
      <c r="I36" s="383">
        <v>0.23</v>
      </c>
      <c r="J36" s="382">
        <f>ROUND(((SUM(BF112:BF113) + SUM(BF133:BF245))*I36),  2)</f>
        <v>0</v>
      </c>
      <c r="L36" s="364"/>
    </row>
    <row r="37" spans="2:12" s="365" customFormat="1" ht="14.45" hidden="1" customHeight="1" x14ac:dyDescent="0.25">
      <c r="B37" s="364"/>
      <c r="E37" s="363" t="s">
        <v>186</v>
      </c>
      <c r="F37" s="382">
        <f>ROUND((SUM(BG112:BG113) + SUM(BG133:BG245)),  2)</f>
        <v>0</v>
      </c>
      <c r="I37" s="383">
        <v>0.23</v>
      </c>
      <c r="J37" s="382">
        <f>0</f>
        <v>0</v>
      </c>
      <c r="L37" s="364"/>
    </row>
    <row r="38" spans="2:12" s="365" customFormat="1" ht="14.45" hidden="1" customHeight="1" x14ac:dyDescent="0.25">
      <c r="B38" s="364"/>
      <c r="E38" s="363" t="s">
        <v>187</v>
      </c>
      <c r="F38" s="382">
        <f>ROUND((SUM(BH112:BH113) + SUM(BH133:BH245)),  2)</f>
        <v>0</v>
      </c>
      <c r="I38" s="383">
        <v>0.23</v>
      </c>
      <c r="J38" s="382">
        <f>0</f>
        <v>0</v>
      </c>
      <c r="L38" s="364"/>
    </row>
    <row r="39" spans="2:12" s="365" customFormat="1" ht="14.45" hidden="1" customHeight="1" x14ac:dyDescent="0.25">
      <c r="B39" s="364"/>
      <c r="E39" s="378" t="s">
        <v>188</v>
      </c>
      <c r="F39" s="379">
        <f>ROUND((SUM(BI112:BI113) + SUM(BI133:BI245)),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SO 200.D - Verejné osvetlenie, úsek D</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953</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1616</v>
      </c>
      <c r="E106" s="407"/>
      <c r="F106" s="407"/>
      <c r="G106" s="407"/>
      <c r="H106" s="407"/>
      <c r="I106" s="407"/>
      <c r="J106" s="408">
        <f>J189</f>
        <v>0</v>
      </c>
      <c r="L106" s="404"/>
    </row>
    <row r="107" spans="2:14" s="410" customFormat="1" ht="19.899999999999999" customHeight="1" x14ac:dyDescent="0.25">
      <c r="B107" s="409"/>
      <c r="D107" s="411" t="s">
        <v>2156</v>
      </c>
      <c r="E107" s="412"/>
      <c r="F107" s="412"/>
      <c r="G107" s="412"/>
      <c r="H107" s="412"/>
      <c r="I107" s="412"/>
      <c r="J107" s="413">
        <f>J190</f>
        <v>0</v>
      </c>
      <c r="L107" s="409"/>
    </row>
    <row r="108" spans="2:14" s="410" customFormat="1" ht="19.899999999999999" customHeight="1" x14ac:dyDescent="0.25">
      <c r="B108" s="409"/>
      <c r="D108" s="411" t="s">
        <v>1618</v>
      </c>
      <c r="E108" s="412"/>
      <c r="F108" s="412"/>
      <c r="G108" s="412"/>
      <c r="H108" s="412"/>
      <c r="I108" s="412"/>
      <c r="J108" s="413">
        <f>J228</f>
        <v>0</v>
      </c>
      <c r="L108" s="409"/>
    </row>
    <row r="109" spans="2:14" s="405" customFormat="1" ht="24.95" customHeight="1" x14ac:dyDescent="0.25">
      <c r="B109" s="404"/>
      <c r="D109" s="406" t="s">
        <v>2157</v>
      </c>
      <c r="E109" s="407"/>
      <c r="F109" s="407"/>
      <c r="G109" s="407"/>
      <c r="H109" s="407"/>
      <c r="I109" s="407"/>
      <c r="J109" s="408">
        <f>J242</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3066</v>
      </c>
      <c r="J112" s="414">
        <v>0</v>
      </c>
      <c r="L112" s="364"/>
      <c r="N112" s="415" t="s">
        <v>183</v>
      </c>
    </row>
    <row r="113" spans="2:12" s="365" customFormat="1" ht="18" customHeight="1" x14ac:dyDescent="0.25">
      <c r="B113" s="364"/>
      <c r="L113" s="364"/>
    </row>
    <row r="114" spans="2:12" s="365" customFormat="1" ht="29.25" customHeight="1" x14ac:dyDescent="0.25">
      <c r="B114" s="364"/>
      <c r="C114" s="416" t="s">
        <v>3063</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59" t="str">
        <f>E7</f>
        <v>Cyklotrasa - Devín_RP1</v>
      </c>
      <c r="F123" s="860"/>
      <c r="G123" s="860"/>
      <c r="H123" s="860"/>
      <c r="L123" s="364"/>
    </row>
    <row r="124" spans="2:12" s="365" customFormat="1" ht="12" customHeight="1" x14ac:dyDescent="0.25">
      <c r="B124" s="364"/>
      <c r="C124" s="363" t="s">
        <v>408</v>
      </c>
      <c r="L124" s="364"/>
    </row>
    <row r="125" spans="2:12" s="365" customFormat="1" ht="16.5" customHeight="1" x14ac:dyDescent="0.25">
      <c r="B125" s="364"/>
      <c r="E125" s="857" t="str">
        <f>E9</f>
        <v>SO 200.D - Verejné osvetlenie, úsek D</v>
      </c>
      <c r="F125" s="858"/>
      <c r="G125" s="858"/>
      <c r="H125" s="858"/>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P134+P181+P189+P242</f>
        <v>1215.67971625</v>
      </c>
      <c r="Q133" s="371"/>
      <c r="R133" s="430">
        <f>R134+R181+R189+R242</f>
        <v>49.134361019575998</v>
      </c>
      <c r="S133" s="371"/>
      <c r="T133" s="431">
        <f>T134+T181+T189+T242</f>
        <v>43.868600000000001</v>
      </c>
      <c r="AT133" s="357" t="s">
        <v>216</v>
      </c>
      <c r="AU133" s="357" t="s">
        <v>202</v>
      </c>
      <c r="BK133" s="432">
        <f>BK134+BK181+BK189+BK242</f>
        <v>0</v>
      </c>
    </row>
    <row r="134" spans="2:65" s="434" customFormat="1" ht="25.9" customHeight="1" x14ac:dyDescent="0.2">
      <c r="B134" s="433"/>
      <c r="D134" s="435" t="s">
        <v>216</v>
      </c>
      <c r="E134" s="436" t="s">
        <v>418</v>
      </c>
      <c r="F134" s="436" t="s">
        <v>419</v>
      </c>
      <c r="J134" s="437">
        <f>BK134</f>
        <v>0</v>
      </c>
      <c r="L134" s="433"/>
      <c r="M134" s="438"/>
      <c r="P134" s="439">
        <f>P135+P143+P150+P161+P165+P174</f>
        <v>196.77041378999999</v>
      </c>
      <c r="R134" s="439">
        <f>R135+R143+R150+R161+R165+R174</f>
        <v>17.145564759475999</v>
      </c>
      <c r="T134" s="440">
        <f>T135+T143+T150+T161+T165+T174</f>
        <v>43.868600000000001</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40.679718999999999</v>
      </c>
      <c r="R135" s="439">
        <f>SUM(R136:R142)</f>
        <v>0</v>
      </c>
      <c r="T135" s="440">
        <f>SUM(T136:T142)</f>
        <v>15.625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2158</v>
      </c>
      <c r="F136" s="447" t="s">
        <v>2159</v>
      </c>
      <c r="G136" s="448" t="s">
        <v>111</v>
      </c>
      <c r="H136" s="449">
        <v>12.5</v>
      </c>
      <c r="I136" s="329">
        <v>0</v>
      </c>
      <c r="J136" s="450">
        <f t="shared" ref="J136:J142" si="0">ROUND(I136*H136,2)</f>
        <v>0</v>
      </c>
      <c r="K136" s="451"/>
      <c r="L136" s="364"/>
      <c r="M136" s="452" t="s">
        <v>171</v>
      </c>
      <c r="N136" s="415" t="s">
        <v>185</v>
      </c>
      <c r="O136" s="453">
        <v>1.97</v>
      </c>
      <c r="P136" s="453">
        <f t="shared" ref="P136:P142" si="1">O136*H136</f>
        <v>24.625</v>
      </c>
      <c r="Q136" s="453">
        <v>0</v>
      </c>
      <c r="R136" s="453">
        <f t="shared" ref="R136:R142" si="2">Q136*H136</f>
        <v>0</v>
      </c>
      <c r="S136" s="453">
        <v>0.5</v>
      </c>
      <c r="T136" s="454">
        <f t="shared" ref="T136:T142" si="3">S136*H136</f>
        <v>6.25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2703</v>
      </c>
    </row>
    <row r="137" spans="2:65" s="365" customFormat="1" ht="24.2" customHeight="1" x14ac:dyDescent="0.25">
      <c r="B137" s="364"/>
      <c r="C137" s="445" t="s">
        <v>108</v>
      </c>
      <c r="D137" s="445" t="s">
        <v>218</v>
      </c>
      <c r="E137" s="446" t="s">
        <v>2161</v>
      </c>
      <c r="F137" s="447" t="s">
        <v>2162</v>
      </c>
      <c r="G137" s="448" t="s">
        <v>111</v>
      </c>
      <c r="H137" s="449">
        <v>12.5</v>
      </c>
      <c r="I137" s="329">
        <v>0</v>
      </c>
      <c r="J137" s="450">
        <f t="shared" si="0"/>
        <v>0</v>
      </c>
      <c r="K137" s="451"/>
      <c r="L137" s="364"/>
      <c r="M137" s="452" t="s">
        <v>171</v>
      </c>
      <c r="N137" s="415" t="s">
        <v>185</v>
      </c>
      <c r="O137" s="453">
        <v>0.35499999999999998</v>
      </c>
      <c r="P137" s="453">
        <f t="shared" si="1"/>
        <v>4.4375</v>
      </c>
      <c r="Q137" s="453">
        <v>0</v>
      </c>
      <c r="R137" s="453">
        <f t="shared" si="2"/>
        <v>0</v>
      </c>
      <c r="S137" s="453">
        <v>0.25</v>
      </c>
      <c r="T137" s="454">
        <f t="shared" si="3"/>
        <v>3.125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2704</v>
      </c>
    </row>
    <row r="138" spans="2:65" s="365" customFormat="1" ht="24.2" customHeight="1" x14ac:dyDescent="0.25">
      <c r="B138" s="364"/>
      <c r="C138" s="445" t="s">
        <v>119</v>
      </c>
      <c r="D138" s="445" t="s">
        <v>218</v>
      </c>
      <c r="E138" s="446" t="s">
        <v>2164</v>
      </c>
      <c r="F138" s="447" t="s">
        <v>2165</v>
      </c>
      <c r="G138" s="448" t="s">
        <v>111</v>
      </c>
      <c r="H138" s="449">
        <v>12.5</v>
      </c>
      <c r="I138" s="329">
        <v>0</v>
      </c>
      <c r="J138" s="450">
        <f t="shared" si="0"/>
        <v>0</v>
      </c>
      <c r="K138" s="451"/>
      <c r="L138" s="364"/>
      <c r="M138" s="452" t="s">
        <v>171</v>
      </c>
      <c r="N138" s="415" t="s">
        <v>185</v>
      </c>
      <c r="O138" s="453">
        <v>0.82699999999999996</v>
      </c>
      <c r="P138" s="453">
        <f t="shared" si="1"/>
        <v>10.337499999999999</v>
      </c>
      <c r="Q138" s="453">
        <v>0</v>
      </c>
      <c r="R138" s="453">
        <f t="shared" si="2"/>
        <v>0</v>
      </c>
      <c r="S138" s="453">
        <v>0.5</v>
      </c>
      <c r="T138" s="454">
        <f t="shared" si="3"/>
        <v>6.25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2705</v>
      </c>
    </row>
    <row r="139" spans="2:65" s="365" customFormat="1" ht="37.9" customHeight="1" x14ac:dyDescent="0.25">
      <c r="B139" s="364"/>
      <c r="C139" s="445" t="s">
        <v>945</v>
      </c>
      <c r="D139" s="445" t="s">
        <v>218</v>
      </c>
      <c r="E139" s="446" t="s">
        <v>712</v>
      </c>
      <c r="F139" s="447" t="s">
        <v>2706</v>
      </c>
      <c r="G139" s="448" t="s">
        <v>114</v>
      </c>
      <c r="H139" s="449">
        <v>7.77</v>
      </c>
      <c r="I139" s="329">
        <v>0</v>
      </c>
      <c r="J139" s="450">
        <f t="shared" si="0"/>
        <v>0</v>
      </c>
      <c r="K139" s="451"/>
      <c r="L139" s="364"/>
      <c r="M139" s="452" t="s">
        <v>171</v>
      </c>
      <c r="N139" s="415" t="s">
        <v>185</v>
      </c>
      <c r="O139" s="453">
        <v>4.8899999999999999E-2</v>
      </c>
      <c r="P139" s="453">
        <f t="shared" si="1"/>
        <v>0.37995299999999999</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2707</v>
      </c>
    </row>
    <row r="140" spans="2:65" s="365" customFormat="1" ht="44.25" customHeight="1" x14ac:dyDescent="0.25">
      <c r="B140" s="364"/>
      <c r="C140" s="445" t="s">
        <v>948</v>
      </c>
      <c r="D140" s="445" t="s">
        <v>218</v>
      </c>
      <c r="E140" s="446" t="s">
        <v>714</v>
      </c>
      <c r="F140" s="447" t="s">
        <v>2708</v>
      </c>
      <c r="G140" s="448" t="s">
        <v>114</v>
      </c>
      <c r="H140" s="449">
        <v>155.4</v>
      </c>
      <c r="I140" s="329">
        <v>0</v>
      </c>
      <c r="J140" s="450">
        <f t="shared" si="0"/>
        <v>0</v>
      </c>
      <c r="K140" s="451"/>
      <c r="L140" s="364"/>
      <c r="M140" s="452" t="s">
        <v>171</v>
      </c>
      <c r="N140" s="415" t="s">
        <v>185</v>
      </c>
      <c r="O140" s="453">
        <v>5.3899999999999998E-3</v>
      </c>
      <c r="P140" s="453">
        <f t="shared" si="1"/>
        <v>0.83760599999999996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2709</v>
      </c>
    </row>
    <row r="141" spans="2:65" s="365" customFormat="1" ht="21.75" customHeight="1" x14ac:dyDescent="0.25">
      <c r="B141" s="364"/>
      <c r="C141" s="445" t="s">
        <v>1199</v>
      </c>
      <c r="D141" s="445" t="s">
        <v>218</v>
      </c>
      <c r="E141" s="446" t="s">
        <v>717</v>
      </c>
      <c r="F141" s="447" t="s">
        <v>224</v>
      </c>
      <c r="G141" s="448" t="s">
        <v>114</v>
      </c>
      <c r="H141" s="449">
        <v>7.77</v>
      </c>
      <c r="I141" s="329">
        <v>0</v>
      </c>
      <c r="J141" s="450">
        <f t="shared" si="0"/>
        <v>0</v>
      </c>
      <c r="K141" s="451"/>
      <c r="L141" s="364"/>
      <c r="M141" s="452" t="s">
        <v>171</v>
      </c>
      <c r="N141" s="415" t="s">
        <v>185</v>
      </c>
      <c r="O141" s="453">
        <v>8.0000000000000002E-3</v>
      </c>
      <c r="P141" s="453">
        <f t="shared" si="1"/>
        <v>6.216E-2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2710</v>
      </c>
    </row>
    <row r="142" spans="2:65" s="365" customFormat="1" ht="21.75" customHeight="1" x14ac:dyDescent="0.25">
      <c r="B142" s="364"/>
      <c r="C142" s="481" t="s">
        <v>110</v>
      </c>
      <c r="D142" s="481" t="s">
        <v>218</v>
      </c>
      <c r="E142" s="479" t="s">
        <v>444</v>
      </c>
      <c r="F142" s="472" t="s">
        <v>3160</v>
      </c>
      <c r="G142" s="473" t="s">
        <v>112</v>
      </c>
      <c r="H142" s="474">
        <f>Ponuka!S135</f>
        <v>12.438000000000002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2711</v>
      </c>
    </row>
    <row r="143" spans="2:65" s="434" customFormat="1" ht="22.9" customHeight="1" x14ac:dyDescent="0.2">
      <c r="B143" s="433"/>
      <c r="D143" s="435" t="s">
        <v>216</v>
      </c>
      <c r="E143" s="443" t="s">
        <v>108</v>
      </c>
      <c r="F143" s="443" t="s">
        <v>469</v>
      </c>
      <c r="I143" s="467"/>
      <c r="J143" s="444">
        <f>BK143</f>
        <v>0</v>
      </c>
      <c r="L143" s="433"/>
      <c r="M143" s="438"/>
      <c r="P143" s="439">
        <f>SUM(P144:P149)</f>
        <v>20.496146790000001</v>
      </c>
      <c r="R143" s="439">
        <f>SUM(R144:R149)</f>
        <v>16.734276399475998</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118</v>
      </c>
      <c r="D144" s="445" t="s">
        <v>218</v>
      </c>
      <c r="E144" s="446" t="s">
        <v>2173</v>
      </c>
      <c r="F144" s="447" t="s">
        <v>2593</v>
      </c>
      <c r="G144" s="448" t="s">
        <v>114</v>
      </c>
      <c r="H144" s="449">
        <v>1.7849999999999999</v>
      </c>
      <c r="I144" s="329">
        <v>0</v>
      </c>
      <c r="J144" s="450">
        <f t="shared" ref="J144:J149" si="10">ROUND(I144*H144,2)</f>
        <v>0</v>
      </c>
      <c r="K144" s="451"/>
      <c r="L144" s="364"/>
      <c r="M144" s="452" t="s">
        <v>171</v>
      </c>
      <c r="N144" s="415" t="s">
        <v>185</v>
      </c>
      <c r="O144" s="453">
        <v>0.58055000000000001</v>
      </c>
      <c r="P144" s="453">
        <f t="shared" ref="P144:P149" si="11">O144*H144</f>
        <v>1.0362817499999999</v>
      </c>
      <c r="Q144" s="453">
        <v>2.204E-6</v>
      </c>
      <c r="R144" s="453">
        <f t="shared" ref="R144:R149" si="12">Q144*H144</f>
        <v>3.9341399999999996E-6</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2712</v>
      </c>
    </row>
    <row r="145" spans="2:65" s="365" customFormat="1" ht="24.2" customHeight="1" x14ac:dyDescent="0.25">
      <c r="B145" s="364"/>
      <c r="C145" s="457" t="s">
        <v>117</v>
      </c>
      <c r="D145" s="457" t="s">
        <v>259</v>
      </c>
      <c r="E145" s="458" t="s">
        <v>2176</v>
      </c>
      <c r="F145" s="459" t="s">
        <v>2177</v>
      </c>
      <c r="G145" s="460" t="s">
        <v>114</v>
      </c>
      <c r="H145" s="461">
        <v>1.7849999999999999</v>
      </c>
      <c r="I145" s="330">
        <v>0</v>
      </c>
      <c r="J145" s="462">
        <f t="shared" si="10"/>
        <v>0</v>
      </c>
      <c r="K145" s="463"/>
      <c r="L145" s="464"/>
      <c r="M145" s="465" t="s">
        <v>171</v>
      </c>
      <c r="N145" s="466" t="s">
        <v>185</v>
      </c>
      <c r="O145" s="453">
        <v>0</v>
      </c>
      <c r="P145" s="453">
        <f t="shared" si="11"/>
        <v>0</v>
      </c>
      <c r="Q145" s="453">
        <v>2.1723499999999998</v>
      </c>
      <c r="R145" s="453">
        <f t="shared" si="12"/>
        <v>3.8776447499999995</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2713</v>
      </c>
    </row>
    <row r="146" spans="2:65" s="365" customFormat="1" ht="16.5" customHeight="1" x14ac:dyDescent="0.25">
      <c r="B146" s="364"/>
      <c r="C146" s="445" t="s">
        <v>116</v>
      </c>
      <c r="D146" s="445" t="s">
        <v>218</v>
      </c>
      <c r="E146" s="446" t="s">
        <v>2179</v>
      </c>
      <c r="F146" s="447" t="s">
        <v>2180</v>
      </c>
      <c r="G146" s="448" t="s">
        <v>114</v>
      </c>
      <c r="H146" s="449">
        <v>2.7589999999999999</v>
      </c>
      <c r="I146" s="329">
        <v>0</v>
      </c>
      <c r="J146" s="450">
        <f t="shared" si="10"/>
        <v>0</v>
      </c>
      <c r="K146" s="451"/>
      <c r="L146" s="364"/>
      <c r="M146" s="452" t="s">
        <v>171</v>
      </c>
      <c r="N146" s="415" t="s">
        <v>185</v>
      </c>
      <c r="O146" s="453">
        <v>0.58055999999999996</v>
      </c>
      <c r="P146" s="453">
        <f t="shared" si="11"/>
        <v>1.6017650399999999</v>
      </c>
      <c r="Q146" s="453">
        <v>2.2375227039999999</v>
      </c>
      <c r="R146" s="453">
        <f t="shared" si="12"/>
        <v>6.173325140335999</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2714</v>
      </c>
    </row>
    <row r="147" spans="2:65" s="365" customFormat="1" ht="24.2" customHeight="1" x14ac:dyDescent="0.25">
      <c r="B147" s="364"/>
      <c r="C147" s="457" t="s">
        <v>115</v>
      </c>
      <c r="D147" s="457" t="s">
        <v>259</v>
      </c>
      <c r="E147" s="458" t="s">
        <v>2182</v>
      </c>
      <c r="F147" s="459" t="s">
        <v>2183</v>
      </c>
      <c r="G147" s="460" t="s">
        <v>114</v>
      </c>
      <c r="H147" s="461">
        <v>2.7589999999999999</v>
      </c>
      <c r="I147" s="330">
        <v>0</v>
      </c>
      <c r="J147" s="462">
        <f t="shared" si="10"/>
        <v>0</v>
      </c>
      <c r="K147" s="463"/>
      <c r="L147" s="464"/>
      <c r="M147" s="465" t="s">
        <v>171</v>
      </c>
      <c r="N147" s="466" t="s">
        <v>185</v>
      </c>
      <c r="O147" s="453">
        <v>0</v>
      </c>
      <c r="P147" s="453">
        <f t="shared" si="11"/>
        <v>0</v>
      </c>
      <c r="Q147" s="453">
        <v>2.1791999999999998</v>
      </c>
      <c r="R147" s="453">
        <f t="shared" si="12"/>
        <v>6.012412799999999</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2715</v>
      </c>
    </row>
    <row r="148" spans="2:65" s="365" customFormat="1" ht="21.75" customHeight="1" x14ac:dyDescent="0.25">
      <c r="B148" s="364"/>
      <c r="C148" s="445" t="s">
        <v>162</v>
      </c>
      <c r="D148" s="445" t="s">
        <v>218</v>
      </c>
      <c r="E148" s="446" t="s">
        <v>2185</v>
      </c>
      <c r="F148" s="447" t="s">
        <v>2186</v>
      </c>
      <c r="G148" s="448" t="s">
        <v>111</v>
      </c>
      <c r="H148" s="449">
        <v>12.05</v>
      </c>
      <c r="I148" s="329">
        <v>0</v>
      </c>
      <c r="J148" s="450">
        <f t="shared" si="10"/>
        <v>0</v>
      </c>
      <c r="K148" s="451"/>
      <c r="L148" s="364"/>
      <c r="M148" s="452" t="s">
        <v>171</v>
      </c>
      <c r="N148" s="415" t="s">
        <v>185</v>
      </c>
      <c r="O148" s="453">
        <v>1.052</v>
      </c>
      <c r="P148" s="453">
        <f t="shared" si="11"/>
        <v>12.676600000000001</v>
      </c>
      <c r="Q148" s="453">
        <v>5.5675500000000003E-2</v>
      </c>
      <c r="R148" s="453">
        <f t="shared" si="12"/>
        <v>0.67088977500000002</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2716</v>
      </c>
    </row>
    <row r="149" spans="2:65" s="365" customFormat="1" ht="24.2" customHeight="1" x14ac:dyDescent="0.25">
      <c r="B149" s="364"/>
      <c r="C149" s="445" t="s">
        <v>221</v>
      </c>
      <c r="D149" s="445" t="s">
        <v>218</v>
      </c>
      <c r="E149" s="446" t="s">
        <v>2188</v>
      </c>
      <c r="F149" s="447" t="s">
        <v>2189</v>
      </c>
      <c r="G149" s="448" t="s">
        <v>111</v>
      </c>
      <c r="H149" s="449">
        <v>12.05</v>
      </c>
      <c r="I149" s="329">
        <v>0</v>
      </c>
      <c r="J149" s="450">
        <f t="shared" si="10"/>
        <v>0</v>
      </c>
      <c r="K149" s="451"/>
      <c r="L149" s="364"/>
      <c r="M149" s="452" t="s">
        <v>171</v>
      </c>
      <c r="N149" s="415" t="s">
        <v>185</v>
      </c>
      <c r="O149" s="453">
        <v>0.43</v>
      </c>
      <c r="P149" s="453">
        <f t="shared" si="11"/>
        <v>5.1815000000000007</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2717</v>
      </c>
    </row>
    <row r="150" spans="2:65" s="434" customFormat="1" ht="22.9" customHeight="1" x14ac:dyDescent="0.2">
      <c r="B150" s="433"/>
      <c r="D150" s="435" t="s">
        <v>216</v>
      </c>
      <c r="E150" s="443" t="s">
        <v>119</v>
      </c>
      <c r="F150" s="443" t="s">
        <v>541</v>
      </c>
      <c r="I150" s="467"/>
      <c r="J150" s="444">
        <f>BK150</f>
        <v>0</v>
      </c>
      <c r="L150" s="433"/>
      <c r="M150" s="438"/>
      <c r="P150" s="439">
        <f>SUM(P151:P160)</f>
        <v>23.959</v>
      </c>
      <c r="R150" s="439">
        <f>SUM(R151:R160)</f>
        <v>0.18600000000000042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222</v>
      </c>
      <c r="D151" s="445" t="s">
        <v>218</v>
      </c>
      <c r="E151" s="446" t="s">
        <v>2197</v>
      </c>
      <c r="F151" s="447" t="s">
        <v>2198</v>
      </c>
      <c r="G151" s="448" t="s">
        <v>2199</v>
      </c>
      <c r="H151" s="449">
        <v>6</v>
      </c>
      <c r="I151" s="329">
        <v>0</v>
      </c>
      <c r="J151" s="450">
        <f t="shared" ref="J151:J160" si="20">ROUND(I151*H151,2)</f>
        <v>0</v>
      </c>
      <c r="K151" s="451"/>
      <c r="L151" s="364"/>
      <c r="M151" s="452" t="s">
        <v>171</v>
      </c>
      <c r="N151" s="415" t="s">
        <v>185</v>
      </c>
      <c r="O151" s="453">
        <v>4.8000000000000001E-2</v>
      </c>
      <c r="P151" s="453">
        <f t="shared" ref="P151:P160" si="21">O151*H151</f>
        <v>0.28800000000000003</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2718</v>
      </c>
    </row>
    <row r="152" spans="2:65" s="365" customFormat="1" ht="16.5" customHeight="1" x14ac:dyDescent="0.25">
      <c r="B152" s="364"/>
      <c r="C152" s="445" t="s">
        <v>223</v>
      </c>
      <c r="D152" s="445" t="s">
        <v>218</v>
      </c>
      <c r="E152" s="446" t="s">
        <v>2201</v>
      </c>
      <c r="F152" s="447" t="s">
        <v>2202</v>
      </c>
      <c r="G152" s="448" t="s">
        <v>2199</v>
      </c>
      <c r="H152" s="449">
        <v>6</v>
      </c>
      <c r="I152" s="329">
        <v>0</v>
      </c>
      <c r="J152" s="450">
        <f t="shared" si="20"/>
        <v>0</v>
      </c>
      <c r="K152" s="451"/>
      <c r="L152" s="364"/>
      <c r="M152" s="452" t="s">
        <v>171</v>
      </c>
      <c r="N152" s="415" t="s">
        <v>185</v>
      </c>
      <c r="O152" s="453">
        <v>4.8000000000000001E-2</v>
      </c>
      <c r="P152" s="453">
        <f t="shared" si="21"/>
        <v>0.28800000000000003</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2719</v>
      </c>
    </row>
    <row r="153" spans="2:65" s="365" customFormat="1" ht="24.2" customHeight="1" x14ac:dyDescent="0.25">
      <c r="B153" s="364"/>
      <c r="C153" s="445" t="s">
        <v>225</v>
      </c>
      <c r="D153" s="445" t="s">
        <v>218</v>
      </c>
      <c r="E153" s="446" t="s">
        <v>2191</v>
      </c>
      <c r="F153" s="447" t="s">
        <v>2192</v>
      </c>
      <c r="G153" s="448" t="s">
        <v>113</v>
      </c>
      <c r="H153" s="449">
        <v>465</v>
      </c>
      <c r="I153" s="329">
        <v>0</v>
      </c>
      <c r="J153" s="450">
        <f t="shared" si="20"/>
        <v>0</v>
      </c>
      <c r="K153" s="451"/>
      <c r="L153" s="364"/>
      <c r="M153" s="452" t="s">
        <v>171</v>
      </c>
      <c r="N153" s="415" t="s">
        <v>185</v>
      </c>
      <c r="O153" s="453">
        <v>3.6999999999999998E-2</v>
      </c>
      <c r="P153" s="453">
        <f t="shared" si="21"/>
        <v>17.204999999999998</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2720</v>
      </c>
    </row>
    <row r="154" spans="2:65" s="365" customFormat="1" ht="24.2" customHeight="1" x14ac:dyDescent="0.25">
      <c r="B154" s="364"/>
      <c r="C154" s="457" t="s">
        <v>226</v>
      </c>
      <c r="D154" s="457" t="s">
        <v>259</v>
      </c>
      <c r="E154" s="458" t="s">
        <v>2194</v>
      </c>
      <c r="F154" s="459" t="s">
        <v>2195</v>
      </c>
      <c r="G154" s="460" t="s">
        <v>113</v>
      </c>
      <c r="H154" s="461">
        <v>465.00000000000102</v>
      </c>
      <c r="I154" s="330">
        <v>0</v>
      </c>
      <c r="J154" s="462">
        <f t="shared" si="20"/>
        <v>0</v>
      </c>
      <c r="K154" s="463"/>
      <c r="L154" s="464"/>
      <c r="M154" s="465" t="s">
        <v>171</v>
      </c>
      <c r="N154" s="466" t="s">
        <v>185</v>
      </c>
      <c r="O154" s="453">
        <v>0</v>
      </c>
      <c r="P154" s="453">
        <f t="shared" si="21"/>
        <v>0</v>
      </c>
      <c r="Q154" s="453">
        <v>4.0000000000000002E-4</v>
      </c>
      <c r="R154" s="453">
        <f t="shared" si="22"/>
        <v>0.18600000000000042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2721</v>
      </c>
    </row>
    <row r="155" spans="2:65" s="365" customFormat="1" ht="16.5" customHeight="1" x14ac:dyDescent="0.25">
      <c r="B155" s="364"/>
      <c r="C155" s="445" t="s">
        <v>227</v>
      </c>
      <c r="D155" s="445" t="s">
        <v>218</v>
      </c>
      <c r="E155" s="446" t="s">
        <v>1654</v>
      </c>
      <c r="F155" s="447" t="s">
        <v>2209</v>
      </c>
      <c r="G155" s="448" t="s">
        <v>123</v>
      </c>
      <c r="H155" s="449">
        <v>3</v>
      </c>
      <c r="I155" s="329">
        <v>0</v>
      </c>
      <c r="J155" s="450">
        <f t="shared" si="20"/>
        <v>0</v>
      </c>
      <c r="K155" s="451"/>
      <c r="L155" s="364"/>
      <c r="M155" s="452" t="s">
        <v>171</v>
      </c>
      <c r="N155" s="415" t="s">
        <v>185</v>
      </c>
      <c r="O155" s="453">
        <v>1.4770000000000001</v>
      </c>
      <c r="P155" s="453">
        <f t="shared" si="21"/>
        <v>4.431</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2722</v>
      </c>
    </row>
    <row r="156" spans="2:65" s="365" customFormat="1" ht="24.2" customHeight="1" x14ac:dyDescent="0.25">
      <c r="B156" s="364"/>
      <c r="C156" s="445" t="s">
        <v>228</v>
      </c>
      <c r="D156" s="445" t="s">
        <v>218</v>
      </c>
      <c r="E156" s="446" t="s">
        <v>2211</v>
      </c>
      <c r="F156" s="447" t="s">
        <v>2212</v>
      </c>
      <c r="G156" s="448" t="s">
        <v>123</v>
      </c>
      <c r="H156" s="449">
        <v>3</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2207</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2207</v>
      </c>
      <c r="BM156" s="455" t="s">
        <v>2723</v>
      </c>
    </row>
    <row r="157" spans="2:65" s="365" customFormat="1" ht="21.75" customHeight="1" x14ac:dyDescent="0.25">
      <c r="B157" s="364"/>
      <c r="C157" s="445" t="s">
        <v>229</v>
      </c>
      <c r="D157" s="445" t="s">
        <v>218</v>
      </c>
      <c r="E157" s="446" t="s">
        <v>2214</v>
      </c>
      <c r="F157" s="447" t="s">
        <v>2215</v>
      </c>
      <c r="G157" s="448" t="s">
        <v>123</v>
      </c>
      <c r="H157" s="449">
        <v>4</v>
      </c>
      <c r="I157" s="329">
        <v>0</v>
      </c>
      <c r="J157" s="450">
        <f t="shared" si="20"/>
        <v>0</v>
      </c>
      <c r="K157" s="451"/>
      <c r="L157" s="364"/>
      <c r="M157" s="452" t="s">
        <v>171</v>
      </c>
      <c r="N157" s="415" t="s">
        <v>185</v>
      </c>
      <c r="O157" s="453">
        <v>0.14799999999999999</v>
      </c>
      <c r="P157" s="453">
        <f t="shared" si="21"/>
        <v>0.59199999999999997</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2724</v>
      </c>
    </row>
    <row r="158" spans="2:65" s="365" customFormat="1" ht="16.5" customHeight="1" x14ac:dyDescent="0.25">
      <c r="B158" s="364"/>
      <c r="C158" s="445" t="s">
        <v>231</v>
      </c>
      <c r="D158" s="445" t="s">
        <v>218</v>
      </c>
      <c r="E158" s="446" t="s">
        <v>2217</v>
      </c>
      <c r="F158" s="447" t="s">
        <v>2218</v>
      </c>
      <c r="G158" s="448" t="s">
        <v>123</v>
      </c>
      <c r="H158" s="449">
        <v>4</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2207</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2207</v>
      </c>
      <c r="BM158" s="455" t="s">
        <v>2725</v>
      </c>
    </row>
    <row r="159" spans="2:65" s="365" customFormat="1" ht="16.5" customHeight="1" x14ac:dyDescent="0.25">
      <c r="B159" s="364"/>
      <c r="C159" s="445" t="s">
        <v>232</v>
      </c>
      <c r="D159" s="445" t="s">
        <v>218</v>
      </c>
      <c r="E159" s="446" t="s">
        <v>1648</v>
      </c>
      <c r="F159" s="447" t="s">
        <v>1649</v>
      </c>
      <c r="G159" s="448" t="s">
        <v>123</v>
      </c>
      <c r="H159" s="449">
        <v>21</v>
      </c>
      <c r="I159" s="329">
        <v>0</v>
      </c>
      <c r="J159" s="450">
        <f t="shared" si="20"/>
        <v>0</v>
      </c>
      <c r="K159" s="451"/>
      <c r="L159" s="364"/>
      <c r="M159" s="452" t="s">
        <v>171</v>
      </c>
      <c r="N159" s="415" t="s">
        <v>185</v>
      </c>
      <c r="O159" s="453">
        <v>5.5E-2</v>
      </c>
      <c r="P159" s="453">
        <f t="shared" si="21"/>
        <v>1.155</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2726</v>
      </c>
    </row>
    <row r="160" spans="2:65" s="365" customFormat="1" ht="16.5" customHeight="1" x14ac:dyDescent="0.25">
      <c r="B160" s="364"/>
      <c r="C160" s="445" t="s">
        <v>234</v>
      </c>
      <c r="D160" s="445" t="s">
        <v>218</v>
      </c>
      <c r="E160" s="446" t="s">
        <v>2205</v>
      </c>
      <c r="F160" s="447" t="s">
        <v>2206</v>
      </c>
      <c r="G160" s="448" t="s">
        <v>123</v>
      </c>
      <c r="H160" s="449">
        <v>21</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2207</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2207</v>
      </c>
      <c r="BM160" s="455" t="s">
        <v>2727</v>
      </c>
    </row>
    <row r="161" spans="2:65" s="434" customFormat="1" ht="22.9" customHeight="1" x14ac:dyDescent="0.2">
      <c r="B161" s="433"/>
      <c r="D161" s="435" t="s">
        <v>216</v>
      </c>
      <c r="E161" s="443" t="s">
        <v>115</v>
      </c>
      <c r="F161" s="443" t="s">
        <v>1023</v>
      </c>
      <c r="I161" s="467"/>
      <c r="J161" s="444">
        <f>BK161</f>
        <v>0</v>
      </c>
      <c r="L161" s="433"/>
      <c r="M161" s="438"/>
      <c r="P161" s="439">
        <f>SUM(P162:P164)</f>
        <v>11.834999999999999</v>
      </c>
      <c r="R161" s="439">
        <f>SUM(R162:R164)</f>
        <v>0.22499999999999998</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235</v>
      </c>
      <c r="D162" s="445" t="s">
        <v>218</v>
      </c>
      <c r="E162" s="446" t="s">
        <v>2220</v>
      </c>
      <c r="F162" s="447" t="s">
        <v>2221</v>
      </c>
      <c r="G162" s="448" t="s">
        <v>123</v>
      </c>
      <c r="H162" s="449">
        <v>3</v>
      </c>
      <c r="I162" s="329">
        <v>0</v>
      </c>
      <c r="J162" s="450">
        <f>ROUND(I162*H162,2)</f>
        <v>0</v>
      </c>
      <c r="K162" s="451"/>
      <c r="L162" s="364"/>
      <c r="M162" s="452" t="s">
        <v>171</v>
      </c>
      <c r="N162" s="415" t="s">
        <v>185</v>
      </c>
      <c r="O162" s="453">
        <v>3.9449999999999998</v>
      </c>
      <c r="P162" s="453">
        <f>O162*H162</f>
        <v>11.834999999999999</v>
      </c>
      <c r="Q162" s="453">
        <v>7.4999999999999997E-2</v>
      </c>
      <c r="R162" s="453">
        <f>Q162*H162</f>
        <v>0.22499999999999998</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2728</v>
      </c>
    </row>
    <row r="163" spans="2:65" s="365" customFormat="1" ht="16.5" customHeight="1" x14ac:dyDescent="0.25">
      <c r="B163" s="364"/>
      <c r="C163" s="445" t="s">
        <v>236</v>
      </c>
      <c r="D163" s="445" t="s">
        <v>218</v>
      </c>
      <c r="E163" s="446" t="s">
        <v>2223</v>
      </c>
      <c r="F163" s="447" t="s">
        <v>2224</v>
      </c>
      <c r="G163" s="448" t="s">
        <v>123</v>
      </c>
      <c r="H163" s="449">
        <v>3</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2729</v>
      </c>
    </row>
    <row r="164" spans="2:65" s="365" customFormat="1" ht="24.2" customHeight="1" x14ac:dyDescent="0.25">
      <c r="B164" s="364"/>
      <c r="C164" s="445" t="s">
        <v>237</v>
      </c>
      <c r="D164" s="445" t="s">
        <v>218</v>
      </c>
      <c r="E164" s="446" t="s">
        <v>2226</v>
      </c>
      <c r="F164" s="447" t="s">
        <v>2227</v>
      </c>
      <c r="G164" s="448" t="s">
        <v>123</v>
      </c>
      <c r="H164" s="449">
        <v>3</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2730</v>
      </c>
    </row>
    <row r="165" spans="2:65" s="434" customFormat="1" ht="22.9" customHeight="1" x14ac:dyDescent="0.2">
      <c r="B165" s="433"/>
      <c r="D165" s="435" t="s">
        <v>216</v>
      </c>
      <c r="E165" s="443" t="s">
        <v>162</v>
      </c>
      <c r="F165" s="443" t="s">
        <v>633</v>
      </c>
      <c r="I165" s="467"/>
      <c r="J165" s="444">
        <f>BK165</f>
        <v>0</v>
      </c>
      <c r="L165" s="433"/>
      <c r="M165" s="438"/>
      <c r="P165" s="439">
        <f>SUM(P166:P173)</f>
        <v>94.789276000000001</v>
      </c>
      <c r="R165" s="439">
        <f>SUM(R166:R173)</f>
        <v>2.8835999999999998E-4</v>
      </c>
      <c r="T165" s="440">
        <f>SUM(T166:T173)</f>
        <v>28.243600000000001</v>
      </c>
      <c r="AR165" s="435" t="s">
        <v>109</v>
      </c>
      <c r="AT165" s="441" t="s">
        <v>216</v>
      </c>
      <c r="AU165" s="441" t="s">
        <v>109</v>
      </c>
      <c r="AY165" s="435" t="s">
        <v>217</v>
      </c>
      <c r="BK165" s="442">
        <f>SUM(BK166:BK173)</f>
        <v>0</v>
      </c>
    </row>
    <row r="166" spans="2:65" s="365" customFormat="1" ht="24.2" customHeight="1" x14ac:dyDescent="0.25">
      <c r="B166" s="364"/>
      <c r="C166" s="445" t="s">
        <v>238</v>
      </c>
      <c r="D166" s="445" t="s">
        <v>218</v>
      </c>
      <c r="E166" s="446" t="s">
        <v>2229</v>
      </c>
      <c r="F166" s="447" t="s">
        <v>2230</v>
      </c>
      <c r="G166" s="448" t="s">
        <v>113</v>
      </c>
      <c r="H166" s="449">
        <v>18</v>
      </c>
      <c r="I166" s="329">
        <v>0</v>
      </c>
      <c r="J166" s="450">
        <f t="shared" ref="J166:J173" si="30">ROUND(I166*H166,2)</f>
        <v>0</v>
      </c>
      <c r="K166" s="451"/>
      <c r="L166" s="364"/>
      <c r="M166" s="452" t="s">
        <v>171</v>
      </c>
      <c r="N166" s="415" t="s">
        <v>185</v>
      </c>
      <c r="O166" s="453">
        <v>0.314</v>
      </c>
      <c r="P166" s="453">
        <f t="shared" ref="P166:P173" si="31">O166*H166</f>
        <v>5.6520000000000001</v>
      </c>
      <c r="Q166" s="453">
        <v>8.9999999999999996E-7</v>
      </c>
      <c r="R166" s="453">
        <f t="shared" ref="R166:R173" si="32">Q166*H166</f>
        <v>1.6200000000000001E-5</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2731</v>
      </c>
    </row>
    <row r="167" spans="2:65" s="365" customFormat="1" ht="24.2" customHeight="1" x14ac:dyDescent="0.25">
      <c r="B167" s="364"/>
      <c r="C167" s="445" t="s">
        <v>239</v>
      </c>
      <c r="D167" s="445" t="s">
        <v>218</v>
      </c>
      <c r="E167" s="446" t="s">
        <v>2232</v>
      </c>
      <c r="F167" s="447" t="s">
        <v>2233</v>
      </c>
      <c r="G167" s="448" t="s">
        <v>113</v>
      </c>
      <c r="H167" s="449">
        <v>18</v>
      </c>
      <c r="I167" s="329">
        <v>0</v>
      </c>
      <c r="J167" s="450">
        <f t="shared" si="30"/>
        <v>0</v>
      </c>
      <c r="K167" s="451"/>
      <c r="L167" s="364"/>
      <c r="M167" s="452" t="s">
        <v>171</v>
      </c>
      <c r="N167" s="415" t="s">
        <v>185</v>
      </c>
      <c r="O167" s="453">
        <v>0.85702</v>
      </c>
      <c r="P167" s="453">
        <f t="shared" si="31"/>
        <v>15.426360000000001</v>
      </c>
      <c r="Q167" s="453">
        <v>1.5119999999999999E-5</v>
      </c>
      <c r="R167" s="453">
        <f t="shared" si="32"/>
        <v>2.7215999999999997E-4</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2732</v>
      </c>
    </row>
    <row r="168" spans="2:65" s="365" customFormat="1" ht="37.9" customHeight="1" x14ac:dyDescent="0.25">
      <c r="B168" s="364"/>
      <c r="C168" s="445" t="s">
        <v>240</v>
      </c>
      <c r="D168" s="445" t="s">
        <v>218</v>
      </c>
      <c r="E168" s="446" t="s">
        <v>1488</v>
      </c>
      <c r="F168" s="447" t="s">
        <v>1489</v>
      </c>
      <c r="G168" s="448" t="s">
        <v>114</v>
      </c>
      <c r="H168" s="449">
        <v>12.837999999999999</v>
      </c>
      <c r="I168" s="329">
        <v>0</v>
      </c>
      <c r="J168" s="450">
        <f t="shared" si="30"/>
        <v>0</v>
      </c>
      <c r="K168" s="451"/>
      <c r="L168" s="364"/>
      <c r="M168" s="452" t="s">
        <v>171</v>
      </c>
      <c r="N168" s="415" t="s">
        <v>185</v>
      </c>
      <c r="O168" s="453">
        <v>5.1219999999999999</v>
      </c>
      <c r="P168" s="453">
        <f t="shared" si="31"/>
        <v>65.756236000000001</v>
      </c>
      <c r="Q168" s="453">
        <v>0</v>
      </c>
      <c r="R168" s="453">
        <f t="shared" si="32"/>
        <v>0</v>
      </c>
      <c r="S168" s="453">
        <v>2.2000000000000002</v>
      </c>
      <c r="T168" s="454">
        <f t="shared" si="33"/>
        <v>28.243600000000001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2733</v>
      </c>
    </row>
    <row r="169" spans="2:65" s="365" customFormat="1" ht="24.2" customHeight="1" x14ac:dyDescent="0.25">
      <c r="B169" s="364"/>
      <c r="C169" s="445" t="s">
        <v>1202</v>
      </c>
      <c r="D169" s="445" t="s">
        <v>218</v>
      </c>
      <c r="E169" s="446" t="s">
        <v>652</v>
      </c>
      <c r="F169" s="447" t="s">
        <v>2734</v>
      </c>
      <c r="G169" s="448" t="s">
        <v>112</v>
      </c>
      <c r="H169" s="449">
        <f>H173</f>
        <v>13.170000000000002</v>
      </c>
      <c r="I169" s="329">
        <v>0</v>
      </c>
      <c r="J169" s="450">
        <f t="shared" si="30"/>
        <v>0</v>
      </c>
      <c r="K169" s="451"/>
      <c r="L169" s="364"/>
      <c r="M169" s="452" t="s">
        <v>171</v>
      </c>
      <c r="N169" s="415" t="s">
        <v>185</v>
      </c>
      <c r="O169" s="453">
        <v>0.59799999999999998</v>
      </c>
      <c r="P169" s="453">
        <f t="shared" si="31"/>
        <v>7.8756600000000008</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2735</v>
      </c>
    </row>
    <row r="170" spans="2:65" s="365" customFormat="1" ht="62.65" customHeight="1" x14ac:dyDescent="0.25">
      <c r="B170" s="364"/>
      <c r="C170" s="445" t="s">
        <v>1203</v>
      </c>
      <c r="D170" s="445" t="s">
        <v>218</v>
      </c>
      <c r="E170" s="446" t="s">
        <v>635</v>
      </c>
      <c r="F170" s="447" t="s">
        <v>3161</v>
      </c>
      <c r="G170" s="448" t="s">
        <v>112</v>
      </c>
      <c r="H170" s="449">
        <f>Ponuka!L135</f>
        <v>24.15</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2736</v>
      </c>
    </row>
    <row r="171" spans="2:65" s="365" customFormat="1" ht="62.65" customHeight="1" x14ac:dyDescent="0.25">
      <c r="B171" s="364"/>
      <c r="C171" s="445" t="s">
        <v>1206</v>
      </c>
      <c r="D171" s="445" t="s">
        <v>218</v>
      </c>
      <c r="E171" s="446" t="s">
        <v>926</v>
      </c>
      <c r="F171" s="447" t="s">
        <v>3162</v>
      </c>
      <c r="G171" s="448" t="s">
        <v>112</v>
      </c>
      <c r="H171" s="449">
        <f>Ponuka!N135</f>
        <v>6.58</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2737</v>
      </c>
    </row>
    <row r="172" spans="2:65" s="365" customFormat="1" ht="62.65" customHeight="1" x14ac:dyDescent="0.25">
      <c r="B172" s="364"/>
      <c r="C172" s="445" t="s">
        <v>1208</v>
      </c>
      <c r="D172" s="445" t="s">
        <v>218</v>
      </c>
      <c r="E172" s="446" t="s">
        <v>638</v>
      </c>
      <c r="F172" s="447" t="s">
        <v>3163</v>
      </c>
      <c r="G172" s="448" t="s">
        <v>112</v>
      </c>
      <c r="H172" s="449">
        <f>Ponuka!R135</f>
        <v>29.021999999999998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2738</v>
      </c>
    </row>
    <row r="173" spans="2:65" s="365" customFormat="1" ht="24.2" customHeight="1" x14ac:dyDescent="0.25">
      <c r="B173" s="364"/>
      <c r="C173" s="445" t="s">
        <v>649</v>
      </c>
      <c r="D173" s="445" t="s">
        <v>218</v>
      </c>
      <c r="E173" s="446" t="s">
        <v>641</v>
      </c>
      <c r="F173" s="447" t="s">
        <v>642</v>
      </c>
      <c r="G173" s="448" t="s">
        <v>112</v>
      </c>
      <c r="H173" s="449">
        <f>H176+H177</f>
        <v>13.170000000000002</v>
      </c>
      <c r="I173" s="329">
        <v>0</v>
      </c>
      <c r="J173" s="450">
        <f t="shared" si="30"/>
        <v>0</v>
      </c>
      <c r="K173" s="451"/>
      <c r="L173" s="364"/>
      <c r="M173" s="452" t="s">
        <v>171</v>
      </c>
      <c r="N173" s="415" t="s">
        <v>185</v>
      </c>
      <c r="O173" s="453">
        <v>6.0000000000000001E-3</v>
      </c>
      <c r="P173" s="453">
        <f t="shared" si="31"/>
        <v>7.9020000000000007E-2</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2739</v>
      </c>
    </row>
    <row r="174" spans="2:65" s="434" customFormat="1" ht="22.9" customHeight="1" x14ac:dyDescent="0.2">
      <c r="B174" s="433"/>
      <c r="D174" s="435" t="s">
        <v>216</v>
      </c>
      <c r="E174" s="443" t="s">
        <v>649</v>
      </c>
      <c r="F174" s="443" t="s">
        <v>650</v>
      </c>
      <c r="I174" s="467"/>
      <c r="J174" s="444">
        <f>BK174</f>
        <v>0</v>
      </c>
      <c r="L174" s="433"/>
      <c r="M174" s="438"/>
      <c r="P174" s="439">
        <f>SUM(P175:P180)</f>
        <v>5.0112719999999999</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1211</v>
      </c>
      <c r="D175" s="445" t="s">
        <v>218</v>
      </c>
      <c r="E175" s="446" t="s">
        <v>942</v>
      </c>
      <c r="F175" s="447" t="s">
        <v>2740</v>
      </c>
      <c r="G175" s="448" t="s">
        <v>112</v>
      </c>
      <c r="H175" s="449">
        <f>H173*22</f>
        <v>289.74</v>
      </c>
      <c r="I175" s="329">
        <v>0</v>
      </c>
      <c r="J175" s="450">
        <f t="shared" ref="J175:J180" si="40">ROUND(I175*H175,2)</f>
        <v>0</v>
      </c>
      <c r="K175" s="451"/>
      <c r="L175" s="364"/>
      <c r="M175" s="452" t="s">
        <v>171</v>
      </c>
      <c r="N175" s="415" t="s">
        <v>185</v>
      </c>
      <c r="O175" s="453">
        <v>7.0000000000000001E-3</v>
      </c>
      <c r="P175" s="453">
        <f t="shared" ref="P175:P180" si="41">O175*H175</f>
        <v>2.0281800000000003</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2741</v>
      </c>
    </row>
    <row r="176" spans="2:65" s="365" customFormat="1" ht="24.2" customHeight="1" x14ac:dyDescent="0.25">
      <c r="B176" s="364"/>
      <c r="C176" s="445" t="s">
        <v>1213</v>
      </c>
      <c r="D176" s="445" t="s">
        <v>218</v>
      </c>
      <c r="E176" s="446" t="s">
        <v>946</v>
      </c>
      <c r="F176" s="447" t="s">
        <v>3164</v>
      </c>
      <c r="G176" s="448" t="s">
        <v>112</v>
      </c>
      <c r="H176" s="449">
        <f>Ponuka!M135</f>
        <v>10.350000000000001</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2742</v>
      </c>
    </row>
    <row r="177" spans="2:65" s="365" customFormat="1" ht="24.2" customHeight="1" x14ac:dyDescent="0.25">
      <c r="B177" s="364"/>
      <c r="C177" s="445" t="s">
        <v>1215</v>
      </c>
      <c r="D177" s="445" t="s">
        <v>218</v>
      </c>
      <c r="E177" s="446" t="s">
        <v>949</v>
      </c>
      <c r="F177" s="447" t="s">
        <v>2743</v>
      </c>
      <c r="G177" s="448" t="s">
        <v>112</v>
      </c>
      <c r="H177" s="449">
        <f>Ponuka!O135</f>
        <v>2.8200000000000003</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2744</v>
      </c>
    </row>
    <row r="178" spans="2:65" s="365" customFormat="1" ht="24.2" customHeight="1" x14ac:dyDescent="0.25">
      <c r="B178" s="364"/>
      <c r="C178" s="445" t="s">
        <v>243</v>
      </c>
      <c r="D178" s="445" t="s">
        <v>218</v>
      </c>
      <c r="E178" s="446" t="s">
        <v>2247</v>
      </c>
      <c r="F178" s="447" t="s">
        <v>2248</v>
      </c>
      <c r="G178" s="448" t="s">
        <v>112</v>
      </c>
      <c r="H178" s="449">
        <v>43.869</v>
      </c>
      <c r="I178" s="329">
        <v>0</v>
      </c>
      <c r="J178" s="450">
        <f t="shared" si="40"/>
        <v>0</v>
      </c>
      <c r="K178" s="451"/>
      <c r="L178" s="364"/>
      <c r="M178" s="452" t="s">
        <v>171</v>
      </c>
      <c r="N178" s="415" t="s">
        <v>185</v>
      </c>
      <c r="O178" s="453">
        <v>0.03</v>
      </c>
      <c r="P178" s="453">
        <f t="shared" si="41"/>
        <v>1.3160699999999999</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2745</v>
      </c>
    </row>
    <row r="179" spans="2:65" s="365" customFormat="1" ht="49.15" customHeight="1" x14ac:dyDescent="0.25">
      <c r="B179" s="364"/>
      <c r="C179" s="445" t="s">
        <v>244</v>
      </c>
      <c r="D179" s="445" t="s">
        <v>218</v>
      </c>
      <c r="E179" s="446" t="s">
        <v>2250</v>
      </c>
      <c r="F179" s="447" t="s">
        <v>2251</v>
      </c>
      <c r="G179" s="448" t="s">
        <v>112</v>
      </c>
      <c r="H179" s="449">
        <v>43.869</v>
      </c>
      <c r="I179" s="329">
        <v>0</v>
      </c>
      <c r="J179" s="450">
        <f t="shared" si="40"/>
        <v>0</v>
      </c>
      <c r="K179" s="451"/>
      <c r="L179" s="364"/>
      <c r="M179" s="452" t="s">
        <v>171</v>
      </c>
      <c r="N179" s="415" t="s">
        <v>185</v>
      </c>
      <c r="O179" s="453">
        <v>1.4E-2</v>
      </c>
      <c r="P179" s="453">
        <f t="shared" si="41"/>
        <v>0.61416599999999999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2746</v>
      </c>
    </row>
    <row r="180" spans="2:65" s="365" customFormat="1" ht="37.9" customHeight="1" x14ac:dyDescent="0.25">
      <c r="B180" s="364"/>
      <c r="C180" s="445" t="s">
        <v>245</v>
      </c>
      <c r="D180" s="445" t="s">
        <v>218</v>
      </c>
      <c r="E180" s="446" t="s">
        <v>2253</v>
      </c>
      <c r="F180" s="447" t="s">
        <v>2254</v>
      </c>
      <c r="G180" s="448" t="s">
        <v>112</v>
      </c>
      <c r="H180" s="449">
        <v>175.476</v>
      </c>
      <c r="I180" s="329">
        <v>0</v>
      </c>
      <c r="J180" s="450">
        <f t="shared" si="40"/>
        <v>0</v>
      </c>
      <c r="K180" s="451"/>
      <c r="L180" s="364"/>
      <c r="M180" s="452" t="s">
        <v>171</v>
      </c>
      <c r="N180" s="415" t="s">
        <v>185</v>
      </c>
      <c r="O180" s="453">
        <v>6.0000000000000001E-3</v>
      </c>
      <c r="P180" s="453">
        <f t="shared" si="41"/>
        <v>1.052856</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2747</v>
      </c>
    </row>
    <row r="181" spans="2:65" s="434" customFormat="1" ht="25.9" customHeight="1" x14ac:dyDescent="0.2">
      <c r="B181" s="433"/>
      <c r="D181" s="435" t="s">
        <v>216</v>
      </c>
      <c r="E181" s="436" t="s">
        <v>662</v>
      </c>
      <c r="F181" s="436" t="s">
        <v>663</v>
      </c>
      <c r="I181" s="467"/>
      <c r="J181" s="437">
        <f>BK181</f>
        <v>0</v>
      </c>
      <c r="L181" s="433"/>
      <c r="M181" s="438"/>
      <c r="P181" s="439">
        <f>P182</f>
        <v>4.50303816</v>
      </c>
      <c r="R181" s="439">
        <f>R182</f>
        <v>1.49662601E-2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668</v>
      </c>
      <c r="F182" s="443" t="s">
        <v>669</v>
      </c>
      <c r="I182" s="467"/>
      <c r="J182" s="444">
        <f>BK182</f>
        <v>0</v>
      </c>
      <c r="L182" s="433"/>
      <c r="M182" s="438"/>
      <c r="P182" s="439">
        <f>SUM(P183:P188)</f>
        <v>4.50303816</v>
      </c>
      <c r="R182" s="439">
        <f>SUM(R183:R188)</f>
        <v>1.49662601E-2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246</v>
      </c>
      <c r="D183" s="445" t="s">
        <v>218</v>
      </c>
      <c r="E183" s="446" t="s">
        <v>2256</v>
      </c>
      <c r="F183" s="447" t="s">
        <v>2257</v>
      </c>
      <c r="G183" s="448" t="s">
        <v>111</v>
      </c>
      <c r="H183" s="449">
        <v>6.6849999999999996</v>
      </c>
      <c r="I183" s="329">
        <v>0</v>
      </c>
      <c r="J183" s="450">
        <f t="shared" ref="J183:J188" si="50">ROUND(I183*H183,2)</f>
        <v>0</v>
      </c>
      <c r="K183" s="451"/>
      <c r="L183" s="364"/>
      <c r="M183" s="452" t="s">
        <v>171</v>
      </c>
      <c r="N183" s="415" t="s">
        <v>185</v>
      </c>
      <c r="O183" s="453">
        <v>0.16400000000000001</v>
      </c>
      <c r="P183" s="453">
        <f t="shared" ref="P183:P188" si="51">O183*H183</f>
        <v>1.0963400000000001</v>
      </c>
      <c r="Q183" s="453">
        <v>5.5345999999999998E-4</v>
      </c>
      <c r="R183" s="453">
        <f t="shared" ref="R183:R188" si="52">Q183*H183</f>
        <v>3.6998800999999996E-3</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2748</v>
      </c>
    </row>
    <row r="184" spans="2:65" s="365" customFormat="1" ht="24.2" customHeight="1" x14ac:dyDescent="0.25">
      <c r="B184" s="364"/>
      <c r="C184" s="457" t="s">
        <v>247</v>
      </c>
      <c r="D184" s="457" t="s">
        <v>259</v>
      </c>
      <c r="E184" s="458" t="s">
        <v>2259</v>
      </c>
      <c r="F184" s="459" t="s">
        <v>2260</v>
      </c>
      <c r="G184" s="460" t="s">
        <v>536</v>
      </c>
      <c r="H184" s="461">
        <v>1.2709999999999999</v>
      </c>
      <c r="I184" s="330">
        <v>0</v>
      </c>
      <c r="J184" s="462">
        <f t="shared" si="50"/>
        <v>0</v>
      </c>
      <c r="K184" s="463"/>
      <c r="L184" s="464"/>
      <c r="M184" s="465" t="s">
        <v>171</v>
      </c>
      <c r="N184" s="466" t="s">
        <v>185</v>
      </c>
      <c r="O184" s="453">
        <v>0</v>
      </c>
      <c r="P184" s="453">
        <f t="shared" si="51"/>
        <v>0</v>
      </c>
      <c r="Q184" s="453">
        <v>1E-3</v>
      </c>
      <c r="R184" s="453">
        <f t="shared" si="52"/>
        <v>1.271E-3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2749</v>
      </c>
    </row>
    <row r="185" spans="2:65" s="365" customFormat="1" ht="24.2" customHeight="1" x14ac:dyDescent="0.25">
      <c r="B185" s="364"/>
      <c r="C185" s="445" t="s">
        <v>248</v>
      </c>
      <c r="D185" s="445" t="s">
        <v>218</v>
      </c>
      <c r="E185" s="446" t="s">
        <v>2262</v>
      </c>
      <c r="F185" s="447" t="s">
        <v>2263</v>
      </c>
      <c r="G185" s="448" t="s">
        <v>111</v>
      </c>
      <c r="H185" s="449">
        <v>3.343</v>
      </c>
      <c r="I185" s="329">
        <v>0</v>
      </c>
      <c r="J185" s="450">
        <f t="shared" si="50"/>
        <v>0</v>
      </c>
      <c r="K185" s="451"/>
      <c r="L185" s="364"/>
      <c r="M185" s="452" t="s">
        <v>171</v>
      </c>
      <c r="N185" s="415" t="s">
        <v>185</v>
      </c>
      <c r="O185" s="453">
        <v>0.04</v>
      </c>
      <c r="P185" s="453">
        <f t="shared" si="51"/>
        <v>0.13372000000000001</v>
      </c>
      <c r="Q185" s="453">
        <v>2.5999999999999998E-4</v>
      </c>
      <c r="R185" s="453">
        <f t="shared" si="52"/>
        <v>8.6917999999999989E-4</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2750</v>
      </c>
    </row>
    <row r="186" spans="2:65" s="365" customFormat="1" ht="24.2" customHeight="1" x14ac:dyDescent="0.25">
      <c r="B186" s="364"/>
      <c r="C186" s="457" t="s">
        <v>249</v>
      </c>
      <c r="D186" s="457" t="s">
        <v>259</v>
      </c>
      <c r="E186" s="458" t="s">
        <v>2265</v>
      </c>
      <c r="F186" s="459" t="s">
        <v>2266</v>
      </c>
      <c r="G186" s="460" t="s">
        <v>536</v>
      </c>
      <c r="H186" s="461">
        <v>0.65200000000000002</v>
      </c>
      <c r="I186" s="330">
        <v>0</v>
      </c>
      <c r="J186" s="462">
        <f t="shared" si="50"/>
        <v>0</v>
      </c>
      <c r="K186" s="463"/>
      <c r="L186" s="464"/>
      <c r="M186" s="465" t="s">
        <v>171</v>
      </c>
      <c r="N186" s="466" t="s">
        <v>185</v>
      </c>
      <c r="O186" s="453">
        <v>0</v>
      </c>
      <c r="P186" s="453">
        <f t="shared" si="51"/>
        <v>0</v>
      </c>
      <c r="Q186" s="453">
        <v>1E-3</v>
      </c>
      <c r="R186" s="453">
        <f t="shared" si="52"/>
        <v>6.5200000000000002E-4</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2751</v>
      </c>
    </row>
    <row r="187" spans="2:65" s="365" customFormat="1" ht="24.2" customHeight="1" x14ac:dyDescent="0.25">
      <c r="B187" s="364"/>
      <c r="C187" s="445" t="s">
        <v>250</v>
      </c>
      <c r="D187" s="445" t="s">
        <v>218</v>
      </c>
      <c r="E187" s="446" t="s">
        <v>2268</v>
      </c>
      <c r="F187" s="447" t="s">
        <v>2269</v>
      </c>
      <c r="G187" s="448" t="s">
        <v>111</v>
      </c>
      <c r="H187" s="449">
        <v>24.212</v>
      </c>
      <c r="I187" s="329">
        <v>0</v>
      </c>
      <c r="J187" s="450">
        <f t="shared" si="50"/>
        <v>0</v>
      </c>
      <c r="K187" s="451"/>
      <c r="L187" s="364"/>
      <c r="M187" s="452" t="s">
        <v>171</v>
      </c>
      <c r="N187" s="415" t="s">
        <v>185</v>
      </c>
      <c r="O187" s="453">
        <v>0.13517999999999999</v>
      </c>
      <c r="P187" s="453">
        <f t="shared" si="51"/>
        <v>3.2729781599999996</v>
      </c>
      <c r="Q187" s="453">
        <v>1E-4</v>
      </c>
      <c r="R187" s="453">
        <f t="shared" si="52"/>
        <v>2.4212000000000001E-3</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2752</v>
      </c>
    </row>
    <row r="188" spans="2:65" s="365" customFormat="1" ht="24.2" customHeight="1" x14ac:dyDescent="0.25">
      <c r="B188" s="364"/>
      <c r="C188" s="457" t="s">
        <v>251</v>
      </c>
      <c r="D188" s="457" t="s">
        <v>259</v>
      </c>
      <c r="E188" s="458" t="s">
        <v>2271</v>
      </c>
      <c r="F188" s="459" t="s">
        <v>2272</v>
      </c>
      <c r="G188" s="460" t="s">
        <v>536</v>
      </c>
      <c r="H188" s="461">
        <v>6.0529999999999999</v>
      </c>
      <c r="I188" s="330">
        <v>0</v>
      </c>
      <c r="J188" s="462">
        <f t="shared" si="50"/>
        <v>0</v>
      </c>
      <c r="K188" s="463"/>
      <c r="L188" s="464"/>
      <c r="M188" s="465" t="s">
        <v>171</v>
      </c>
      <c r="N188" s="466" t="s">
        <v>185</v>
      </c>
      <c r="O188" s="453">
        <v>0</v>
      </c>
      <c r="P188" s="453">
        <f t="shared" si="51"/>
        <v>0</v>
      </c>
      <c r="Q188" s="453">
        <v>1E-3</v>
      </c>
      <c r="R188" s="453">
        <f t="shared" si="52"/>
        <v>6.0530000000000002E-3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2753</v>
      </c>
    </row>
    <row r="189" spans="2:65" s="434" customFormat="1" ht="25.9" customHeight="1" x14ac:dyDescent="0.2">
      <c r="B189" s="433"/>
      <c r="D189" s="435" t="s">
        <v>216</v>
      </c>
      <c r="E189" s="436" t="s">
        <v>259</v>
      </c>
      <c r="F189" s="436" t="s">
        <v>1667</v>
      </c>
      <c r="I189" s="467"/>
      <c r="J189" s="437">
        <f>BK189</f>
        <v>0</v>
      </c>
      <c r="L189" s="433"/>
      <c r="M189" s="438"/>
      <c r="P189" s="439">
        <f>P190+P228</f>
        <v>877.06626430000006</v>
      </c>
      <c r="R189" s="439">
        <f>R190+R228</f>
        <v>31.97383</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2274</v>
      </c>
      <c r="F190" s="443" t="s">
        <v>2275</v>
      </c>
      <c r="I190" s="467"/>
      <c r="J190" s="444">
        <f>BK190</f>
        <v>0</v>
      </c>
      <c r="L190" s="433"/>
      <c r="M190" s="438"/>
      <c r="P190" s="439">
        <f>SUM(P191:P227)</f>
        <v>331.61199999999997</v>
      </c>
      <c r="R190" s="439">
        <f>SUM(R191:R227)</f>
        <v>3.6390200000000004</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252</v>
      </c>
      <c r="D191" s="445" t="s">
        <v>218</v>
      </c>
      <c r="E191" s="446" t="s">
        <v>2276</v>
      </c>
      <c r="F191" s="447" t="s">
        <v>2277</v>
      </c>
      <c r="G191" s="448" t="s">
        <v>113</v>
      </c>
      <c r="H191" s="449">
        <v>555</v>
      </c>
      <c r="I191" s="329">
        <v>0</v>
      </c>
      <c r="J191" s="450">
        <f t="shared" ref="J191:J227" si="60">ROUND(I191*H191,2)</f>
        <v>0</v>
      </c>
      <c r="K191" s="451"/>
      <c r="L191" s="364"/>
      <c r="M191" s="452" t="s">
        <v>171</v>
      </c>
      <c r="N191" s="415" t="s">
        <v>185</v>
      </c>
      <c r="O191" s="453">
        <v>0.124</v>
      </c>
      <c r="P191" s="453">
        <f t="shared" ref="P191:P227" si="61">O191*H191</f>
        <v>68.819999999999993</v>
      </c>
      <c r="Q191" s="453">
        <v>0</v>
      </c>
      <c r="R191" s="453">
        <f t="shared" ref="R191:R227" si="62">Q191*H191</f>
        <v>0</v>
      </c>
      <c r="S191" s="453">
        <v>0</v>
      </c>
      <c r="T191" s="454">
        <f t="shared" ref="T191:T227" si="63">S191*H191</f>
        <v>0</v>
      </c>
      <c r="AR191" s="455" t="s">
        <v>625</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625</v>
      </c>
      <c r="BM191" s="455" t="s">
        <v>2754</v>
      </c>
    </row>
    <row r="192" spans="2:65" s="365" customFormat="1" ht="24.2" customHeight="1" x14ac:dyDescent="0.25">
      <c r="B192" s="364"/>
      <c r="C192" s="457" t="s">
        <v>253</v>
      </c>
      <c r="D192" s="457" t="s">
        <v>259</v>
      </c>
      <c r="E192" s="458" t="s">
        <v>2279</v>
      </c>
      <c r="F192" s="459" t="s">
        <v>2280</v>
      </c>
      <c r="G192" s="460" t="s">
        <v>123</v>
      </c>
      <c r="H192" s="461">
        <v>40</v>
      </c>
      <c r="I192" s="330">
        <v>0</v>
      </c>
      <c r="J192" s="462">
        <f t="shared" si="60"/>
        <v>0</v>
      </c>
      <c r="K192" s="463"/>
      <c r="L192" s="464"/>
      <c r="M192" s="465" t="s">
        <v>171</v>
      </c>
      <c r="N192" s="466" t="s">
        <v>185</v>
      </c>
      <c r="O192" s="453">
        <v>0</v>
      </c>
      <c r="P192" s="453">
        <f t="shared" si="61"/>
        <v>0</v>
      </c>
      <c r="Q192" s="453">
        <v>5.0000000000000002E-5</v>
      </c>
      <c r="R192" s="453">
        <f t="shared" si="62"/>
        <v>2E-3</v>
      </c>
      <c r="S192" s="453">
        <v>0</v>
      </c>
      <c r="T192" s="454">
        <f t="shared" si="63"/>
        <v>0</v>
      </c>
      <c r="AR192" s="455" t="s">
        <v>1631</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1631</v>
      </c>
      <c r="BM192" s="455" t="s">
        <v>2755</v>
      </c>
    </row>
    <row r="193" spans="2:65" s="365" customFormat="1" ht="24.2" customHeight="1" x14ac:dyDescent="0.25">
      <c r="B193" s="364"/>
      <c r="C193" s="457" t="s">
        <v>254</v>
      </c>
      <c r="D193" s="457" t="s">
        <v>259</v>
      </c>
      <c r="E193" s="458" t="s">
        <v>2282</v>
      </c>
      <c r="F193" s="459" t="s">
        <v>2283</v>
      </c>
      <c r="G193" s="460" t="s">
        <v>113</v>
      </c>
      <c r="H193" s="461">
        <v>555</v>
      </c>
      <c r="I193" s="330">
        <v>0</v>
      </c>
      <c r="J193" s="462">
        <f t="shared" si="60"/>
        <v>0</v>
      </c>
      <c r="K193" s="463"/>
      <c r="L193" s="464"/>
      <c r="M193" s="465" t="s">
        <v>171</v>
      </c>
      <c r="N193" s="466" t="s">
        <v>185</v>
      </c>
      <c r="O193" s="453">
        <v>0</v>
      </c>
      <c r="P193" s="453">
        <f t="shared" si="61"/>
        <v>0</v>
      </c>
      <c r="Q193" s="453">
        <v>2.2000000000000001E-4</v>
      </c>
      <c r="R193" s="453">
        <f t="shared" si="62"/>
        <v>0.1221</v>
      </c>
      <c r="S193" s="453">
        <v>0</v>
      </c>
      <c r="T193" s="454">
        <f t="shared" si="63"/>
        <v>0</v>
      </c>
      <c r="AR193" s="455" t="s">
        <v>1631</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1631</v>
      </c>
      <c r="BM193" s="455" t="s">
        <v>2756</v>
      </c>
    </row>
    <row r="194" spans="2:65" s="365" customFormat="1" ht="24.2" customHeight="1" x14ac:dyDescent="0.25">
      <c r="B194" s="364"/>
      <c r="C194" s="445" t="s">
        <v>255</v>
      </c>
      <c r="D194" s="445" t="s">
        <v>218</v>
      </c>
      <c r="E194" s="446" t="s">
        <v>2285</v>
      </c>
      <c r="F194" s="447" t="s">
        <v>2286</v>
      </c>
      <c r="G194" s="448" t="s">
        <v>113</v>
      </c>
      <c r="H194" s="449">
        <v>28</v>
      </c>
      <c r="I194" s="329">
        <v>0</v>
      </c>
      <c r="J194" s="450">
        <f t="shared" si="60"/>
        <v>0</v>
      </c>
      <c r="K194" s="451"/>
      <c r="L194" s="364"/>
      <c r="M194" s="452" t="s">
        <v>171</v>
      </c>
      <c r="N194" s="415" t="s">
        <v>185</v>
      </c>
      <c r="O194" s="453">
        <v>0.17199999999999999</v>
      </c>
      <c r="P194" s="453">
        <f t="shared" si="61"/>
        <v>4.8159999999999998</v>
      </c>
      <c r="Q194" s="453">
        <v>0</v>
      </c>
      <c r="R194" s="453">
        <f t="shared" si="62"/>
        <v>0</v>
      </c>
      <c r="S194" s="453">
        <v>0</v>
      </c>
      <c r="T194" s="454">
        <f t="shared" si="63"/>
        <v>0</v>
      </c>
      <c r="AR194" s="455" t="s">
        <v>625</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625</v>
      </c>
      <c r="BM194" s="455" t="s">
        <v>2757</v>
      </c>
    </row>
    <row r="195" spans="2:65" s="365" customFormat="1" ht="24.2" customHeight="1" x14ac:dyDescent="0.25">
      <c r="B195" s="364"/>
      <c r="C195" s="457" t="s">
        <v>256</v>
      </c>
      <c r="D195" s="457" t="s">
        <v>259</v>
      </c>
      <c r="E195" s="458" t="s">
        <v>2288</v>
      </c>
      <c r="F195" s="459" t="s">
        <v>2289</v>
      </c>
      <c r="G195" s="460" t="s">
        <v>113</v>
      </c>
      <c r="H195" s="461">
        <v>28</v>
      </c>
      <c r="I195" s="330">
        <v>0</v>
      </c>
      <c r="J195" s="462">
        <f t="shared" si="60"/>
        <v>0</v>
      </c>
      <c r="K195" s="463"/>
      <c r="L195" s="464"/>
      <c r="M195" s="465" t="s">
        <v>171</v>
      </c>
      <c r="N195" s="466" t="s">
        <v>185</v>
      </c>
      <c r="O195" s="453">
        <v>0</v>
      </c>
      <c r="P195" s="453">
        <f t="shared" si="61"/>
        <v>0</v>
      </c>
      <c r="Q195" s="453">
        <v>5.0000000000000001E-4</v>
      </c>
      <c r="R195" s="453">
        <f t="shared" si="62"/>
        <v>1.4E-2</v>
      </c>
      <c r="S195" s="453">
        <v>0</v>
      </c>
      <c r="T195" s="454">
        <f t="shared" si="63"/>
        <v>0</v>
      </c>
      <c r="AR195" s="455" t="s">
        <v>1631</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1631</v>
      </c>
      <c r="BM195" s="455" t="s">
        <v>2758</v>
      </c>
    </row>
    <row r="196" spans="2:65" s="365" customFormat="1" ht="24.2" customHeight="1" x14ac:dyDescent="0.25">
      <c r="B196" s="364"/>
      <c r="C196" s="445" t="s">
        <v>257</v>
      </c>
      <c r="D196" s="445" t="s">
        <v>218</v>
      </c>
      <c r="E196" s="446" t="s">
        <v>2640</v>
      </c>
      <c r="F196" s="447" t="s">
        <v>2641</v>
      </c>
      <c r="G196" s="448" t="s">
        <v>113</v>
      </c>
      <c r="H196" s="449">
        <v>7</v>
      </c>
      <c r="I196" s="329">
        <v>0</v>
      </c>
      <c r="J196" s="450">
        <f t="shared" si="60"/>
        <v>0</v>
      </c>
      <c r="K196" s="451"/>
      <c r="L196" s="364"/>
      <c r="M196" s="452" t="s">
        <v>171</v>
      </c>
      <c r="N196" s="415" t="s">
        <v>185</v>
      </c>
      <c r="O196" s="453">
        <v>0.17899999999999999</v>
      </c>
      <c r="P196" s="453">
        <f t="shared" si="61"/>
        <v>1.2529999999999999</v>
      </c>
      <c r="Q196" s="453">
        <v>0</v>
      </c>
      <c r="R196" s="453">
        <f t="shared" si="62"/>
        <v>0</v>
      </c>
      <c r="S196" s="453">
        <v>0</v>
      </c>
      <c r="T196" s="454">
        <f t="shared" si="63"/>
        <v>0</v>
      </c>
      <c r="AR196" s="455" t="s">
        <v>625</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625</v>
      </c>
      <c r="BM196" s="455" t="s">
        <v>2759</v>
      </c>
    </row>
    <row r="197" spans="2:65" s="365" customFormat="1" ht="16.5" customHeight="1" x14ac:dyDescent="0.25">
      <c r="B197" s="364"/>
      <c r="C197" s="457" t="s">
        <v>258</v>
      </c>
      <c r="D197" s="457" t="s">
        <v>259</v>
      </c>
      <c r="E197" s="458" t="s">
        <v>2643</v>
      </c>
      <c r="F197" s="459" t="s">
        <v>2644</v>
      </c>
      <c r="G197" s="460" t="s">
        <v>113</v>
      </c>
      <c r="H197" s="461">
        <v>7</v>
      </c>
      <c r="I197" s="330">
        <v>0</v>
      </c>
      <c r="J197" s="462">
        <f t="shared" si="60"/>
        <v>0</v>
      </c>
      <c r="K197" s="463"/>
      <c r="L197" s="464"/>
      <c r="M197" s="465" t="s">
        <v>171</v>
      </c>
      <c r="N197" s="466" t="s">
        <v>185</v>
      </c>
      <c r="O197" s="453">
        <v>0</v>
      </c>
      <c r="P197" s="453">
        <f t="shared" si="61"/>
        <v>0</v>
      </c>
      <c r="Q197" s="453">
        <v>2.4399999999999999E-3</v>
      </c>
      <c r="R197" s="453">
        <f t="shared" si="62"/>
        <v>1.7079999999999998E-2</v>
      </c>
      <c r="S197" s="453">
        <v>0</v>
      </c>
      <c r="T197" s="454">
        <f t="shared" si="63"/>
        <v>0</v>
      </c>
      <c r="AR197" s="455" t="s">
        <v>1631</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1631</v>
      </c>
      <c r="BM197" s="455" t="s">
        <v>2760</v>
      </c>
    </row>
    <row r="198" spans="2:65" s="365" customFormat="1" ht="24.2" customHeight="1" x14ac:dyDescent="0.25">
      <c r="B198" s="364"/>
      <c r="C198" s="445" t="s">
        <v>260</v>
      </c>
      <c r="D198" s="445" t="s">
        <v>218</v>
      </c>
      <c r="E198" s="446" t="s">
        <v>2291</v>
      </c>
      <c r="F198" s="447" t="s">
        <v>2292</v>
      </c>
      <c r="G198" s="448" t="s">
        <v>123</v>
      </c>
      <c r="H198" s="449">
        <v>136</v>
      </c>
      <c r="I198" s="329">
        <v>0</v>
      </c>
      <c r="J198" s="450">
        <f t="shared" si="60"/>
        <v>0</v>
      </c>
      <c r="K198" s="451"/>
      <c r="L198" s="364"/>
      <c r="M198" s="452" t="s">
        <v>171</v>
      </c>
      <c r="N198" s="415" t="s">
        <v>185</v>
      </c>
      <c r="O198" s="453">
        <v>0.124</v>
      </c>
      <c r="P198" s="453">
        <f t="shared" si="61"/>
        <v>16.864000000000001</v>
      </c>
      <c r="Q198" s="453">
        <v>0</v>
      </c>
      <c r="R198" s="453">
        <f t="shared" si="62"/>
        <v>0</v>
      </c>
      <c r="S198" s="453">
        <v>0</v>
      </c>
      <c r="T198" s="454">
        <f t="shared" si="63"/>
        <v>0</v>
      </c>
      <c r="AR198" s="455" t="s">
        <v>625</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625</v>
      </c>
      <c r="BM198" s="455" t="s">
        <v>2761</v>
      </c>
    </row>
    <row r="199" spans="2:65" s="365" customFormat="1" ht="16.5" customHeight="1" x14ac:dyDescent="0.25">
      <c r="B199" s="364"/>
      <c r="C199" s="457" t="s">
        <v>262</v>
      </c>
      <c r="D199" s="457" t="s">
        <v>259</v>
      </c>
      <c r="E199" s="458" t="s">
        <v>2294</v>
      </c>
      <c r="F199" s="459" t="s">
        <v>2295</v>
      </c>
      <c r="G199" s="460" t="s">
        <v>123</v>
      </c>
      <c r="H199" s="461">
        <v>136</v>
      </c>
      <c r="I199" s="330">
        <v>0</v>
      </c>
      <c r="J199" s="462">
        <f t="shared" si="60"/>
        <v>0</v>
      </c>
      <c r="K199" s="463"/>
      <c r="L199" s="464"/>
      <c r="M199" s="465" t="s">
        <v>171</v>
      </c>
      <c r="N199" s="466" t="s">
        <v>185</v>
      </c>
      <c r="O199" s="453">
        <v>0</v>
      </c>
      <c r="P199" s="453">
        <f t="shared" si="61"/>
        <v>0</v>
      </c>
      <c r="Q199" s="453">
        <v>3.0000000000000001E-5</v>
      </c>
      <c r="R199" s="453">
        <f t="shared" si="62"/>
        <v>4.0800000000000003E-3</v>
      </c>
      <c r="S199" s="453">
        <v>0</v>
      </c>
      <c r="T199" s="454">
        <f t="shared" si="63"/>
        <v>0</v>
      </c>
      <c r="AR199" s="455" t="s">
        <v>1631</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1631</v>
      </c>
      <c r="BM199" s="455" t="s">
        <v>2762</v>
      </c>
    </row>
    <row r="200" spans="2:65" s="365" customFormat="1" ht="24.2" customHeight="1" x14ac:dyDescent="0.25">
      <c r="B200" s="364"/>
      <c r="C200" s="445" t="s">
        <v>263</v>
      </c>
      <c r="D200" s="445" t="s">
        <v>218</v>
      </c>
      <c r="E200" s="446" t="s">
        <v>2515</v>
      </c>
      <c r="F200" s="447" t="s">
        <v>2516</v>
      </c>
      <c r="G200" s="448" t="s">
        <v>123</v>
      </c>
      <c r="H200" s="449">
        <v>4</v>
      </c>
      <c r="I200" s="329">
        <v>0</v>
      </c>
      <c r="J200" s="450">
        <f t="shared" si="60"/>
        <v>0</v>
      </c>
      <c r="K200" s="451"/>
      <c r="L200" s="364"/>
      <c r="M200" s="452" t="s">
        <v>171</v>
      </c>
      <c r="N200" s="415" t="s">
        <v>185</v>
      </c>
      <c r="O200" s="453">
        <v>0.40500000000000003</v>
      </c>
      <c r="P200" s="453">
        <f t="shared" si="61"/>
        <v>1.62</v>
      </c>
      <c r="Q200" s="453">
        <v>0</v>
      </c>
      <c r="R200" s="453">
        <f t="shared" si="62"/>
        <v>0</v>
      </c>
      <c r="S200" s="453">
        <v>0</v>
      </c>
      <c r="T200" s="454">
        <f t="shared" si="63"/>
        <v>0</v>
      </c>
      <c r="AR200" s="455" t="s">
        <v>625</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625</v>
      </c>
      <c r="BM200" s="455" t="s">
        <v>2763</v>
      </c>
    </row>
    <row r="201" spans="2:65" s="365" customFormat="1" ht="16.5" customHeight="1" x14ac:dyDescent="0.25">
      <c r="B201" s="364"/>
      <c r="C201" s="457" t="s">
        <v>264</v>
      </c>
      <c r="D201" s="457" t="s">
        <v>259</v>
      </c>
      <c r="E201" s="458" t="s">
        <v>2518</v>
      </c>
      <c r="F201" s="459" t="s">
        <v>2519</v>
      </c>
      <c r="G201" s="460" t="s">
        <v>123</v>
      </c>
      <c r="H201" s="461">
        <v>4</v>
      </c>
      <c r="I201" s="330">
        <v>0</v>
      </c>
      <c r="J201" s="462">
        <f t="shared" si="60"/>
        <v>0</v>
      </c>
      <c r="K201" s="463"/>
      <c r="L201" s="464"/>
      <c r="M201" s="465" t="s">
        <v>171</v>
      </c>
      <c r="N201" s="466" t="s">
        <v>185</v>
      </c>
      <c r="O201" s="453">
        <v>0</v>
      </c>
      <c r="P201" s="453">
        <f t="shared" si="61"/>
        <v>0</v>
      </c>
      <c r="Q201" s="453">
        <v>1.1E-4</v>
      </c>
      <c r="R201" s="453">
        <f t="shared" si="62"/>
        <v>4.4000000000000002E-4</v>
      </c>
      <c r="S201" s="453">
        <v>0</v>
      </c>
      <c r="T201" s="454">
        <f t="shared" si="63"/>
        <v>0</v>
      </c>
      <c r="AR201" s="455" t="s">
        <v>1631</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1631</v>
      </c>
      <c r="BM201" s="455" t="s">
        <v>2764</v>
      </c>
    </row>
    <row r="202" spans="2:65" s="365" customFormat="1" ht="37.9" customHeight="1" x14ac:dyDescent="0.25">
      <c r="B202" s="364"/>
      <c r="C202" s="445" t="s">
        <v>265</v>
      </c>
      <c r="D202" s="445" t="s">
        <v>218</v>
      </c>
      <c r="E202" s="446" t="s">
        <v>2297</v>
      </c>
      <c r="F202" s="447" t="s">
        <v>2298</v>
      </c>
      <c r="G202" s="448" t="s">
        <v>123</v>
      </c>
      <c r="H202" s="449">
        <v>34</v>
      </c>
      <c r="I202" s="329">
        <v>0</v>
      </c>
      <c r="J202" s="450">
        <f t="shared" si="60"/>
        <v>0</v>
      </c>
      <c r="K202" s="451"/>
      <c r="L202" s="364"/>
      <c r="M202" s="452" t="s">
        <v>171</v>
      </c>
      <c r="N202" s="415" t="s">
        <v>185</v>
      </c>
      <c r="O202" s="453">
        <v>0.3</v>
      </c>
      <c r="P202" s="453">
        <f t="shared" si="61"/>
        <v>10.199999999999999</v>
      </c>
      <c r="Q202" s="453">
        <v>0</v>
      </c>
      <c r="R202" s="453">
        <f t="shared" si="62"/>
        <v>0</v>
      </c>
      <c r="S202" s="453">
        <v>0</v>
      </c>
      <c r="T202" s="454">
        <f t="shared" si="63"/>
        <v>0</v>
      </c>
      <c r="AR202" s="455" t="s">
        <v>625</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625</v>
      </c>
      <c r="BM202" s="455" t="s">
        <v>2765</v>
      </c>
    </row>
    <row r="203" spans="2:65" s="365" customFormat="1" ht="24.2" customHeight="1" x14ac:dyDescent="0.25">
      <c r="B203" s="364"/>
      <c r="C203" s="457" t="s">
        <v>266</v>
      </c>
      <c r="D203" s="457" t="s">
        <v>259</v>
      </c>
      <c r="E203" s="458" t="s">
        <v>2300</v>
      </c>
      <c r="F203" s="459" t="s">
        <v>2301</v>
      </c>
      <c r="G203" s="460" t="s">
        <v>123</v>
      </c>
      <c r="H203" s="461">
        <v>34</v>
      </c>
      <c r="I203" s="330">
        <v>0</v>
      </c>
      <c r="J203" s="462">
        <f t="shared" si="60"/>
        <v>0</v>
      </c>
      <c r="K203" s="463"/>
      <c r="L203" s="464"/>
      <c r="M203" s="465" t="s">
        <v>171</v>
      </c>
      <c r="N203" s="466" t="s">
        <v>185</v>
      </c>
      <c r="O203" s="453">
        <v>0</v>
      </c>
      <c r="P203" s="453">
        <f t="shared" si="61"/>
        <v>0</v>
      </c>
      <c r="Q203" s="453">
        <v>1E-3</v>
      </c>
      <c r="R203" s="453">
        <f t="shared" si="62"/>
        <v>3.4000000000000002E-2</v>
      </c>
      <c r="S203" s="453">
        <v>0</v>
      </c>
      <c r="T203" s="454">
        <f t="shared" si="63"/>
        <v>0</v>
      </c>
      <c r="AR203" s="455" t="s">
        <v>1631</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1631</v>
      </c>
      <c r="BM203" s="455" t="s">
        <v>2766</v>
      </c>
    </row>
    <row r="204" spans="2:65" s="365" customFormat="1" ht="37.9" customHeight="1" x14ac:dyDescent="0.25">
      <c r="B204" s="364"/>
      <c r="C204" s="445" t="s">
        <v>573</v>
      </c>
      <c r="D204" s="445" t="s">
        <v>218</v>
      </c>
      <c r="E204" s="446" t="s">
        <v>2523</v>
      </c>
      <c r="F204" s="447" t="s">
        <v>2524</v>
      </c>
      <c r="G204" s="448" t="s">
        <v>123</v>
      </c>
      <c r="H204" s="449">
        <v>1</v>
      </c>
      <c r="I204" s="329">
        <v>0</v>
      </c>
      <c r="J204" s="450">
        <f t="shared" si="60"/>
        <v>0</v>
      </c>
      <c r="K204" s="451"/>
      <c r="L204" s="364"/>
      <c r="M204" s="452" t="s">
        <v>171</v>
      </c>
      <c r="N204" s="415" t="s">
        <v>185</v>
      </c>
      <c r="O204" s="453">
        <v>0.7</v>
      </c>
      <c r="P204" s="453">
        <f t="shared" si="61"/>
        <v>0.7</v>
      </c>
      <c r="Q204" s="453">
        <v>0</v>
      </c>
      <c r="R204" s="453">
        <f t="shared" si="62"/>
        <v>0</v>
      </c>
      <c r="S204" s="453">
        <v>0</v>
      </c>
      <c r="T204" s="454">
        <f t="shared" si="63"/>
        <v>0</v>
      </c>
      <c r="AR204" s="455" t="s">
        <v>625</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625</v>
      </c>
      <c r="BM204" s="455" t="s">
        <v>2767</v>
      </c>
    </row>
    <row r="205" spans="2:65" s="365" customFormat="1" ht="24.2" customHeight="1" x14ac:dyDescent="0.25">
      <c r="B205" s="364"/>
      <c r="C205" s="457" t="s">
        <v>577</v>
      </c>
      <c r="D205" s="457" t="s">
        <v>259</v>
      </c>
      <c r="E205" s="458" t="s">
        <v>2526</v>
      </c>
      <c r="F205" s="459" t="s">
        <v>2527</v>
      </c>
      <c r="G205" s="460" t="s">
        <v>123</v>
      </c>
      <c r="H205" s="461">
        <v>1</v>
      </c>
      <c r="I205" s="330">
        <v>0</v>
      </c>
      <c r="J205" s="462">
        <f t="shared" si="60"/>
        <v>0</v>
      </c>
      <c r="K205" s="463"/>
      <c r="L205" s="464"/>
      <c r="M205" s="465" t="s">
        <v>171</v>
      </c>
      <c r="N205" s="466" t="s">
        <v>185</v>
      </c>
      <c r="O205" s="453">
        <v>0</v>
      </c>
      <c r="P205" s="453">
        <f t="shared" si="61"/>
        <v>0</v>
      </c>
      <c r="Q205" s="453">
        <v>1E-3</v>
      </c>
      <c r="R205" s="453">
        <f t="shared" si="62"/>
        <v>1E-3</v>
      </c>
      <c r="S205" s="453">
        <v>0</v>
      </c>
      <c r="T205" s="454">
        <f t="shared" si="63"/>
        <v>0</v>
      </c>
      <c r="AR205" s="455" t="s">
        <v>1631</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1631</v>
      </c>
      <c r="BM205" s="455" t="s">
        <v>2768</v>
      </c>
    </row>
    <row r="206" spans="2:65" s="365" customFormat="1" ht="21.75" customHeight="1" x14ac:dyDescent="0.25">
      <c r="B206" s="364"/>
      <c r="C206" s="445" t="s">
        <v>581</v>
      </c>
      <c r="D206" s="445" t="s">
        <v>218</v>
      </c>
      <c r="E206" s="446" t="s">
        <v>2306</v>
      </c>
      <c r="F206" s="447" t="s">
        <v>2307</v>
      </c>
      <c r="G206" s="448" t="s">
        <v>123</v>
      </c>
      <c r="H206" s="449">
        <v>1</v>
      </c>
      <c r="I206" s="329">
        <v>0</v>
      </c>
      <c r="J206" s="450">
        <f t="shared" si="60"/>
        <v>0</v>
      </c>
      <c r="K206" s="451"/>
      <c r="L206" s="364"/>
      <c r="M206" s="452" t="s">
        <v>171</v>
      </c>
      <c r="N206" s="415" t="s">
        <v>185</v>
      </c>
      <c r="O206" s="453">
        <v>8.44</v>
      </c>
      <c r="P206" s="453">
        <f t="shared" si="61"/>
        <v>8.44</v>
      </c>
      <c r="Q206" s="453">
        <v>0</v>
      </c>
      <c r="R206" s="453">
        <f t="shared" si="62"/>
        <v>0</v>
      </c>
      <c r="S206" s="453">
        <v>0</v>
      </c>
      <c r="T206" s="454">
        <f t="shared" si="63"/>
        <v>0</v>
      </c>
      <c r="AR206" s="455" t="s">
        <v>625</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2769</v>
      </c>
    </row>
    <row r="207" spans="2:65" s="365" customFormat="1" ht="24.2" customHeight="1" x14ac:dyDescent="0.25">
      <c r="B207" s="364"/>
      <c r="C207" s="457" t="s">
        <v>585</v>
      </c>
      <c r="D207" s="457" t="s">
        <v>259</v>
      </c>
      <c r="E207" s="458" t="s">
        <v>2770</v>
      </c>
      <c r="F207" s="459" t="s">
        <v>2771</v>
      </c>
      <c r="G207" s="460" t="s">
        <v>123</v>
      </c>
      <c r="H207" s="461">
        <v>1</v>
      </c>
      <c r="I207" s="330">
        <v>0</v>
      </c>
      <c r="J207" s="462">
        <f t="shared" si="60"/>
        <v>0</v>
      </c>
      <c r="K207" s="463"/>
      <c r="L207" s="464"/>
      <c r="M207" s="465" t="s">
        <v>171</v>
      </c>
      <c r="N207" s="466" t="s">
        <v>185</v>
      </c>
      <c r="O207" s="453">
        <v>0</v>
      </c>
      <c r="P207" s="453">
        <f t="shared" si="61"/>
        <v>0</v>
      </c>
      <c r="Q207" s="453">
        <v>2.8000000000000001E-2</v>
      </c>
      <c r="R207" s="453">
        <f t="shared" si="62"/>
        <v>2.8000000000000001E-2</v>
      </c>
      <c r="S207" s="453">
        <v>0</v>
      </c>
      <c r="T207" s="454">
        <f t="shared" si="63"/>
        <v>0</v>
      </c>
      <c r="AR207" s="455" t="s">
        <v>1631</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1631</v>
      </c>
      <c r="BM207" s="455" t="s">
        <v>2772</v>
      </c>
    </row>
    <row r="208" spans="2:65" s="365" customFormat="1" ht="21.75" customHeight="1" x14ac:dyDescent="0.25">
      <c r="B208" s="364"/>
      <c r="C208" s="445" t="s">
        <v>589</v>
      </c>
      <c r="D208" s="445" t="s">
        <v>218</v>
      </c>
      <c r="E208" s="446" t="s">
        <v>2303</v>
      </c>
      <c r="F208" s="447" t="s">
        <v>2304</v>
      </c>
      <c r="G208" s="448" t="s">
        <v>123</v>
      </c>
      <c r="H208" s="449">
        <v>1</v>
      </c>
      <c r="I208" s="329">
        <v>0</v>
      </c>
      <c r="J208" s="450">
        <f t="shared" si="60"/>
        <v>0</v>
      </c>
      <c r="K208" s="451"/>
      <c r="L208" s="364"/>
      <c r="M208" s="452" t="s">
        <v>171</v>
      </c>
      <c r="N208" s="415" t="s">
        <v>185</v>
      </c>
      <c r="O208" s="453">
        <v>4.22</v>
      </c>
      <c r="P208" s="453">
        <f t="shared" si="61"/>
        <v>4.22</v>
      </c>
      <c r="Q208" s="453">
        <v>0</v>
      </c>
      <c r="R208" s="453">
        <f t="shared" si="62"/>
        <v>0</v>
      </c>
      <c r="S208" s="453">
        <v>0</v>
      </c>
      <c r="T208" s="454">
        <f t="shared" si="63"/>
        <v>0</v>
      </c>
      <c r="AR208" s="455" t="s">
        <v>625</v>
      </c>
      <c r="AT208" s="455" t="s">
        <v>218</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625</v>
      </c>
      <c r="BM208" s="455" t="s">
        <v>2773</v>
      </c>
    </row>
    <row r="209" spans="2:65" s="365" customFormat="1" ht="24.2" customHeight="1" x14ac:dyDescent="0.25">
      <c r="B209" s="364"/>
      <c r="C209" s="445" t="s">
        <v>593</v>
      </c>
      <c r="D209" s="445" t="s">
        <v>218</v>
      </c>
      <c r="E209" s="446" t="s">
        <v>2318</v>
      </c>
      <c r="F209" s="447" t="s">
        <v>2319</v>
      </c>
      <c r="G209" s="448" t="s">
        <v>123</v>
      </c>
      <c r="H209" s="449">
        <v>15</v>
      </c>
      <c r="I209" s="329">
        <v>0</v>
      </c>
      <c r="J209" s="450">
        <f t="shared" si="60"/>
        <v>0</v>
      </c>
      <c r="K209" s="451"/>
      <c r="L209" s="364"/>
      <c r="M209" s="452" t="s">
        <v>171</v>
      </c>
      <c r="N209" s="415" t="s">
        <v>185</v>
      </c>
      <c r="O209" s="453">
        <v>0.44</v>
      </c>
      <c r="P209" s="453">
        <f t="shared" si="61"/>
        <v>6.6</v>
      </c>
      <c r="Q209" s="453">
        <v>0</v>
      </c>
      <c r="R209" s="453">
        <f t="shared" si="62"/>
        <v>0</v>
      </c>
      <c r="S209" s="453">
        <v>0</v>
      </c>
      <c r="T209" s="454">
        <f t="shared" si="63"/>
        <v>0</v>
      </c>
      <c r="AR209" s="455" t="s">
        <v>625</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625</v>
      </c>
      <c r="BM209" s="455" t="s">
        <v>2774</v>
      </c>
    </row>
    <row r="210" spans="2:65" s="365" customFormat="1" ht="24.2" customHeight="1" x14ac:dyDescent="0.25">
      <c r="B210" s="364"/>
      <c r="C210" s="445" t="s">
        <v>597</v>
      </c>
      <c r="D210" s="445" t="s">
        <v>218</v>
      </c>
      <c r="E210" s="446" t="s">
        <v>2330</v>
      </c>
      <c r="F210" s="447" t="s">
        <v>2331</v>
      </c>
      <c r="G210" s="448" t="s">
        <v>123</v>
      </c>
      <c r="H210" s="449">
        <v>15</v>
      </c>
      <c r="I210" s="329">
        <v>0</v>
      </c>
      <c r="J210" s="450">
        <f t="shared" si="60"/>
        <v>0</v>
      </c>
      <c r="K210" s="451"/>
      <c r="L210" s="364"/>
      <c r="M210" s="452" t="s">
        <v>171</v>
      </c>
      <c r="N210" s="415" t="s">
        <v>185</v>
      </c>
      <c r="O210" s="453">
        <v>0.22</v>
      </c>
      <c r="P210" s="453">
        <f t="shared" si="61"/>
        <v>3.3</v>
      </c>
      <c r="Q210" s="453">
        <v>0</v>
      </c>
      <c r="R210" s="453">
        <f t="shared" si="62"/>
        <v>0</v>
      </c>
      <c r="S210" s="453">
        <v>0</v>
      </c>
      <c r="T210" s="454">
        <f t="shared" si="63"/>
        <v>0</v>
      </c>
      <c r="AR210" s="455" t="s">
        <v>625</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625</v>
      </c>
      <c r="BM210" s="455" t="s">
        <v>2775</v>
      </c>
    </row>
    <row r="211" spans="2:65" s="365" customFormat="1" ht="16.5" customHeight="1" x14ac:dyDescent="0.25">
      <c r="B211" s="364"/>
      <c r="C211" s="445" t="s">
        <v>601</v>
      </c>
      <c r="D211" s="445" t="s">
        <v>218</v>
      </c>
      <c r="E211" s="446" t="s">
        <v>2333</v>
      </c>
      <c r="F211" s="447" t="s">
        <v>2334</v>
      </c>
      <c r="G211" s="448" t="s">
        <v>123</v>
      </c>
      <c r="H211" s="449">
        <v>15</v>
      </c>
      <c r="I211" s="329">
        <v>0</v>
      </c>
      <c r="J211" s="450">
        <f t="shared" si="60"/>
        <v>0</v>
      </c>
      <c r="K211" s="451"/>
      <c r="L211" s="364"/>
      <c r="M211" s="452" t="s">
        <v>171</v>
      </c>
      <c r="N211" s="415" t="s">
        <v>185</v>
      </c>
      <c r="O211" s="453">
        <v>3.2160000000000002</v>
      </c>
      <c r="P211" s="453">
        <f t="shared" si="61"/>
        <v>48.24</v>
      </c>
      <c r="Q211" s="453">
        <v>0</v>
      </c>
      <c r="R211" s="453">
        <f t="shared" si="62"/>
        <v>0</v>
      </c>
      <c r="S211" s="453">
        <v>0</v>
      </c>
      <c r="T211" s="454">
        <f t="shared" si="63"/>
        <v>0</v>
      </c>
      <c r="AR211" s="455" t="s">
        <v>625</v>
      </c>
      <c r="AT211" s="455" t="s">
        <v>218</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625</v>
      </c>
      <c r="BM211" s="455" t="s">
        <v>2776</v>
      </c>
    </row>
    <row r="212" spans="2:65" s="365" customFormat="1" ht="66.75" customHeight="1" x14ac:dyDescent="0.25">
      <c r="B212" s="364"/>
      <c r="C212" s="457" t="s">
        <v>605</v>
      </c>
      <c r="D212" s="457" t="s">
        <v>259</v>
      </c>
      <c r="E212" s="458" t="s">
        <v>2342</v>
      </c>
      <c r="F212" s="459" t="s">
        <v>2343</v>
      </c>
      <c r="G212" s="460" t="s">
        <v>123</v>
      </c>
      <c r="H212" s="461">
        <v>15</v>
      </c>
      <c r="I212" s="330">
        <v>0</v>
      </c>
      <c r="J212" s="462">
        <f t="shared" si="60"/>
        <v>0</v>
      </c>
      <c r="K212" s="463"/>
      <c r="L212" s="464"/>
      <c r="M212" s="465" t="s">
        <v>171</v>
      </c>
      <c r="N212" s="466" t="s">
        <v>185</v>
      </c>
      <c r="O212" s="453">
        <v>0</v>
      </c>
      <c r="P212" s="453">
        <f t="shared" si="61"/>
        <v>0</v>
      </c>
      <c r="Q212" s="453">
        <v>0.17397000000000001</v>
      </c>
      <c r="R212" s="453">
        <f t="shared" si="62"/>
        <v>2.60955</v>
      </c>
      <c r="S212" s="453">
        <v>0</v>
      </c>
      <c r="T212" s="454">
        <f t="shared" si="63"/>
        <v>0</v>
      </c>
      <c r="AR212" s="455" t="s">
        <v>1631</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1631</v>
      </c>
      <c r="BM212" s="455" t="s">
        <v>2777</v>
      </c>
    </row>
    <row r="213" spans="2:65" s="365" customFormat="1" ht="21.75" customHeight="1" x14ac:dyDescent="0.25">
      <c r="B213" s="364"/>
      <c r="C213" s="445" t="s">
        <v>609</v>
      </c>
      <c r="D213" s="445" t="s">
        <v>218</v>
      </c>
      <c r="E213" s="446" t="s">
        <v>2345</v>
      </c>
      <c r="F213" s="447" t="s">
        <v>2346</v>
      </c>
      <c r="G213" s="448" t="s">
        <v>123</v>
      </c>
      <c r="H213" s="449">
        <v>15</v>
      </c>
      <c r="I213" s="329">
        <v>0</v>
      </c>
      <c r="J213" s="450">
        <f t="shared" si="60"/>
        <v>0</v>
      </c>
      <c r="K213" s="451"/>
      <c r="L213" s="364"/>
      <c r="M213" s="452" t="s">
        <v>171</v>
      </c>
      <c r="N213" s="415" t="s">
        <v>185</v>
      </c>
      <c r="O213" s="453">
        <v>1.6080000000000001</v>
      </c>
      <c r="P213" s="453">
        <f t="shared" si="61"/>
        <v>24.12</v>
      </c>
      <c r="Q213" s="453">
        <v>0</v>
      </c>
      <c r="R213" s="453">
        <f t="shared" si="62"/>
        <v>0</v>
      </c>
      <c r="S213" s="453">
        <v>0</v>
      </c>
      <c r="T213" s="454">
        <f t="shared" si="63"/>
        <v>0</v>
      </c>
      <c r="AR213" s="455" t="s">
        <v>625</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625</v>
      </c>
      <c r="BM213" s="455" t="s">
        <v>2778</v>
      </c>
    </row>
    <row r="214" spans="2:65" s="365" customFormat="1" ht="16.5" customHeight="1" x14ac:dyDescent="0.25">
      <c r="B214" s="364"/>
      <c r="C214" s="445" t="s">
        <v>613</v>
      </c>
      <c r="D214" s="445" t="s">
        <v>218</v>
      </c>
      <c r="E214" s="446" t="s">
        <v>2357</v>
      </c>
      <c r="F214" s="447" t="s">
        <v>2358</v>
      </c>
      <c r="G214" s="448" t="s">
        <v>123</v>
      </c>
      <c r="H214" s="449">
        <v>15</v>
      </c>
      <c r="I214" s="329">
        <v>0</v>
      </c>
      <c r="J214" s="450">
        <f t="shared" si="60"/>
        <v>0</v>
      </c>
      <c r="K214" s="451"/>
      <c r="L214" s="364"/>
      <c r="M214" s="452" t="s">
        <v>171</v>
      </c>
      <c r="N214" s="415" t="s">
        <v>185</v>
      </c>
      <c r="O214" s="453">
        <v>1.3340000000000001</v>
      </c>
      <c r="P214" s="453">
        <f t="shared" si="61"/>
        <v>20.010000000000002</v>
      </c>
      <c r="Q214" s="453">
        <v>0</v>
      </c>
      <c r="R214" s="453">
        <f t="shared" si="62"/>
        <v>0</v>
      </c>
      <c r="S214" s="453">
        <v>0</v>
      </c>
      <c r="T214" s="454">
        <f t="shared" si="63"/>
        <v>0</v>
      </c>
      <c r="AR214" s="455" t="s">
        <v>625</v>
      </c>
      <c r="AT214" s="455" t="s">
        <v>218</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625</v>
      </c>
      <c r="BM214" s="455" t="s">
        <v>2779</v>
      </c>
    </row>
    <row r="215" spans="2:65" s="365" customFormat="1" ht="24.2" customHeight="1" x14ac:dyDescent="0.25">
      <c r="B215" s="364"/>
      <c r="C215" s="457" t="s">
        <v>617</v>
      </c>
      <c r="D215" s="457" t="s">
        <v>259</v>
      </c>
      <c r="E215" s="458" t="s">
        <v>2360</v>
      </c>
      <c r="F215" s="459" t="s">
        <v>2361</v>
      </c>
      <c r="G215" s="460" t="s">
        <v>123</v>
      </c>
      <c r="H215" s="461">
        <v>15</v>
      </c>
      <c r="I215" s="330">
        <v>0</v>
      </c>
      <c r="J215" s="462">
        <f t="shared" si="60"/>
        <v>0</v>
      </c>
      <c r="K215" s="463"/>
      <c r="L215" s="464"/>
      <c r="M215" s="465" t="s">
        <v>171</v>
      </c>
      <c r="N215" s="466" t="s">
        <v>185</v>
      </c>
      <c r="O215" s="453">
        <v>0</v>
      </c>
      <c r="P215" s="453">
        <f t="shared" si="61"/>
        <v>0</v>
      </c>
      <c r="Q215" s="453">
        <v>0</v>
      </c>
      <c r="R215" s="453">
        <f t="shared" si="62"/>
        <v>0</v>
      </c>
      <c r="S215" s="453">
        <v>0</v>
      </c>
      <c r="T215" s="454">
        <f t="shared" si="63"/>
        <v>0</v>
      </c>
      <c r="AR215" s="455" t="s">
        <v>1631</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1631</v>
      </c>
      <c r="BM215" s="455" t="s">
        <v>2780</v>
      </c>
    </row>
    <row r="216" spans="2:65" s="365" customFormat="1" ht="16.5" customHeight="1" x14ac:dyDescent="0.25">
      <c r="B216" s="364"/>
      <c r="C216" s="457" t="s">
        <v>621</v>
      </c>
      <c r="D216" s="457" t="s">
        <v>259</v>
      </c>
      <c r="E216" s="458" t="s">
        <v>2363</v>
      </c>
      <c r="F216" s="459" t="s">
        <v>2364</v>
      </c>
      <c r="G216" s="460" t="s">
        <v>123</v>
      </c>
      <c r="H216" s="461">
        <v>30</v>
      </c>
      <c r="I216" s="330">
        <v>0</v>
      </c>
      <c r="J216" s="462">
        <f t="shared" si="60"/>
        <v>0</v>
      </c>
      <c r="K216" s="463"/>
      <c r="L216" s="464"/>
      <c r="M216" s="465" t="s">
        <v>171</v>
      </c>
      <c r="N216" s="466" t="s">
        <v>185</v>
      </c>
      <c r="O216" s="453">
        <v>0</v>
      </c>
      <c r="P216" s="453">
        <f t="shared" si="61"/>
        <v>0</v>
      </c>
      <c r="Q216" s="453">
        <v>6.0000000000000002E-5</v>
      </c>
      <c r="R216" s="453">
        <f t="shared" si="62"/>
        <v>1.8E-3</v>
      </c>
      <c r="S216" s="453">
        <v>0</v>
      </c>
      <c r="T216" s="454">
        <f t="shared" si="63"/>
        <v>0</v>
      </c>
      <c r="AR216" s="455" t="s">
        <v>1631</v>
      </c>
      <c r="AT216" s="455" t="s">
        <v>259</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1631</v>
      </c>
      <c r="BM216" s="455" t="s">
        <v>2781</v>
      </c>
    </row>
    <row r="217" spans="2:65" s="365" customFormat="1" ht="16.5" customHeight="1" x14ac:dyDescent="0.25">
      <c r="B217" s="364"/>
      <c r="C217" s="445" t="s">
        <v>625</v>
      </c>
      <c r="D217" s="445" t="s">
        <v>218</v>
      </c>
      <c r="E217" s="446" t="s">
        <v>2366</v>
      </c>
      <c r="F217" s="447" t="s">
        <v>2367</v>
      </c>
      <c r="G217" s="448" t="s">
        <v>123</v>
      </c>
      <c r="H217" s="449">
        <v>15</v>
      </c>
      <c r="I217" s="329">
        <v>0</v>
      </c>
      <c r="J217" s="450">
        <f t="shared" si="60"/>
        <v>0</v>
      </c>
      <c r="K217" s="451"/>
      <c r="L217" s="364"/>
      <c r="M217" s="452" t="s">
        <v>171</v>
      </c>
      <c r="N217" s="415" t="s">
        <v>185</v>
      </c>
      <c r="O217" s="453">
        <v>0.66700000000000004</v>
      </c>
      <c r="P217" s="453">
        <f t="shared" si="61"/>
        <v>10.005000000000001</v>
      </c>
      <c r="Q217" s="453">
        <v>0</v>
      </c>
      <c r="R217" s="453">
        <f t="shared" si="62"/>
        <v>0</v>
      </c>
      <c r="S217" s="453">
        <v>0</v>
      </c>
      <c r="T217" s="454">
        <f t="shared" si="63"/>
        <v>0</v>
      </c>
      <c r="AR217" s="455" t="s">
        <v>625</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625</v>
      </c>
      <c r="BM217" s="455" t="s">
        <v>2782</v>
      </c>
    </row>
    <row r="218" spans="2:65" s="365" customFormat="1" ht="24.2" customHeight="1" x14ac:dyDescent="0.25">
      <c r="B218" s="364"/>
      <c r="C218" s="445" t="s">
        <v>629</v>
      </c>
      <c r="D218" s="445" t="s">
        <v>218</v>
      </c>
      <c r="E218" s="446" t="s">
        <v>2369</v>
      </c>
      <c r="F218" s="447" t="s">
        <v>2370</v>
      </c>
      <c r="G218" s="448" t="s">
        <v>113</v>
      </c>
      <c r="H218" s="449">
        <v>22.5</v>
      </c>
      <c r="I218" s="329">
        <v>0</v>
      </c>
      <c r="J218" s="450">
        <f t="shared" si="60"/>
        <v>0</v>
      </c>
      <c r="K218" s="451"/>
      <c r="L218" s="364"/>
      <c r="M218" s="452" t="s">
        <v>171</v>
      </c>
      <c r="N218" s="415" t="s">
        <v>185</v>
      </c>
      <c r="O218" s="453">
        <v>0.15</v>
      </c>
      <c r="P218" s="453">
        <f t="shared" si="61"/>
        <v>3.375</v>
      </c>
      <c r="Q218" s="453">
        <v>0</v>
      </c>
      <c r="R218" s="453">
        <f t="shared" si="62"/>
        <v>0</v>
      </c>
      <c r="S218" s="453">
        <v>0</v>
      </c>
      <c r="T218" s="454">
        <f t="shared" si="63"/>
        <v>0</v>
      </c>
      <c r="AR218" s="455" t="s">
        <v>625</v>
      </c>
      <c r="AT218" s="455" t="s">
        <v>218</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625</v>
      </c>
      <c r="BM218" s="455" t="s">
        <v>2783</v>
      </c>
    </row>
    <row r="219" spans="2:65" s="365" customFormat="1" ht="16.5" customHeight="1" x14ac:dyDescent="0.25">
      <c r="B219" s="364"/>
      <c r="C219" s="457" t="s">
        <v>634</v>
      </c>
      <c r="D219" s="457" t="s">
        <v>259</v>
      </c>
      <c r="E219" s="458" t="s">
        <v>2372</v>
      </c>
      <c r="F219" s="459" t="s">
        <v>2373</v>
      </c>
      <c r="G219" s="460" t="s">
        <v>536</v>
      </c>
      <c r="H219" s="461">
        <v>15.75</v>
      </c>
      <c r="I219" s="330">
        <v>0</v>
      </c>
      <c r="J219" s="462">
        <f t="shared" si="60"/>
        <v>0</v>
      </c>
      <c r="K219" s="463"/>
      <c r="L219" s="464"/>
      <c r="M219" s="465" t="s">
        <v>171</v>
      </c>
      <c r="N219" s="466" t="s">
        <v>185</v>
      </c>
      <c r="O219" s="453">
        <v>0</v>
      </c>
      <c r="P219" s="453">
        <f t="shared" si="61"/>
        <v>0</v>
      </c>
      <c r="Q219" s="453">
        <v>1E-3</v>
      </c>
      <c r="R219" s="453">
        <f t="shared" si="62"/>
        <v>1.575E-2</v>
      </c>
      <c r="S219" s="453">
        <v>0</v>
      </c>
      <c r="T219" s="454">
        <f t="shared" si="63"/>
        <v>0</v>
      </c>
      <c r="AR219" s="455" t="s">
        <v>1631</v>
      </c>
      <c r="AT219" s="455" t="s">
        <v>259</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1631</v>
      </c>
      <c r="BM219" s="455" t="s">
        <v>2784</v>
      </c>
    </row>
    <row r="220" spans="2:65" s="365" customFormat="1" ht="24.2" customHeight="1" x14ac:dyDescent="0.25">
      <c r="B220" s="364"/>
      <c r="C220" s="445" t="s">
        <v>637</v>
      </c>
      <c r="D220" s="445" t="s">
        <v>218</v>
      </c>
      <c r="E220" s="446" t="s">
        <v>2375</v>
      </c>
      <c r="F220" s="447" t="s">
        <v>2376</v>
      </c>
      <c r="G220" s="448" t="s">
        <v>113</v>
      </c>
      <c r="H220" s="449">
        <v>470</v>
      </c>
      <c r="I220" s="329">
        <v>0</v>
      </c>
      <c r="J220" s="450">
        <f t="shared" si="60"/>
        <v>0</v>
      </c>
      <c r="K220" s="451"/>
      <c r="L220" s="364"/>
      <c r="M220" s="452" t="s">
        <v>171</v>
      </c>
      <c r="N220" s="415" t="s">
        <v>185</v>
      </c>
      <c r="O220" s="453">
        <v>0.11799999999999999</v>
      </c>
      <c r="P220" s="453">
        <f t="shared" si="61"/>
        <v>55.459999999999994</v>
      </c>
      <c r="Q220" s="453">
        <v>0</v>
      </c>
      <c r="R220" s="453">
        <f t="shared" si="62"/>
        <v>0</v>
      </c>
      <c r="S220" s="453">
        <v>0</v>
      </c>
      <c r="T220" s="454">
        <f t="shared" si="63"/>
        <v>0</v>
      </c>
      <c r="AR220" s="455" t="s">
        <v>625</v>
      </c>
      <c r="AT220" s="455" t="s">
        <v>218</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625</v>
      </c>
      <c r="BM220" s="455" t="s">
        <v>2785</v>
      </c>
    </row>
    <row r="221" spans="2:65" s="365" customFormat="1" ht="16.5" customHeight="1" x14ac:dyDescent="0.25">
      <c r="B221" s="364"/>
      <c r="C221" s="457" t="s">
        <v>640</v>
      </c>
      <c r="D221" s="457" t="s">
        <v>259</v>
      </c>
      <c r="E221" s="458" t="s">
        <v>2378</v>
      </c>
      <c r="F221" s="459" t="s">
        <v>2379</v>
      </c>
      <c r="G221" s="460" t="s">
        <v>536</v>
      </c>
      <c r="H221" s="461">
        <v>442.74</v>
      </c>
      <c r="I221" s="330">
        <v>0</v>
      </c>
      <c r="J221" s="462">
        <f t="shared" si="60"/>
        <v>0</v>
      </c>
      <c r="K221" s="463"/>
      <c r="L221" s="464"/>
      <c r="M221" s="465" t="s">
        <v>171</v>
      </c>
      <c r="N221" s="466" t="s">
        <v>185</v>
      </c>
      <c r="O221" s="453">
        <v>0</v>
      </c>
      <c r="P221" s="453">
        <f t="shared" si="61"/>
        <v>0</v>
      </c>
      <c r="Q221" s="453">
        <v>1E-3</v>
      </c>
      <c r="R221" s="453">
        <f t="shared" si="62"/>
        <v>0.44274000000000002</v>
      </c>
      <c r="S221" s="453">
        <v>0</v>
      </c>
      <c r="T221" s="454">
        <f t="shared" si="63"/>
        <v>0</v>
      </c>
      <c r="AR221" s="455" t="s">
        <v>1631</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1631</v>
      </c>
      <c r="BM221" s="455" t="s">
        <v>2786</v>
      </c>
    </row>
    <row r="222" spans="2:65" s="365" customFormat="1" ht="16.5" customHeight="1" x14ac:dyDescent="0.25">
      <c r="B222" s="364"/>
      <c r="C222" s="445" t="s">
        <v>644</v>
      </c>
      <c r="D222" s="445" t="s">
        <v>218</v>
      </c>
      <c r="E222" s="446" t="s">
        <v>2387</v>
      </c>
      <c r="F222" s="447" t="s">
        <v>2388</v>
      </c>
      <c r="G222" s="448" t="s">
        <v>123</v>
      </c>
      <c r="H222" s="449">
        <v>17</v>
      </c>
      <c r="I222" s="329">
        <v>0</v>
      </c>
      <c r="J222" s="450">
        <f t="shared" si="60"/>
        <v>0</v>
      </c>
      <c r="K222" s="451"/>
      <c r="L222" s="364"/>
      <c r="M222" s="452" t="s">
        <v>171</v>
      </c>
      <c r="N222" s="415" t="s">
        <v>185</v>
      </c>
      <c r="O222" s="453">
        <v>0.11700000000000001</v>
      </c>
      <c r="P222" s="453">
        <f t="shared" si="61"/>
        <v>1.9890000000000001</v>
      </c>
      <c r="Q222" s="453">
        <v>0</v>
      </c>
      <c r="R222" s="453">
        <f t="shared" si="62"/>
        <v>0</v>
      </c>
      <c r="S222" s="453">
        <v>0</v>
      </c>
      <c r="T222" s="454">
        <f t="shared" si="63"/>
        <v>0</v>
      </c>
      <c r="AR222" s="455" t="s">
        <v>625</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625</v>
      </c>
      <c r="BM222" s="455" t="s">
        <v>2787</v>
      </c>
    </row>
    <row r="223" spans="2:65" s="365" customFormat="1" ht="16.5" customHeight="1" x14ac:dyDescent="0.25">
      <c r="B223" s="364"/>
      <c r="C223" s="457" t="s">
        <v>645</v>
      </c>
      <c r="D223" s="457" t="s">
        <v>259</v>
      </c>
      <c r="E223" s="458" t="s">
        <v>2390</v>
      </c>
      <c r="F223" s="459" t="s">
        <v>2391</v>
      </c>
      <c r="G223" s="460" t="s">
        <v>123</v>
      </c>
      <c r="H223" s="461">
        <v>17</v>
      </c>
      <c r="I223" s="330">
        <v>0</v>
      </c>
      <c r="J223" s="462">
        <f t="shared" si="60"/>
        <v>0</v>
      </c>
      <c r="K223" s="463"/>
      <c r="L223" s="464"/>
      <c r="M223" s="465" t="s">
        <v>171</v>
      </c>
      <c r="N223" s="466" t="s">
        <v>185</v>
      </c>
      <c r="O223" s="453">
        <v>0</v>
      </c>
      <c r="P223" s="453">
        <f t="shared" si="61"/>
        <v>0</v>
      </c>
      <c r="Q223" s="453">
        <v>1.3999999999999999E-4</v>
      </c>
      <c r="R223" s="453">
        <f t="shared" si="62"/>
        <v>2.3799999999999997E-3</v>
      </c>
      <c r="S223" s="453">
        <v>0</v>
      </c>
      <c r="T223" s="454">
        <f t="shared" si="63"/>
        <v>0</v>
      </c>
      <c r="AR223" s="455" t="s">
        <v>1631</v>
      </c>
      <c r="AT223" s="455" t="s">
        <v>259</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1631</v>
      </c>
      <c r="BM223" s="455" t="s">
        <v>2788</v>
      </c>
    </row>
    <row r="224" spans="2:65" s="365" customFormat="1" ht="21.75" customHeight="1" x14ac:dyDescent="0.25">
      <c r="B224" s="364"/>
      <c r="C224" s="445" t="s">
        <v>651</v>
      </c>
      <c r="D224" s="445" t="s">
        <v>218</v>
      </c>
      <c r="E224" s="446" t="s">
        <v>2393</v>
      </c>
      <c r="F224" s="447" t="s">
        <v>2394</v>
      </c>
      <c r="G224" s="448" t="s">
        <v>113</v>
      </c>
      <c r="H224" s="449">
        <v>555</v>
      </c>
      <c r="I224" s="329">
        <v>0</v>
      </c>
      <c r="J224" s="450">
        <f t="shared" si="60"/>
        <v>0</v>
      </c>
      <c r="K224" s="451"/>
      <c r="L224" s="364"/>
      <c r="M224" s="452" t="s">
        <v>171</v>
      </c>
      <c r="N224" s="415" t="s">
        <v>185</v>
      </c>
      <c r="O224" s="453">
        <v>5.1999999999999998E-2</v>
      </c>
      <c r="P224" s="453">
        <f t="shared" si="61"/>
        <v>28.86</v>
      </c>
      <c r="Q224" s="453">
        <v>0</v>
      </c>
      <c r="R224" s="453">
        <f t="shared" si="62"/>
        <v>0</v>
      </c>
      <c r="S224" s="453">
        <v>0</v>
      </c>
      <c r="T224" s="454">
        <f t="shared" si="63"/>
        <v>0</v>
      </c>
      <c r="AR224" s="455" t="s">
        <v>625</v>
      </c>
      <c r="AT224" s="455" t="s">
        <v>218</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625</v>
      </c>
      <c r="BM224" s="455" t="s">
        <v>2789</v>
      </c>
    </row>
    <row r="225" spans="2:65" s="365" customFormat="1" ht="16.5" customHeight="1" x14ac:dyDescent="0.25">
      <c r="B225" s="364"/>
      <c r="C225" s="457" t="s">
        <v>655</v>
      </c>
      <c r="D225" s="457" t="s">
        <v>259</v>
      </c>
      <c r="E225" s="458" t="s">
        <v>2396</v>
      </c>
      <c r="F225" s="459" t="s">
        <v>2397</v>
      </c>
      <c r="G225" s="460" t="s">
        <v>113</v>
      </c>
      <c r="H225" s="461">
        <v>555</v>
      </c>
      <c r="I225" s="330">
        <v>0</v>
      </c>
      <c r="J225" s="462">
        <f t="shared" si="60"/>
        <v>0</v>
      </c>
      <c r="K225" s="463"/>
      <c r="L225" s="464"/>
      <c r="M225" s="465" t="s">
        <v>171</v>
      </c>
      <c r="N225" s="466" t="s">
        <v>185</v>
      </c>
      <c r="O225" s="453">
        <v>0</v>
      </c>
      <c r="P225" s="453">
        <f t="shared" si="61"/>
        <v>0</v>
      </c>
      <c r="Q225" s="453">
        <v>6.2E-4</v>
      </c>
      <c r="R225" s="453">
        <f t="shared" si="62"/>
        <v>0.34410000000000002</v>
      </c>
      <c r="S225" s="453">
        <v>0</v>
      </c>
      <c r="T225" s="454">
        <f t="shared" si="63"/>
        <v>0</v>
      </c>
      <c r="AR225" s="455" t="s">
        <v>1631</v>
      </c>
      <c r="AT225" s="455" t="s">
        <v>259</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1631</v>
      </c>
      <c r="BM225" s="455" t="s">
        <v>2790</v>
      </c>
    </row>
    <row r="226" spans="2:65" s="365" customFormat="1" ht="21.75" customHeight="1" x14ac:dyDescent="0.25">
      <c r="B226" s="364"/>
      <c r="C226" s="445" t="s">
        <v>659</v>
      </c>
      <c r="D226" s="445" t="s">
        <v>218</v>
      </c>
      <c r="E226" s="446" t="s">
        <v>2405</v>
      </c>
      <c r="F226" s="447" t="s">
        <v>2406</v>
      </c>
      <c r="G226" s="448" t="s">
        <v>113</v>
      </c>
      <c r="H226" s="449">
        <v>576</v>
      </c>
      <c r="I226" s="329">
        <v>0</v>
      </c>
      <c r="J226" s="450">
        <f t="shared" si="60"/>
        <v>0</v>
      </c>
      <c r="K226" s="451"/>
      <c r="L226" s="364"/>
      <c r="M226" s="452" t="s">
        <v>171</v>
      </c>
      <c r="N226" s="415" t="s">
        <v>185</v>
      </c>
      <c r="O226" s="453">
        <v>0.02</v>
      </c>
      <c r="P226" s="453">
        <f t="shared" si="61"/>
        <v>11.52</v>
      </c>
      <c r="Q226" s="453">
        <v>0</v>
      </c>
      <c r="R226" s="453">
        <f t="shared" si="62"/>
        <v>0</v>
      </c>
      <c r="S226" s="453">
        <v>0</v>
      </c>
      <c r="T226" s="454">
        <f t="shared" si="63"/>
        <v>0</v>
      </c>
      <c r="AR226" s="455" t="s">
        <v>625</v>
      </c>
      <c r="AT226" s="455" t="s">
        <v>218</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625</v>
      </c>
      <c r="BM226" s="455" t="s">
        <v>2791</v>
      </c>
    </row>
    <row r="227" spans="2:65" s="365" customFormat="1" ht="21.75" customHeight="1" x14ac:dyDescent="0.25">
      <c r="B227" s="364"/>
      <c r="C227" s="445" t="s">
        <v>664</v>
      </c>
      <c r="D227" s="445" t="s">
        <v>218</v>
      </c>
      <c r="E227" s="446" t="s">
        <v>2554</v>
      </c>
      <c r="F227" s="447" t="s">
        <v>2555</v>
      </c>
      <c r="G227" s="448" t="s">
        <v>113</v>
      </c>
      <c r="H227" s="449">
        <v>15</v>
      </c>
      <c r="I227" s="329">
        <v>0</v>
      </c>
      <c r="J227" s="450">
        <f t="shared" si="60"/>
        <v>0</v>
      </c>
      <c r="K227" s="451"/>
      <c r="L227" s="364"/>
      <c r="M227" s="452" t="s">
        <v>171</v>
      </c>
      <c r="N227" s="415" t="s">
        <v>185</v>
      </c>
      <c r="O227" s="453">
        <v>0.08</v>
      </c>
      <c r="P227" s="453">
        <f t="shared" si="61"/>
        <v>1.2</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2792</v>
      </c>
    </row>
    <row r="228" spans="2:65" s="434" customFormat="1" ht="22.9" customHeight="1" x14ac:dyDescent="0.2">
      <c r="B228" s="433"/>
      <c r="D228" s="435" t="s">
        <v>216</v>
      </c>
      <c r="E228" s="443" t="s">
        <v>1770</v>
      </c>
      <c r="F228" s="443" t="s">
        <v>1771</v>
      </c>
      <c r="I228" s="467"/>
      <c r="J228" s="444">
        <f>BK228</f>
        <v>0</v>
      </c>
      <c r="L228" s="433"/>
      <c r="M228" s="438"/>
      <c r="P228" s="439">
        <f>SUM(P229:P241)</f>
        <v>545.45426430000009</v>
      </c>
      <c r="R228" s="439">
        <f>SUM(R229:R241)</f>
        <v>28.334810000000001</v>
      </c>
      <c r="T228" s="440">
        <f>SUM(T229:T241)</f>
        <v>0</v>
      </c>
      <c r="AR228" s="435" t="s">
        <v>119</v>
      </c>
      <c r="AT228" s="441" t="s">
        <v>216</v>
      </c>
      <c r="AU228" s="441" t="s">
        <v>109</v>
      </c>
      <c r="AY228" s="435" t="s">
        <v>217</v>
      </c>
      <c r="BK228" s="442">
        <f>SUM(BK229:BK241)</f>
        <v>0</v>
      </c>
    </row>
    <row r="229" spans="2:65" s="365" customFormat="1" ht="24.2" customHeight="1" x14ac:dyDescent="0.25">
      <c r="B229" s="364"/>
      <c r="C229" s="445" t="s">
        <v>670</v>
      </c>
      <c r="D229" s="445" t="s">
        <v>218</v>
      </c>
      <c r="E229" s="446" t="s">
        <v>1787</v>
      </c>
      <c r="F229" s="447" t="s">
        <v>1788</v>
      </c>
      <c r="G229" s="448" t="s">
        <v>114</v>
      </c>
      <c r="H229" s="449">
        <v>9.298</v>
      </c>
      <c r="I229" s="329">
        <v>0</v>
      </c>
      <c r="J229" s="450">
        <f t="shared" ref="J229:J241" si="70">ROUND(I229*H229,2)</f>
        <v>0</v>
      </c>
      <c r="K229" s="451"/>
      <c r="L229" s="364"/>
      <c r="M229" s="452" t="s">
        <v>171</v>
      </c>
      <c r="N229" s="415" t="s">
        <v>185</v>
      </c>
      <c r="O229" s="453">
        <v>2.9211</v>
      </c>
      <c r="P229" s="453">
        <f t="shared" ref="P229:P241" si="71">O229*H229</f>
        <v>27.160387799999999</v>
      </c>
      <c r="Q229" s="453">
        <v>0</v>
      </c>
      <c r="R229" s="453">
        <f t="shared" ref="R229:R241" si="72">Q229*H229</f>
        <v>0</v>
      </c>
      <c r="S229" s="453">
        <v>0</v>
      </c>
      <c r="T229" s="454">
        <f t="shared" ref="T229:T241" si="73">S229*H229</f>
        <v>0</v>
      </c>
      <c r="AR229" s="455" t="s">
        <v>625</v>
      </c>
      <c r="AT229" s="455" t="s">
        <v>218</v>
      </c>
      <c r="AU229" s="455" t="s">
        <v>108</v>
      </c>
      <c r="AY229" s="357" t="s">
        <v>217</v>
      </c>
      <c r="BE229" s="456">
        <f t="shared" ref="BE229:BE241" si="74">IF(N229="základná",J229,0)</f>
        <v>0</v>
      </c>
      <c r="BF229" s="456">
        <f t="shared" ref="BF229:BF241" si="75">IF(N229="znížená",J229,0)</f>
        <v>0</v>
      </c>
      <c r="BG229" s="456">
        <f t="shared" ref="BG229:BG241" si="76">IF(N229="zákl. prenesená",J229,0)</f>
        <v>0</v>
      </c>
      <c r="BH229" s="456">
        <f t="shared" ref="BH229:BH241" si="77">IF(N229="zníž. prenesená",J229,0)</f>
        <v>0</v>
      </c>
      <c r="BI229" s="456">
        <f t="shared" ref="BI229:BI241" si="78">IF(N229="nulová",J229,0)</f>
        <v>0</v>
      </c>
      <c r="BJ229" s="357" t="s">
        <v>108</v>
      </c>
      <c r="BK229" s="456">
        <f t="shared" ref="BK229:BK241" si="79">ROUND(I229*H229,2)</f>
        <v>0</v>
      </c>
      <c r="BL229" s="357" t="s">
        <v>625</v>
      </c>
      <c r="BM229" s="455" t="s">
        <v>2793</v>
      </c>
    </row>
    <row r="230" spans="2:65" s="365" customFormat="1" ht="24.2" customHeight="1" x14ac:dyDescent="0.25">
      <c r="B230" s="364"/>
      <c r="C230" s="445" t="s">
        <v>674</v>
      </c>
      <c r="D230" s="445" t="s">
        <v>218</v>
      </c>
      <c r="E230" s="446" t="s">
        <v>2409</v>
      </c>
      <c r="F230" s="447" t="s">
        <v>2410</v>
      </c>
      <c r="G230" s="448" t="s">
        <v>113</v>
      </c>
      <c r="H230" s="449">
        <v>451</v>
      </c>
      <c r="I230" s="329">
        <v>0</v>
      </c>
      <c r="J230" s="450">
        <f t="shared" si="70"/>
        <v>0</v>
      </c>
      <c r="K230" s="451"/>
      <c r="L230" s="364"/>
      <c r="M230" s="452" t="s">
        <v>171</v>
      </c>
      <c r="N230" s="415" t="s">
        <v>185</v>
      </c>
      <c r="O230" s="453">
        <v>0.71109999999999995</v>
      </c>
      <c r="P230" s="453">
        <f t="shared" si="71"/>
        <v>320.70609999999999</v>
      </c>
      <c r="Q230" s="453">
        <v>0</v>
      </c>
      <c r="R230" s="453">
        <f t="shared" si="72"/>
        <v>0</v>
      </c>
      <c r="S230" s="453">
        <v>0</v>
      </c>
      <c r="T230" s="454">
        <f t="shared" si="73"/>
        <v>0</v>
      </c>
      <c r="AR230" s="455" t="s">
        <v>625</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625</v>
      </c>
      <c r="BM230" s="455" t="s">
        <v>2794</v>
      </c>
    </row>
    <row r="231" spans="2:65" s="365" customFormat="1" ht="24.2" customHeight="1" x14ac:dyDescent="0.25">
      <c r="B231" s="364"/>
      <c r="C231" s="445" t="s">
        <v>678</v>
      </c>
      <c r="D231" s="445" t="s">
        <v>218</v>
      </c>
      <c r="E231" s="446" t="s">
        <v>2412</v>
      </c>
      <c r="F231" s="447" t="s">
        <v>2413</v>
      </c>
      <c r="G231" s="448" t="s">
        <v>113</v>
      </c>
      <c r="H231" s="449">
        <v>10</v>
      </c>
      <c r="I231" s="329">
        <v>0</v>
      </c>
      <c r="J231" s="450">
        <f t="shared" si="70"/>
        <v>0</v>
      </c>
      <c r="K231" s="451"/>
      <c r="L231" s="364"/>
      <c r="M231" s="452" t="s">
        <v>171</v>
      </c>
      <c r="N231" s="415" t="s">
        <v>185</v>
      </c>
      <c r="O231" s="453">
        <v>0.94769999999999999</v>
      </c>
      <c r="P231" s="453">
        <f t="shared" si="71"/>
        <v>9.4770000000000003</v>
      </c>
      <c r="Q231" s="453">
        <v>0</v>
      </c>
      <c r="R231" s="453">
        <f t="shared" si="72"/>
        <v>0</v>
      </c>
      <c r="S231" s="453">
        <v>0</v>
      </c>
      <c r="T231" s="454">
        <f t="shared" si="73"/>
        <v>0</v>
      </c>
      <c r="AR231" s="455" t="s">
        <v>625</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625</v>
      </c>
      <c r="BM231" s="455" t="s">
        <v>2795</v>
      </c>
    </row>
    <row r="232" spans="2:65" s="365" customFormat="1" ht="24.2" customHeight="1" x14ac:dyDescent="0.25">
      <c r="B232" s="364"/>
      <c r="C232" s="445" t="s">
        <v>903</v>
      </c>
      <c r="D232" s="445" t="s">
        <v>218</v>
      </c>
      <c r="E232" s="446" t="s">
        <v>2682</v>
      </c>
      <c r="F232" s="447" t="s">
        <v>2683</v>
      </c>
      <c r="G232" s="448" t="s">
        <v>113</v>
      </c>
      <c r="H232" s="449">
        <v>10</v>
      </c>
      <c r="I232" s="329">
        <v>0</v>
      </c>
      <c r="J232" s="450">
        <f t="shared" si="70"/>
        <v>0</v>
      </c>
      <c r="K232" s="451"/>
      <c r="L232" s="364"/>
      <c r="M232" s="452" t="s">
        <v>171</v>
      </c>
      <c r="N232" s="415" t="s">
        <v>185</v>
      </c>
      <c r="O232" s="453">
        <v>3.028</v>
      </c>
      <c r="P232" s="453">
        <f t="shared" si="71"/>
        <v>30.28</v>
      </c>
      <c r="Q232" s="453">
        <v>0</v>
      </c>
      <c r="R232" s="453">
        <f t="shared" si="72"/>
        <v>0</v>
      </c>
      <c r="S232" s="453">
        <v>0</v>
      </c>
      <c r="T232" s="454">
        <f t="shared" si="73"/>
        <v>0</v>
      </c>
      <c r="AR232" s="455" t="s">
        <v>625</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625</v>
      </c>
      <c r="BM232" s="455" t="s">
        <v>2796</v>
      </c>
    </row>
    <row r="233" spans="2:65" s="365" customFormat="1" ht="24.2" customHeight="1" x14ac:dyDescent="0.25">
      <c r="B233" s="364"/>
      <c r="C233" s="445" t="s">
        <v>907</v>
      </c>
      <c r="D233" s="445" t="s">
        <v>218</v>
      </c>
      <c r="E233" s="446" t="s">
        <v>2421</v>
      </c>
      <c r="F233" s="447" t="s">
        <v>2422</v>
      </c>
      <c r="G233" s="448" t="s">
        <v>113</v>
      </c>
      <c r="H233" s="449">
        <v>461</v>
      </c>
      <c r="I233" s="329">
        <v>0</v>
      </c>
      <c r="J233" s="450">
        <f t="shared" si="70"/>
        <v>0</v>
      </c>
      <c r="K233" s="451"/>
      <c r="L233" s="364"/>
      <c r="M233" s="452" t="s">
        <v>171</v>
      </c>
      <c r="N233" s="415" t="s">
        <v>185</v>
      </c>
      <c r="O233" s="453">
        <v>0.1469</v>
      </c>
      <c r="P233" s="453">
        <f t="shared" si="71"/>
        <v>67.7209</v>
      </c>
      <c r="Q233" s="453">
        <v>0</v>
      </c>
      <c r="R233" s="453">
        <f t="shared" si="72"/>
        <v>0</v>
      </c>
      <c r="S233" s="453">
        <v>0</v>
      </c>
      <c r="T233" s="454">
        <f t="shared" si="73"/>
        <v>0</v>
      </c>
      <c r="AR233" s="455" t="s">
        <v>625</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625</v>
      </c>
      <c r="BM233" s="455" t="s">
        <v>2797</v>
      </c>
    </row>
    <row r="234" spans="2:65" s="365" customFormat="1" ht="16.5" customHeight="1" x14ac:dyDescent="0.25">
      <c r="B234" s="364"/>
      <c r="C234" s="457" t="s">
        <v>911</v>
      </c>
      <c r="D234" s="457" t="s">
        <v>259</v>
      </c>
      <c r="E234" s="458" t="s">
        <v>2424</v>
      </c>
      <c r="F234" s="459" t="s">
        <v>2425</v>
      </c>
      <c r="G234" s="460" t="s">
        <v>112</v>
      </c>
      <c r="H234" s="461">
        <v>28.238</v>
      </c>
      <c r="I234" s="330">
        <v>0</v>
      </c>
      <c r="J234" s="462">
        <f t="shared" si="70"/>
        <v>0</v>
      </c>
      <c r="K234" s="463"/>
      <c r="L234" s="464"/>
      <c r="M234" s="465" t="s">
        <v>171</v>
      </c>
      <c r="N234" s="466" t="s">
        <v>185</v>
      </c>
      <c r="O234" s="453">
        <v>0</v>
      </c>
      <c r="P234" s="453">
        <f t="shared" si="71"/>
        <v>0</v>
      </c>
      <c r="Q234" s="453">
        <v>1</v>
      </c>
      <c r="R234" s="453">
        <f t="shared" si="72"/>
        <v>28.238</v>
      </c>
      <c r="S234" s="453">
        <v>0</v>
      </c>
      <c r="T234" s="454">
        <f t="shared" si="73"/>
        <v>0</v>
      </c>
      <c r="AR234" s="455" t="s">
        <v>1795</v>
      </c>
      <c r="AT234" s="455" t="s">
        <v>259</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625</v>
      </c>
      <c r="BM234" s="455" t="s">
        <v>2798</v>
      </c>
    </row>
    <row r="235" spans="2:65" s="365" customFormat="1" ht="24.2" customHeight="1" x14ac:dyDescent="0.25">
      <c r="B235" s="364"/>
      <c r="C235" s="445" t="s">
        <v>915</v>
      </c>
      <c r="D235" s="445" t="s">
        <v>218</v>
      </c>
      <c r="E235" s="446" t="s">
        <v>2427</v>
      </c>
      <c r="F235" s="447" t="s">
        <v>2428</v>
      </c>
      <c r="G235" s="448" t="s">
        <v>113</v>
      </c>
      <c r="H235" s="449">
        <v>461</v>
      </c>
      <c r="I235" s="329">
        <v>0</v>
      </c>
      <c r="J235" s="450">
        <f t="shared" si="70"/>
        <v>0</v>
      </c>
      <c r="K235" s="451"/>
      <c r="L235" s="364"/>
      <c r="M235" s="452" t="s">
        <v>171</v>
      </c>
      <c r="N235" s="415" t="s">
        <v>185</v>
      </c>
      <c r="O235" s="453">
        <v>3.2500000000000001E-2</v>
      </c>
      <c r="P235" s="453">
        <f t="shared" si="71"/>
        <v>14.9825</v>
      </c>
      <c r="Q235" s="453">
        <v>0</v>
      </c>
      <c r="R235" s="453">
        <f t="shared" si="72"/>
        <v>0</v>
      </c>
      <c r="S235" s="453">
        <v>0</v>
      </c>
      <c r="T235" s="454">
        <f t="shared" si="73"/>
        <v>0</v>
      </c>
      <c r="AR235" s="455" t="s">
        <v>625</v>
      </c>
      <c r="AT235" s="455" t="s">
        <v>218</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625</v>
      </c>
      <c r="BM235" s="455" t="s">
        <v>2799</v>
      </c>
    </row>
    <row r="236" spans="2:65" s="365" customFormat="1" ht="24.2" customHeight="1" x14ac:dyDescent="0.25">
      <c r="B236" s="364"/>
      <c r="C236" s="457" t="s">
        <v>919</v>
      </c>
      <c r="D236" s="457" t="s">
        <v>259</v>
      </c>
      <c r="E236" s="458" t="s">
        <v>2430</v>
      </c>
      <c r="F236" s="459" t="s">
        <v>2431</v>
      </c>
      <c r="G236" s="460" t="s">
        <v>113</v>
      </c>
      <c r="H236" s="461">
        <v>461</v>
      </c>
      <c r="I236" s="330">
        <v>0</v>
      </c>
      <c r="J236" s="462">
        <f t="shared" si="70"/>
        <v>0</v>
      </c>
      <c r="K236" s="463"/>
      <c r="L236" s="464"/>
      <c r="M236" s="465" t="s">
        <v>171</v>
      </c>
      <c r="N236" s="466" t="s">
        <v>185</v>
      </c>
      <c r="O236" s="453">
        <v>0</v>
      </c>
      <c r="P236" s="453">
        <f t="shared" si="71"/>
        <v>0</v>
      </c>
      <c r="Q236" s="453">
        <v>2.1000000000000001E-4</v>
      </c>
      <c r="R236" s="453">
        <f t="shared" si="72"/>
        <v>9.6810000000000007E-2</v>
      </c>
      <c r="S236" s="453">
        <v>0</v>
      </c>
      <c r="T236" s="454">
        <f t="shared" si="73"/>
        <v>0</v>
      </c>
      <c r="AR236" s="455" t="s">
        <v>1631</v>
      </c>
      <c r="AT236" s="455" t="s">
        <v>259</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1631</v>
      </c>
      <c r="BM236" s="455" t="s">
        <v>2800</v>
      </c>
    </row>
    <row r="237" spans="2:65" s="365" customFormat="1" ht="33" customHeight="1" x14ac:dyDescent="0.25">
      <c r="B237" s="364"/>
      <c r="C237" s="445" t="s">
        <v>923</v>
      </c>
      <c r="D237" s="445" t="s">
        <v>218</v>
      </c>
      <c r="E237" s="446" t="s">
        <v>2433</v>
      </c>
      <c r="F237" s="447" t="s">
        <v>2434</v>
      </c>
      <c r="G237" s="448" t="s">
        <v>113</v>
      </c>
      <c r="H237" s="449">
        <v>451</v>
      </c>
      <c r="I237" s="329">
        <v>0</v>
      </c>
      <c r="J237" s="450">
        <f t="shared" si="70"/>
        <v>0</v>
      </c>
      <c r="K237" s="451"/>
      <c r="L237" s="364"/>
      <c r="M237" s="452" t="s">
        <v>171</v>
      </c>
      <c r="N237" s="415" t="s">
        <v>185</v>
      </c>
      <c r="O237" s="453">
        <v>0.1235</v>
      </c>
      <c r="P237" s="453">
        <f t="shared" si="71"/>
        <v>55.698500000000003</v>
      </c>
      <c r="Q237" s="453">
        <v>0</v>
      </c>
      <c r="R237" s="453">
        <f t="shared" si="72"/>
        <v>0</v>
      </c>
      <c r="S237" s="453">
        <v>0</v>
      </c>
      <c r="T237" s="454">
        <f t="shared" si="73"/>
        <v>0</v>
      </c>
      <c r="AR237" s="455" t="s">
        <v>625</v>
      </c>
      <c r="AT237" s="455" t="s">
        <v>218</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625</v>
      </c>
      <c r="BM237" s="455" t="s">
        <v>2801</v>
      </c>
    </row>
    <row r="238" spans="2:65" s="365" customFormat="1" ht="33" customHeight="1" x14ac:dyDescent="0.25">
      <c r="B238" s="364"/>
      <c r="C238" s="445" t="s">
        <v>925</v>
      </c>
      <c r="D238" s="445" t="s">
        <v>218</v>
      </c>
      <c r="E238" s="446" t="s">
        <v>2436</v>
      </c>
      <c r="F238" s="447" t="s">
        <v>2437</v>
      </c>
      <c r="G238" s="448" t="s">
        <v>113</v>
      </c>
      <c r="H238" s="449">
        <v>10</v>
      </c>
      <c r="I238" s="329">
        <v>0</v>
      </c>
      <c r="J238" s="450">
        <f t="shared" si="70"/>
        <v>0</v>
      </c>
      <c r="K238" s="451"/>
      <c r="L238" s="364"/>
      <c r="M238" s="452" t="s">
        <v>171</v>
      </c>
      <c r="N238" s="415" t="s">
        <v>185</v>
      </c>
      <c r="O238" s="453">
        <v>0.17549999999999999</v>
      </c>
      <c r="P238" s="453">
        <f t="shared" si="71"/>
        <v>1.7549999999999999</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2802</v>
      </c>
    </row>
    <row r="239" spans="2:65" s="365" customFormat="1" ht="33" customHeight="1" x14ac:dyDescent="0.25">
      <c r="B239" s="364"/>
      <c r="C239" s="445" t="s">
        <v>928</v>
      </c>
      <c r="D239" s="445" t="s">
        <v>218</v>
      </c>
      <c r="E239" s="446" t="s">
        <v>2694</v>
      </c>
      <c r="F239" s="447" t="s">
        <v>2695</v>
      </c>
      <c r="G239" s="448" t="s">
        <v>113</v>
      </c>
      <c r="H239" s="449">
        <v>10</v>
      </c>
      <c r="I239" s="329">
        <v>0</v>
      </c>
      <c r="J239" s="450">
        <f t="shared" si="70"/>
        <v>0</v>
      </c>
      <c r="K239" s="451"/>
      <c r="L239" s="364"/>
      <c r="M239" s="452" t="s">
        <v>171</v>
      </c>
      <c r="N239" s="415" t="s">
        <v>185</v>
      </c>
      <c r="O239" s="453">
        <v>0.5</v>
      </c>
      <c r="P239" s="453">
        <f t="shared" si="71"/>
        <v>5</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2803</v>
      </c>
    </row>
    <row r="240" spans="2:65" s="365" customFormat="1" ht="24.2" customHeight="1" x14ac:dyDescent="0.25">
      <c r="B240" s="364"/>
      <c r="C240" s="445" t="s">
        <v>931</v>
      </c>
      <c r="D240" s="445" t="s">
        <v>218</v>
      </c>
      <c r="E240" s="446" t="s">
        <v>2574</v>
      </c>
      <c r="F240" s="447" t="s">
        <v>2575</v>
      </c>
      <c r="G240" s="448" t="s">
        <v>114</v>
      </c>
      <c r="H240" s="449">
        <v>25.91</v>
      </c>
      <c r="I240" s="329">
        <v>0</v>
      </c>
      <c r="J240" s="450">
        <f t="shared" si="70"/>
        <v>0</v>
      </c>
      <c r="K240" s="451"/>
      <c r="L240" s="364"/>
      <c r="M240" s="452" t="s">
        <v>171</v>
      </c>
      <c r="N240" s="415" t="s">
        <v>185</v>
      </c>
      <c r="O240" s="453">
        <v>0.3049</v>
      </c>
      <c r="P240" s="453">
        <f t="shared" si="71"/>
        <v>7.899959</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2804</v>
      </c>
    </row>
    <row r="241" spans="2:65" s="365" customFormat="1" ht="24.2" customHeight="1" x14ac:dyDescent="0.25">
      <c r="B241" s="364"/>
      <c r="C241" s="445" t="s">
        <v>933</v>
      </c>
      <c r="D241" s="445" t="s">
        <v>218</v>
      </c>
      <c r="E241" s="446" t="s">
        <v>2577</v>
      </c>
      <c r="F241" s="447" t="s">
        <v>2578</v>
      </c>
      <c r="G241" s="448" t="s">
        <v>114</v>
      </c>
      <c r="H241" s="449">
        <v>647.75</v>
      </c>
      <c r="I241" s="329">
        <v>0</v>
      </c>
      <c r="J241" s="450">
        <f t="shared" si="70"/>
        <v>0</v>
      </c>
      <c r="K241" s="451"/>
      <c r="L241" s="364"/>
      <c r="M241" s="452" t="s">
        <v>171</v>
      </c>
      <c r="N241" s="415" t="s">
        <v>185</v>
      </c>
      <c r="O241" s="453">
        <v>7.3699999999999998E-3</v>
      </c>
      <c r="P241" s="453">
        <f t="shared" si="71"/>
        <v>4.7739174999999996</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2805</v>
      </c>
    </row>
    <row r="242" spans="2:65" s="434" customFormat="1" ht="25.9" customHeight="1" x14ac:dyDescent="0.2">
      <c r="B242" s="433"/>
      <c r="D242" s="435" t="s">
        <v>216</v>
      </c>
      <c r="E242" s="436" t="s">
        <v>2445</v>
      </c>
      <c r="F242" s="436" t="s">
        <v>2446</v>
      </c>
      <c r="I242" s="467"/>
      <c r="J242" s="437">
        <f>BK242</f>
        <v>0</v>
      </c>
      <c r="L242" s="433"/>
      <c r="M242" s="438"/>
      <c r="P242" s="439">
        <f>SUM(P243:P245)</f>
        <v>137.34</v>
      </c>
      <c r="R242" s="439">
        <f>SUM(R243:R245)</f>
        <v>0</v>
      </c>
      <c r="T242" s="440">
        <f>SUM(T243:T245)</f>
        <v>0</v>
      </c>
      <c r="AR242" s="435" t="s">
        <v>110</v>
      </c>
      <c r="AT242" s="441" t="s">
        <v>216</v>
      </c>
      <c r="AU242" s="441" t="s">
        <v>165</v>
      </c>
      <c r="AY242" s="435" t="s">
        <v>217</v>
      </c>
      <c r="BK242" s="442">
        <f>SUM(BK243:BK245)</f>
        <v>0</v>
      </c>
    </row>
    <row r="243" spans="2:65" s="365" customFormat="1" ht="37.9" customHeight="1" x14ac:dyDescent="0.25">
      <c r="B243" s="364"/>
      <c r="C243" s="445" t="s">
        <v>935</v>
      </c>
      <c r="D243" s="445" t="s">
        <v>218</v>
      </c>
      <c r="E243" s="446" t="s">
        <v>2447</v>
      </c>
      <c r="F243" s="447" t="s">
        <v>2448</v>
      </c>
      <c r="G243" s="448" t="s">
        <v>2010</v>
      </c>
      <c r="H243" s="449">
        <v>60</v>
      </c>
      <c r="I243" s="329">
        <v>0</v>
      </c>
      <c r="J243" s="450">
        <f>ROUND(I243*H243,2)</f>
        <v>0</v>
      </c>
      <c r="K243" s="451"/>
      <c r="L243" s="364"/>
      <c r="M243" s="452" t="s">
        <v>171</v>
      </c>
      <c r="N243" s="415" t="s">
        <v>185</v>
      </c>
      <c r="O243" s="453">
        <v>1.0900000000000001</v>
      </c>
      <c r="P243" s="453">
        <f>O243*H243</f>
        <v>65.400000000000006</v>
      </c>
      <c r="Q243" s="453">
        <v>0</v>
      </c>
      <c r="R243" s="453">
        <f>Q243*H243</f>
        <v>0</v>
      </c>
      <c r="S243" s="453">
        <v>0</v>
      </c>
      <c r="T243" s="454">
        <f>S243*H243</f>
        <v>0</v>
      </c>
      <c r="AR243" s="455" t="s">
        <v>2207</v>
      </c>
      <c r="AT243" s="455" t="s">
        <v>218</v>
      </c>
      <c r="AU243" s="455" t="s">
        <v>109</v>
      </c>
      <c r="AY243" s="357" t="s">
        <v>217</v>
      </c>
      <c r="BE243" s="456">
        <f>IF(N243="základná",J243,0)</f>
        <v>0</v>
      </c>
      <c r="BF243" s="456">
        <f>IF(N243="znížená",J243,0)</f>
        <v>0</v>
      </c>
      <c r="BG243" s="456">
        <f>IF(N243="zákl. prenesená",J243,0)</f>
        <v>0</v>
      </c>
      <c r="BH243" s="456">
        <f>IF(N243="zníž. prenesená",J243,0)</f>
        <v>0</v>
      </c>
      <c r="BI243" s="456">
        <f>IF(N243="nulová",J243,0)</f>
        <v>0</v>
      </c>
      <c r="BJ243" s="357" t="s">
        <v>108</v>
      </c>
      <c r="BK243" s="456">
        <f>ROUND(I243*H243,2)</f>
        <v>0</v>
      </c>
      <c r="BL243" s="357" t="s">
        <v>2207</v>
      </c>
      <c r="BM243" s="455" t="s">
        <v>2806</v>
      </c>
    </row>
    <row r="244" spans="2:65" s="365" customFormat="1" ht="37.9" customHeight="1" x14ac:dyDescent="0.25">
      <c r="B244" s="364"/>
      <c r="C244" s="445" t="s">
        <v>938</v>
      </c>
      <c r="D244" s="445" t="s">
        <v>218</v>
      </c>
      <c r="E244" s="446" t="s">
        <v>2450</v>
      </c>
      <c r="F244" s="447" t="s">
        <v>2451</v>
      </c>
      <c r="G244" s="448" t="s">
        <v>2010</v>
      </c>
      <c r="H244" s="449">
        <v>38</v>
      </c>
      <c r="I244" s="329">
        <v>0</v>
      </c>
      <c r="J244" s="450">
        <f>ROUND(I244*H244,2)</f>
        <v>0</v>
      </c>
      <c r="K244" s="451"/>
      <c r="L244" s="364"/>
      <c r="M244" s="452" t="s">
        <v>171</v>
      </c>
      <c r="N244" s="415" t="s">
        <v>185</v>
      </c>
      <c r="O244" s="453">
        <v>1.0900000000000001</v>
      </c>
      <c r="P244" s="453">
        <f>O244*H244</f>
        <v>41.42</v>
      </c>
      <c r="Q244" s="453">
        <v>0</v>
      </c>
      <c r="R244" s="453">
        <f>Q244*H244</f>
        <v>0</v>
      </c>
      <c r="S244" s="453">
        <v>0</v>
      </c>
      <c r="T244" s="454">
        <f>S244*H244</f>
        <v>0</v>
      </c>
      <c r="AR244" s="455" t="s">
        <v>2207</v>
      </c>
      <c r="AT244" s="455" t="s">
        <v>218</v>
      </c>
      <c r="AU244" s="455" t="s">
        <v>109</v>
      </c>
      <c r="AY244" s="357" t="s">
        <v>217</v>
      </c>
      <c r="BE244" s="456">
        <f>IF(N244="základná",J244,0)</f>
        <v>0</v>
      </c>
      <c r="BF244" s="456">
        <f>IF(N244="znížená",J244,0)</f>
        <v>0</v>
      </c>
      <c r="BG244" s="456">
        <f>IF(N244="zákl. prenesená",J244,0)</f>
        <v>0</v>
      </c>
      <c r="BH244" s="456">
        <f>IF(N244="zníž. prenesená",J244,0)</f>
        <v>0</v>
      </c>
      <c r="BI244" s="456">
        <f>IF(N244="nulová",J244,0)</f>
        <v>0</v>
      </c>
      <c r="BJ244" s="357" t="s">
        <v>108</v>
      </c>
      <c r="BK244" s="456">
        <f>ROUND(I244*H244,2)</f>
        <v>0</v>
      </c>
      <c r="BL244" s="357" t="s">
        <v>2207</v>
      </c>
      <c r="BM244" s="455" t="s">
        <v>2807</v>
      </c>
    </row>
    <row r="245" spans="2:65" s="365" customFormat="1" ht="37.9" customHeight="1" x14ac:dyDescent="0.25">
      <c r="B245" s="364"/>
      <c r="C245" s="445" t="s">
        <v>941</v>
      </c>
      <c r="D245" s="445" t="s">
        <v>218</v>
      </c>
      <c r="E245" s="446" t="s">
        <v>2453</v>
      </c>
      <c r="F245" s="447" t="s">
        <v>2454</v>
      </c>
      <c r="G245" s="448" t="s">
        <v>2010</v>
      </c>
      <c r="H245" s="449">
        <v>28</v>
      </c>
      <c r="I245" s="329">
        <v>0</v>
      </c>
      <c r="J245" s="450">
        <f>ROUND(I245*H245,2)</f>
        <v>0</v>
      </c>
      <c r="K245" s="451"/>
      <c r="L245" s="364"/>
      <c r="M245" s="468" t="s">
        <v>171</v>
      </c>
      <c r="N245" s="469" t="s">
        <v>185</v>
      </c>
      <c r="O245" s="470">
        <v>1.0900000000000001</v>
      </c>
      <c r="P245" s="470">
        <f>O245*H245</f>
        <v>30.520000000000003</v>
      </c>
      <c r="Q245" s="470">
        <v>0</v>
      </c>
      <c r="R245" s="470">
        <f>Q245*H245</f>
        <v>0</v>
      </c>
      <c r="S245" s="470">
        <v>0</v>
      </c>
      <c r="T245" s="471">
        <f>S245*H245</f>
        <v>0</v>
      </c>
      <c r="AR245" s="455" t="s">
        <v>2207</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2207</v>
      </c>
      <c r="BM245" s="455" t="s">
        <v>2808</v>
      </c>
    </row>
    <row r="246" spans="2:65" s="365" customFormat="1" ht="6.95" customHeight="1" x14ac:dyDescent="0.25">
      <c r="B246" s="397"/>
      <c r="C246" s="398"/>
      <c r="D246" s="398"/>
      <c r="E246" s="398"/>
      <c r="F246" s="398"/>
      <c r="G246" s="398"/>
      <c r="H246" s="398"/>
      <c r="I246" s="398"/>
      <c r="J246" s="398"/>
      <c r="K246" s="398"/>
      <c r="L246" s="364"/>
    </row>
  </sheetData>
  <sheetProtection algorithmName="SHA-512" hashValue="OTnIxgrUPTeFBNQo2QVyFw+gChzoonimZf7iDhNVlLjOn+TjpPKJeeHQ76KhU9IvDm/3LVnIBruutTQhi7j1zA==" saltValue="BAjBSDwAGkAt4R2nlrWT1A==" spinCount="100000" sheet="1" objects="1" scenarios="1"/>
  <autoFilter ref="C132:K245" xr:uid="{00000000-0009-0000-0000-000019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00863-E56F-4252-87DC-E8A8166556EB}">
  <sheetPr codeName="Hárok32">
    <pageSetUpPr fitToPage="1"/>
  </sheetPr>
  <dimension ref="A1:CM105"/>
  <sheetViews>
    <sheetView topLeftCell="B1" workbookViewId="0">
      <selection activeCell="B1" sqref="A1:XFD1048576"/>
    </sheetView>
  </sheetViews>
  <sheetFormatPr defaultRowHeight="11.25" x14ac:dyDescent="0.2"/>
  <cols>
    <col min="1" max="1" width="7.140625" style="356" customWidth="1"/>
    <col min="2" max="2" width="1.42578125" style="356" customWidth="1"/>
    <col min="3" max="3" width="3.5703125" style="356" customWidth="1"/>
    <col min="4" max="33" width="2.28515625" style="356" customWidth="1"/>
    <col min="34" max="34" width="2.85546875" style="356" customWidth="1"/>
    <col min="35" max="35" width="27.140625" style="356" customWidth="1"/>
    <col min="36" max="37" width="2.140625" style="356" customWidth="1"/>
    <col min="38" max="38" width="7.140625" style="356" customWidth="1"/>
    <col min="39" max="39" width="2.85546875" style="356" customWidth="1"/>
    <col min="40" max="40" width="11.42578125" style="356" customWidth="1"/>
    <col min="41" max="41" width="6.42578125" style="356" customWidth="1"/>
    <col min="42" max="42" width="3.5703125" style="356" customWidth="1"/>
    <col min="43" max="43" width="13.42578125" style="356" hidden="1" customWidth="1"/>
    <col min="44" max="44" width="11.7109375" style="356" customWidth="1"/>
    <col min="45" max="47" width="22.140625" style="356" hidden="1" customWidth="1"/>
    <col min="48" max="49" width="18.5703125" style="356" hidden="1" customWidth="1"/>
    <col min="50" max="51" width="21.42578125" style="356" hidden="1" customWidth="1"/>
    <col min="52" max="52" width="18.5703125" style="356" hidden="1" customWidth="1"/>
    <col min="53" max="53" width="16.42578125" style="356" hidden="1" customWidth="1"/>
    <col min="54" max="54" width="21.42578125" style="356" hidden="1" customWidth="1"/>
    <col min="55" max="55" width="18.5703125" style="356" hidden="1" customWidth="1"/>
    <col min="56" max="56" width="16.42578125" style="356" hidden="1" customWidth="1"/>
    <col min="57" max="57" width="57" style="356" customWidth="1"/>
    <col min="58" max="16384" width="9.140625" style="356"/>
  </cols>
  <sheetData>
    <row r="1" spans="1:74" x14ac:dyDescent="0.2">
      <c r="A1" s="484" t="s">
        <v>301</v>
      </c>
      <c r="AZ1" s="484" t="s">
        <v>171</v>
      </c>
      <c r="BA1" s="484" t="s">
        <v>302</v>
      </c>
      <c r="BB1" s="484" t="s">
        <v>171</v>
      </c>
      <c r="BT1" s="484" t="s">
        <v>168</v>
      </c>
      <c r="BU1" s="484" t="s">
        <v>168</v>
      </c>
      <c r="BV1" s="484" t="s">
        <v>2809</v>
      </c>
    </row>
    <row r="2" spans="1:74" ht="36.950000000000003" customHeight="1" x14ac:dyDescent="0.2">
      <c r="AR2" s="861" t="s">
        <v>164</v>
      </c>
      <c r="AS2" s="862"/>
      <c r="AT2" s="862"/>
      <c r="AU2" s="862"/>
      <c r="AV2" s="862"/>
      <c r="AW2" s="862"/>
      <c r="AX2" s="862"/>
      <c r="AY2" s="862"/>
      <c r="AZ2" s="862"/>
      <c r="BA2" s="862"/>
      <c r="BB2" s="862"/>
      <c r="BC2" s="862"/>
      <c r="BD2" s="862"/>
      <c r="BE2" s="862"/>
      <c r="BS2" s="357" t="s">
        <v>304</v>
      </c>
      <c r="BT2" s="357" t="s">
        <v>237</v>
      </c>
    </row>
    <row r="3" spans="1:74" ht="6.95" customHeight="1" x14ac:dyDescent="0.2">
      <c r="B3" s="358"/>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60"/>
      <c r="BS3" s="357" t="s">
        <v>304</v>
      </c>
      <c r="BT3" s="357" t="s">
        <v>237</v>
      </c>
    </row>
    <row r="4" spans="1:74" ht="24.95" customHeight="1" x14ac:dyDescent="0.2">
      <c r="B4" s="360"/>
      <c r="D4" s="361" t="s">
        <v>305</v>
      </c>
      <c r="AR4" s="360"/>
      <c r="AS4" s="485" t="s">
        <v>167</v>
      </c>
      <c r="BS4" s="357" t="s">
        <v>306</v>
      </c>
    </row>
    <row r="5" spans="1:74" ht="12" customHeight="1" x14ac:dyDescent="0.2">
      <c r="B5" s="360"/>
      <c r="D5" s="486" t="s">
        <v>307</v>
      </c>
      <c r="K5" s="863" t="s">
        <v>2810</v>
      </c>
      <c r="L5" s="862"/>
      <c r="M5" s="862"/>
      <c r="N5" s="862"/>
      <c r="O5" s="862"/>
      <c r="P5" s="862"/>
      <c r="Q5" s="862"/>
      <c r="R5" s="862"/>
      <c r="S5" s="862"/>
      <c r="T5" s="862"/>
      <c r="U5" s="862"/>
      <c r="V5" s="862"/>
      <c r="W5" s="862"/>
      <c r="X5" s="862"/>
      <c r="Y5" s="862"/>
      <c r="Z5" s="862"/>
      <c r="AA5" s="862"/>
      <c r="AB5" s="862"/>
      <c r="AC5" s="862"/>
      <c r="AD5" s="862"/>
      <c r="AE5" s="862"/>
      <c r="AF5" s="862"/>
      <c r="AG5" s="862"/>
      <c r="AH5" s="862"/>
      <c r="AI5" s="862"/>
      <c r="AJ5" s="862"/>
      <c r="AR5" s="360"/>
      <c r="BS5" s="357" t="s">
        <v>304</v>
      </c>
    </row>
    <row r="6" spans="1:74" ht="36.950000000000003" customHeight="1" x14ac:dyDescent="0.2">
      <c r="B6" s="360"/>
      <c r="D6" s="487" t="s">
        <v>169</v>
      </c>
      <c r="K6" s="867" t="s">
        <v>2811</v>
      </c>
      <c r="L6" s="862"/>
      <c r="M6" s="862"/>
      <c r="N6" s="862"/>
      <c r="O6" s="862"/>
      <c r="P6" s="862"/>
      <c r="Q6" s="862"/>
      <c r="R6" s="862"/>
      <c r="S6" s="862"/>
      <c r="T6" s="862"/>
      <c r="U6" s="862"/>
      <c r="V6" s="862"/>
      <c r="W6" s="862"/>
      <c r="X6" s="862"/>
      <c r="Y6" s="862"/>
      <c r="Z6" s="862"/>
      <c r="AA6" s="862"/>
      <c r="AB6" s="862"/>
      <c r="AC6" s="862"/>
      <c r="AD6" s="862"/>
      <c r="AE6" s="862"/>
      <c r="AF6" s="862"/>
      <c r="AG6" s="862"/>
      <c r="AH6" s="862"/>
      <c r="AI6" s="862"/>
      <c r="AJ6" s="862"/>
      <c r="AR6" s="360"/>
      <c r="BS6" s="357" t="s">
        <v>304</v>
      </c>
    </row>
    <row r="7" spans="1:74" ht="12" customHeight="1" x14ac:dyDescent="0.2">
      <c r="B7" s="360"/>
      <c r="D7" s="363" t="s">
        <v>170</v>
      </c>
      <c r="K7" s="366" t="s">
        <v>171</v>
      </c>
      <c r="AK7" s="363" t="s">
        <v>310</v>
      </c>
      <c r="AN7" s="366" t="s">
        <v>171</v>
      </c>
      <c r="AR7" s="360"/>
      <c r="BS7" s="357" t="s">
        <v>304</v>
      </c>
    </row>
    <row r="8" spans="1:74" ht="12" customHeight="1" x14ac:dyDescent="0.2">
      <c r="B8" s="360"/>
      <c r="D8" s="363" t="s">
        <v>172</v>
      </c>
      <c r="K8" s="366" t="s">
        <v>173</v>
      </c>
      <c r="AK8" s="363" t="s">
        <v>174</v>
      </c>
      <c r="AN8" s="488">
        <v>45908</v>
      </c>
      <c r="AR8" s="360"/>
      <c r="BS8" s="357" t="s">
        <v>304</v>
      </c>
    </row>
    <row r="9" spans="1:74" ht="14.45" customHeight="1" x14ac:dyDescent="0.2">
      <c r="B9" s="360"/>
      <c r="AR9" s="360"/>
      <c r="BS9" s="357" t="s">
        <v>304</v>
      </c>
    </row>
    <row r="10" spans="1:74" ht="12" customHeight="1" x14ac:dyDescent="0.2">
      <c r="B10" s="360"/>
      <c r="D10" s="363" t="s">
        <v>122</v>
      </c>
      <c r="AK10" s="363" t="s">
        <v>29</v>
      </c>
      <c r="AN10" s="366" t="s">
        <v>171</v>
      </c>
      <c r="AR10" s="360"/>
      <c r="BS10" s="357" t="s">
        <v>304</v>
      </c>
    </row>
    <row r="11" spans="1:74" ht="18.399999999999999" customHeight="1" x14ac:dyDescent="0.2">
      <c r="B11" s="360"/>
      <c r="E11" s="366" t="s">
        <v>144</v>
      </c>
      <c r="AK11" s="363" t="s">
        <v>30</v>
      </c>
      <c r="AN11" s="366" t="s">
        <v>171</v>
      </c>
      <c r="AR11" s="360"/>
      <c r="BS11" s="357" t="s">
        <v>304</v>
      </c>
    </row>
    <row r="12" spans="1:74" ht="6.95" customHeight="1" x14ac:dyDescent="0.2">
      <c r="B12" s="360"/>
      <c r="AR12" s="360"/>
      <c r="BS12" s="357" t="s">
        <v>304</v>
      </c>
    </row>
    <row r="13" spans="1:74" ht="12" customHeight="1" x14ac:dyDescent="0.2">
      <c r="B13" s="360"/>
      <c r="D13" s="363" t="s">
        <v>175</v>
      </c>
      <c r="AK13" s="363" t="s">
        <v>29</v>
      </c>
      <c r="AN13" s="366" t="str">
        <f>Ponuka!C7</f>
        <v>Údaj sa automaticky zobrazí aj vo Výkaze výmer</v>
      </c>
      <c r="AR13" s="360"/>
      <c r="BS13" s="357" t="s">
        <v>304</v>
      </c>
    </row>
    <row r="14" spans="1:74" ht="12.75" x14ac:dyDescent="0.2">
      <c r="B14" s="360"/>
      <c r="E14" s="366" t="str">
        <f>Ponuka!C4</f>
        <v>Údaj sa automaticky zobrazí aj vo Výkaze výmer</v>
      </c>
      <c r="AK14" s="363" t="s">
        <v>30</v>
      </c>
      <c r="AN14" s="366" t="str">
        <f>Ponuka!C8</f>
        <v>Údaj sa automaticky zobrazí aj vo Výkaze výmer</v>
      </c>
      <c r="AR14" s="360"/>
      <c r="BS14" s="357" t="s">
        <v>304</v>
      </c>
    </row>
    <row r="15" spans="1:74" ht="6.95" customHeight="1" x14ac:dyDescent="0.2">
      <c r="B15" s="360"/>
      <c r="AR15" s="360"/>
      <c r="BS15" s="357" t="s">
        <v>168</v>
      </c>
    </row>
    <row r="16" spans="1:74" ht="12" customHeight="1" x14ac:dyDescent="0.2">
      <c r="B16" s="360"/>
      <c r="D16" s="363" t="s">
        <v>176</v>
      </c>
      <c r="AK16" s="363" t="s">
        <v>29</v>
      </c>
      <c r="AN16" s="489">
        <v>35849657</v>
      </c>
      <c r="AR16" s="360"/>
      <c r="BS16" s="357" t="s">
        <v>168</v>
      </c>
    </row>
    <row r="17" spans="2:71" ht="18.399999999999999" customHeight="1" x14ac:dyDescent="0.2">
      <c r="B17" s="360"/>
      <c r="E17" s="366" t="s">
        <v>3192</v>
      </c>
      <c r="AK17" s="363" t="s">
        <v>30</v>
      </c>
      <c r="AN17" s="366" t="s">
        <v>171</v>
      </c>
      <c r="AR17" s="360"/>
      <c r="BS17" s="357" t="s">
        <v>219</v>
      </c>
    </row>
    <row r="18" spans="2:71" ht="6.95" customHeight="1" x14ac:dyDescent="0.2">
      <c r="B18" s="360"/>
      <c r="AR18" s="360"/>
      <c r="BS18" s="357" t="s">
        <v>304</v>
      </c>
    </row>
    <row r="19" spans="2:71" ht="12" customHeight="1" x14ac:dyDescent="0.2">
      <c r="B19" s="360"/>
      <c r="D19" s="363" t="s">
        <v>177</v>
      </c>
      <c r="AK19" s="363" t="s">
        <v>29</v>
      </c>
      <c r="AN19" s="489"/>
      <c r="AR19" s="360"/>
      <c r="BS19" s="357" t="s">
        <v>304</v>
      </c>
    </row>
    <row r="20" spans="2:71" ht="18.399999999999999" customHeight="1" x14ac:dyDescent="0.2">
      <c r="B20" s="360"/>
      <c r="E20" s="366" t="s">
        <v>3191</v>
      </c>
      <c r="AK20" s="363" t="s">
        <v>30</v>
      </c>
      <c r="AN20" s="366" t="s">
        <v>171</v>
      </c>
      <c r="AR20" s="360"/>
      <c r="BS20" s="357" t="s">
        <v>219</v>
      </c>
    </row>
    <row r="21" spans="2:71" ht="6.95" customHeight="1" x14ac:dyDescent="0.2">
      <c r="B21" s="360"/>
      <c r="AR21" s="360"/>
    </row>
    <row r="22" spans="2:71" ht="12" customHeight="1" x14ac:dyDescent="0.2">
      <c r="B22" s="360"/>
      <c r="D22" s="363" t="s">
        <v>178</v>
      </c>
      <c r="AR22" s="360"/>
    </row>
    <row r="23" spans="2:71" ht="16.5" customHeight="1" x14ac:dyDescent="0.2">
      <c r="B23" s="360"/>
      <c r="E23" s="864" t="s">
        <v>171</v>
      </c>
      <c r="F23" s="864"/>
      <c r="G23" s="864"/>
      <c r="H23" s="864"/>
      <c r="I23" s="864"/>
      <c r="J23" s="864"/>
      <c r="K23" s="864"/>
      <c r="L23" s="864"/>
      <c r="M23" s="864"/>
      <c r="N23" s="864"/>
      <c r="O23" s="864"/>
      <c r="P23" s="864"/>
      <c r="Q23" s="864"/>
      <c r="R23" s="864"/>
      <c r="S23" s="864"/>
      <c r="T23" s="864"/>
      <c r="U23" s="864"/>
      <c r="V23" s="864"/>
      <c r="W23" s="864"/>
      <c r="X23" s="864"/>
      <c r="Y23" s="864"/>
      <c r="Z23" s="864"/>
      <c r="AA23" s="864"/>
      <c r="AB23" s="864"/>
      <c r="AC23" s="864"/>
      <c r="AD23" s="864"/>
      <c r="AE23" s="864"/>
      <c r="AF23" s="864"/>
      <c r="AG23" s="864"/>
      <c r="AH23" s="864"/>
      <c r="AI23" s="864"/>
      <c r="AJ23" s="864"/>
      <c r="AK23" s="864"/>
      <c r="AL23" s="864"/>
      <c r="AM23" s="864"/>
      <c r="AN23" s="864"/>
      <c r="AR23" s="360"/>
    </row>
    <row r="24" spans="2:71" ht="6.95" customHeight="1" x14ac:dyDescent="0.2">
      <c r="B24" s="360"/>
      <c r="AR24" s="360"/>
    </row>
    <row r="25" spans="2:71" ht="6.95" customHeight="1" x14ac:dyDescent="0.2">
      <c r="B25" s="360"/>
      <c r="D25" s="490"/>
      <c r="E25" s="490"/>
      <c r="F25" s="490"/>
      <c r="G25" s="490"/>
      <c r="H25" s="490"/>
      <c r="I25" s="490"/>
      <c r="J25" s="490"/>
      <c r="K25" s="490"/>
      <c r="L25" s="490"/>
      <c r="M25" s="490"/>
      <c r="N25" s="490"/>
      <c r="O25" s="490"/>
      <c r="P25" s="490"/>
      <c r="Q25" s="490"/>
      <c r="R25" s="490"/>
      <c r="S25" s="490"/>
      <c r="T25" s="490"/>
      <c r="U25" s="490"/>
      <c r="V25" s="490"/>
      <c r="W25" s="490"/>
      <c r="X25" s="490"/>
      <c r="Y25" s="490"/>
      <c r="Z25" s="490"/>
      <c r="AA25" s="490"/>
      <c r="AB25" s="490"/>
      <c r="AC25" s="490"/>
      <c r="AD25" s="490"/>
      <c r="AE25" s="490"/>
      <c r="AF25" s="490"/>
      <c r="AG25" s="490"/>
      <c r="AH25" s="490"/>
      <c r="AI25" s="490"/>
      <c r="AJ25" s="490"/>
      <c r="AK25" s="490"/>
      <c r="AL25" s="490"/>
      <c r="AM25" s="490"/>
      <c r="AN25" s="490"/>
      <c r="AO25" s="490"/>
      <c r="AR25" s="360"/>
    </row>
    <row r="26" spans="2:71" ht="14.45" customHeight="1" x14ac:dyDescent="0.2">
      <c r="B26" s="360"/>
      <c r="D26" s="373" t="s">
        <v>327</v>
      </c>
      <c r="AK26" s="866">
        <f>ROUND(AG94,2)</f>
        <v>0</v>
      </c>
      <c r="AL26" s="862"/>
      <c r="AM26" s="862"/>
      <c r="AN26" s="862"/>
      <c r="AO26" s="862"/>
      <c r="AR26" s="360"/>
    </row>
    <row r="27" spans="2:71" ht="14.45" customHeight="1" x14ac:dyDescent="0.2">
      <c r="B27" s="360"/>
      <c r="D27" s="373" t="s">
        <v>3058</v>
      </c>
      <c r="AK27" s="866">
        <f>ROUND(AG102, 2)</f>
        <v>0</v>
      </c>
      <c r="AL27" s="866"/>
      <c r="AM27" s="866"/>
      <c r="AN27" s="866"/>
      <c r="AO27" s="866"/>
      <c r="AR27" s="360"/>
    </row>
    <row r="28" spans="2:71" s="365" customFormat="1" ht="6.95" customHeight="1" x14ac:dyDescent="0.25">
      <c r="B28" s="364"/>
      <c r="AR28" s="364"/>
    </row>
    <row r="29" spans="2:71" s="365" customFormat="1" ht="25.9" customHeight="1" x14ac:dyDescent="0.25">
      <c r="B29" s="364"/>
      <c r="D29" s="491" t="s">
        <v>179</v>
      </c>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868">
        <f>ROUND(AK26 + AK27, 2)</f>
        <v>0</v>
      </c>
      <c r="AL29" s="869"/>
      <c r="AM29" s="869"/>
      <c r="AN29" s="869"/>
      <c r="AO29" s="869"/>
      <c r="AR29" s="364"/>
    </row>
    <row r="30" spans="2:71" s="365" customFormat="1" ht="6.95" customHeight="1" x14ac:dyDescent="0.25">
      <c r="B30" s="364"/>
      <c r="AR30" s="364"/>
    </row>
    <row r="31" spans="2:71" s="365" customFormat="1" ht="12.75" x14ac:dyDescent="0.25">
      <c r="B31" s="364"/>
      <c r="L31" s="870" t="s">
        <v>181</v>
      </c>
      <c r="M31" s="870"/>
      <c r="N31" s="870"/>
      <c r="O31" s="870"/>
      <c r="P31" s="870"/>
      <c r="W31" s="870" t="s">
        <v>180</v>
      </c>
      <c r="X31" s="870"/>
      <c r="Y31" s="870"/>
      <c r="Z31" s="870"/>
      <c r="AA31" s="870"/>
      <c r="AB31" s="870"/>
      <c r="AC31" s="870"/>
      <c r="AD31" s="870"/>
      <c r="AE31" s="870"/>
      <c r="AK31" s="870" t="s">
        <v>182</v>
      </c>
      <c r="AL31" s="870"/>
      <c r="AM31" s="870"/>
      <c r="AN31" s="870"/>
      <c r="AO31" s="870"/>
      <c r="AR31" s="364"/>
    </row>
    <row r="32" spans="2:71" s="493" customFormat="1" ht="14.45" customHeight="1" x14ac:dyDescent="0.25">
      <c r="B32" s="492"/>
      <c r="D32" s="363" t="s">
        <v>183</v>
      </c>
      <c r="F32" s="378" t="s">
        <v>184</v>
      </c>
      <c r="L32" s="871">
        <v>0.23</v>
      </c>
      <c r="M32" s="872"/>
      <c r="N32" s="872"/>
      <c r="O32" s="872"/>
      <c r="P32" s="872"/>
      <c r="Q32" s="494"/>
      <c r="R32" s="494"/>
      <c r="S32" s="494"/>
      <c r="T32" s="494"/>
      <c r="U32" s="494"/>
      <c r="V32" s="494"/>
      <c r="W32" s="873">
        <f>ROUND(AZ94 + SUM(CD102), 2)</f>
        <v>0</v>
      </c>
      <c r="X32" s="872"/>
      <c r="Y32" s="872"/>
      <c r="Z32" s="872"/>
      <c r="AA32" s="872"/>
      <c r="AB32" s="872"/>
      <c r="AC32" s="872"/>
      <c r="AD32" s="872"/>
      <c r="AE32" s="872"/>
      <c r="AF32" s="494"/>
      <c r="AG32" s="494"/>
      <c r="AH32" s="494"/>
      <c r="AI32" s="494"/>
      <c r="AJ32" s="494"/>
      <c r="AK32" s="873">
        <f>ROUND(AV94 + SUM(BY102), 2)</f>
        <v>0</v>
      </c>
      <c r="AL32" s="872"/>
      <c r="AM32" s="872"/>
      <c r="AN32" s="872"/>
      <c r="AO32" s="872"/>
      <c r="AP32" s="494"/>
      <c r="AQ32" s="494"/>
      <c r="AR32" s="495"/>
      <c r="AS32" s="494"/>
      <c r="AT32" s="494"/>
      <c r="AU32" s="494"/>
      <c r="AV32" s="494"/>
      <c r="AW32" s="494"/>
      <c r="AX32" s="494"/>
      <c r="AY32" s="494"/>
      <c r="AZ32" s="494"/>
    </row>
    <row r="33" spans="2:52" s="493" customFormat="1" ht="14.45" customHeight="1" x14ac:dyDescent="0.25">
      <c r="B33" s="492"/>
      <c r="F33" s="378" t="s">
        <v>185</v>
      </c>
      <c r="L33" s="874">
        <v>0.23</v>
      </c>
      <c r="M33" s="875"/>
      <c r="N33" s="875"/>
      <c r="O33" s="875"/>
      <c r="P33" s="875"/>
      <c r="W33" s="876">
        <f>ROUND(BA94 + SUM(CE102), 2)</f>
        <v>0</v>
      </c>
      <c r="X33" s="875"/>
      <c r="Y33" s="875"/>
      <c r="Z33" s="875"/>
      <c r="AA33" s="875"/>
      <c r="AB33" s="875"/>
      <c r="AC33" s="875"/>
      <c r="AD33" s="875"/>
      <c r="AE33" s="875"/>
      <c r="AK33" s="876">
        <f>ROUND(AW94 + SUM(BZ102), 2)</f>
        <v>0</v>
      </c>
      <c r="AL33" s="875"/>
      <c r="AM33" s="875"/>
      <c r="AN33" s="875"/>
      <c r="AO33" s="875"/>
      <c r="AR33" s="492"/>
    </row>
    <row r="34" spans="2:52" s="493" customFormat="1" ht="14.45" hidden="1" customHeight="1" x14ac:dyDescent="0.25">
      <c r="B34" s="492"/>
      <c r="F34" s="363" t="s">
        <v>186</v>
      </c>
      <c r="L34" s="874">
        <v>0.23</v>
      </c>
      <c r="M34" s="875"/>
      <c r="N34" s="875"/>
      <c r="O34" s="875"/>
      <c r="P34" s="875"/>
      <c r="W34" s="876">
        <f>ROUND(BB94 + SUM(CF102), 2)</f>
        <v>0</v>
      </c>
      <c r="X34" s="875"/>
      <c r="Y34" s="875"/>
      <c r="Z34" s="875"/>
      <c r="AA34" s="875"/>
      <c r="AB34" s="875"/>
      <c r="AC34" s="875"/>
      <c r="AD34" s="875"/>
      <c r="AE34" s="875"/>
      <c r="AK34" s="876">
        <v>0</v>
      </c>
      <c r="AL34" s="875"/>
      <c r="AM34" s="875"/>
      <c r="AN34" s="875"/>
      <c r="AO34" s="875"/>
      <c r="AR34" s="492"/>
    </row>
    <row r="35" spans="2:52" s="493" customFormat="1" ht="14.45" hidden="1" customHeight="1" x14ac:dyDescent="0.25">
      <c r="B35" s="492"/>
      <c r="F35" s="363" t="s">
        <v>187</v>
      </c>
      <c r="L35" s="874">
        <v>0.23</v>
      </c>
      <c r="M35" s="875"/>
      <c r="N35" s="875"/>
      <c r="O35" s="875"/>
      <c r="P35" s="875"/>
      <c r="W35" s="876">
        <f>ROUND(BC94 + SUM(CG102), 2)</f>
        <v>0</v>
      </c>
      <c r="X35" s="875"/>
      <c r="Y35" s="875"/>
      <c r="Z35" s="875"/>
      <c r="AA35" s="875"/>
      <c r="AB35" s="875"/>
      <c r="AC35" s="875"/>
      <c r="AD35" s="875"/>
      <c r="AE35" s="875"/>
      <c r="AK35" s="876">
        <v>0</v>
      </c>
      <c r="AL35" s="875"/>
      <c r="AM35" s="875"/>
      <c r="AN35" s="875"/>
      <c r="AO35" s="875"/>
      <c r="AR35" s="492"/>
    </row>
    <row r="36" spans="2:52" s="493" customFormat="1" ht="14.45" hidden="1" customHeight="1" x14ac:dyDescent="0.25">
      <c r="B36" s="492"/>
      <c r="F36" s="378" t="s">
        <v>188</v>
      </c>
      <c r="L36" s="871">
        <v>0</v>
      </c>
      <c r="M36" s="872"/>
      <c r="N36" s="872"/>
      <c r="O36" s="872"/>
      <c r="P36" s="872"/>
      <c r="Q36" s="494"/>
      <c r="R36" s="494"/>
      <c r="S36" s="494"/>
      <c r="T36" s="494"/>
      <c r="U36" s="494"/>
      <c r="V36" s="494"/>
      <c r="W36" s="873">
        <f>ROUND(BD94 + SUM(CH102), 2)</f>
        <v>0</v>
      </c>
      <c r="X36" s="872"/>
      <c r="Y36" s="872"/>
      <c r="Z36" s="872"/>
      <c r="AA36" s="872"/>
      <c r="AB36" s="872"/>
      <c r="AC36" s="872"/>
      <c r="AD36" s="872"/>
      <c r="AE36" s="872"/>
      <c r="AF36" s="494"/>
      <c r="AG36" s="494"/>
      <c r="AH36" s="494"/>
      <c r="AI36" s="494"/>
      <c r="AJ36" s="494"/>
      <c r="AK36" s="873">
        <v>0</v>
      </c>
      <c r="AL36" s="872"/>
      <c r="AM36" s="872"/>
      <c r="AN36" s="872"/>
      <c r="AO36" s="872"/>
      <c r="AP36" s="494"/>
      <c r="AQ36" s="494"/>
      <c r="AR36" s="495"/>
      <c r="AS36" s="494"/>
      <c r="AT36" s="494"/>
      <c r="AU36" s="494"/>
      <c r="AV36" s="494"/>
      <c r="AW36" s="494"/>
      <c r="AX36" s="494"/>
      <c r="AY36" s="494"/>
      <c r="AZ36" s="494"/>
    </row>
    <row r="37" spans="2:52" s="365" customFormat="1" ht="6.95" customHeight="1" x14ac:dyDescent="0.25">
      <c r="B37" s="364"/>
      <c r="AR37" s="364"/>
    </row>
    <row r="38" spans="2:52" s="365" customFormat="1" ht="25.9" customHeight="1" x14ac:dyDescent="0.25">
      <c r="B38" s="364"/>
      <c r="C38" s="496"/>
      <c r="D38" s="497" t="s">
        <v>189</v>
      </c>
      <c r="E38" s="498"/>
      <c r="F38" s="498"/>
      <c r="G38" s="498"/>
      <c r="H38" s="498"/>
      <c r="I38" s="498"/>
      <c r="J38" s="498"/>
      <c r="K38" s="498"/>
      <c r="L38" s="498"/>
      <c r="M38" s="498"/>
      <c r="N38" s="498"/>
      <c r="O38" s="498"/>
      <c r="P38" s="498"/>
      <c r="Q38" s="498"/>
      <c r="R38" s="498"/>
      <c r="S38" s="498"/>
      <c r="T38" s="499" t="s">
        <v>190</v>
      </c>
      <c r="U38" s="498"/>
      <c r="V38" s="498"/>
      <c r="W38" s="498"/>
      <c r="X38" s="883" t="s">
        <v>191</v>
      </c>
      <c r="Y38" s="884"/>
      <c r="Z38" s="884"/>
      <c r="AA38" s="884"/>
      <c r="AB38" s="884"/>
      <c r="AC38" s="498"/>
      <c r="AD38" s="498"/>
      <c r="AE38" s="498"/>
      <c r="AF38" s="498"/>
      <c r="AG38" s="498"/>
      <c r="AH38" s="498"/>
      <c r="AI38" s="498"/>
      <c r="AJ38" s="498"/>
      <c r="AK38" s="885">
        <f>SUM(AK29:AK36)</f>
        <v>0</v>
      </c>
      <c r="AL38" s="884"/>
      <c r="AM38" s="884"/>
      <c r="AN38" s="884"/>
      <c r="AO38" s="886"/>
      <c r="AP38" s="496"/>
      <c r="AQ38" s="496"/>
      <c r="AR38" s="364"/>
    </row>
    <row r="39" spans="2:52" s="365" customFormat="1" ht="6.95" customHeight="1" x14ac:dyDescent="0.25">
      <c r="B39" s="364"/>
      <c r="AR39" s="364"/>
    </row>
    <row r="40" spans="2:52" s="365" customFormat="1" ht="14.45" customHeight="1" x14ac:dyDescent="0.25">
      <c r="B40" s="364"/>
      <c r="AR40" s="364"/>
    </row>
    <row r="41" spans="2:52" ht="14.45" customHeight="1" x14ac:dyDescent="0.2">
      <c r="B41" s="360"/>
      <c r="AR41" s="360"/>
    </row>
    <row r="42" spans="2:52" ht="14.45" customHeight="1" x14ac:dyDescent="0.2">
      <c r="B42" s="360"/>
      <c r="AR42" s="360"/>
    </row>
    <row r="43" spans="2:52" ht="14.45" customHeight="1" x14ac:dyDescent="0.2">
      <c r="B43" s="360"/>
      <c r="AR43" s="360"/>
    </row>
    <row r="44" spans="2:52" ht="14.45" customHeight="1" x14ac:dyDescent="0.2">
      <c r="B44" s="360"/>
      <c r="AR44" s="360"/>
    </row>
    <row r="45" spans="2:52" ht="14.45" customHeight="1" x14ac:dyDescent="0.2">
      <c r="B45" s="360"/>
      <c r="AR45" s="360"/>
    </row>
    <row r="46" spans="2:52" ht="14.45" customHeight="1" x14ac:dyDescent="0.2">
      <c r="B46" s="360"/>
      <c r="AR46" s="360"/>
    </row>
    <row r="47" spans="2:52" ht="14.45" customHeight="1" x14ac:dyDescent="0.2">
      <c r="B47" s="360"/>
      <c r="AR47" s="360"/>
    </row>
    <row r="48" spans="2:52" ht="14.45" customHeight="1" x14ac:dyDescent="0.2">
      <c r="B48" s="360"/>
      <c r="AR48" s="360"/>
    </row>
    <row r="49" spans="2:44" s="365" customFormat="1" ht="14.45" customHeight="1" x14ac:dyDescent="0.25">
      <c r="B49" s="364"/>
      <c r="D49" s="391" t="s">
        <v>192</v>
      </c>
      <c r="E49" s="392"/>
      <c r="F49" s="392"/>
      <c r="G49" s="392"/>
      <c r="H49" s="392"/>
      <c r="I49" s="392"/>
      <c r="J49" s="392"/>
      <c r="K49" s="392"/>
      <c r="L49" s="392"/>
      <c r="M49" s="392"/>
      <c r="N49" s="392"/>
      <c r="O49" s="392"/>
      <c r="P49" s="392"/>
      <c r="Q49" s="392"/>
      <c r="R49" s="392"/>
      <c r="S49" s="392"/>
      <c r="T49" s="392"/>
      <c r="U49" s="392"/>
      <c r="V49" s="392"/>
      <c r="W49" s="392"/>
      <c r="X49" s="392"/>
      <c r="Y49" s="392"/>
      <c r="Z49" s="392"/>
      <c r="AA49" s="392"/>
      <c r="AB49" s="392"/>
      <c r="AC49" s="392"/>
      <c r="AD49" s="392"/>
      <c r="AE49" s="392"/>
      <c r="AF49" s="392"/>
      <c r="AG49" s="392"/>
      <c r="AH49" s="391" t="s">
        <v>193</v>
      </c>
      <c r="AI49" s="392"/>
      <c r="AJ49" s="392"/>
      <c r="AK49" s="392"/>
      <c r="AL49" s="392"/>
      <c r="AM49" s="392"/>
      <c r="AN49" s="392"/>
      <c r="AO49" s="392"/>
      <c r="AR49" s="364"/>
    </row>
    <row r="50" spans="2:44" x14ac:dyDescent="0.2">
      <c r="B50" s="360"/>
      <c r="AR50" s="360"/>
    </row>
    <row r="51" spans="2:44" x14ac:dyDescent="0.2">
      <c r="B51" s="360"/>
      <c r="AR51" s="360"/>
    </row>
    <row r="52" spans="2:44" x14ac:dyDescent="0.2">
      <c r="B52" s="360"/>
      <c r="AR52" s="360"/>
    </row>
    <row r="53" spans="2:44" x14ac:dyDescent="0.2">
      <c r="B53" s="360"/>
      <c r="AR53" s="360"/>
    </row>
    <row r="54" spans="2:44" x14ac:dyDescent="0.2">
      <c r="B54" s="360"/>
      <c r="AR54" s="360"/>
    </row>
    <row r="55" spans="2:44" x14ac:dyDescent="0.2">
      <c r="B55" s="360"/>
      <c r="AR55" s="360"/>
    </row>
    <row r="56" spans="2:44" x14ac:dyDescent="0.2">
      <c r="B56" s="360"/>
      <c r="AR56" s="360"/>
    </row>
    <row r="57" spans="2:44" x14ac:dyDescent="0.2">
      <c r="B57" s="360"/>
      <c r="AR57" s="360"/>
    </row>
    <row r="58" spans="2:44" x14ac:dyDescent="0.2">
      <c r="B58" s="360"/>
      <c r="AR58" s="360"/>
    </row>
    <row r="59" spans="2:44" x14ac:dyDescent="0.2">
      <c r="B59" s="360"/>
      <c r="AR59" s="360"/>
    </row>
    <row r="60" spans="2:44" s="365" customFormat="1" ht="12.75" x14ac:dyDescent="0.25">
      <c r="B60" s="364"/>
      <c r="D60" s="393" t="s">
        <v>194</v>
      </c>
      <c r="E60" s="394"/>
      <c r="F60" s="394"/>
      <c r="G60" s="394"/>
      <c r="H60" s="394"/>
      <c r="I60" s="394"/>
      <c r="J60" s="394"/>
      <c r="K60" s="394"/>
      <c r="L60" s="394"/>
      <c r="M60" s="394"/>
      <c r="N60" s="394"/>
      <c r="O60" s="394"/>
      <c r="P60" s="394"/>
      <c r="Q60" s="394"/>
      <c r="R60" s="394"/>
      <c r="S60" s="394"/>
      <c r="T60" s="394"/>
      <c r="U60" s="394"/>
      <c r="V60" s="393" t="s">
        <v>195</v>
      </c>
      <c r="W60" s="394"/>
      <c r="X60" s="394"/>
      <c r="Y60" s="394"/>
      <c r="Z60" s="394"/>
      <c r="AA60" s="394"/>
      <c r="AB60" s="394"/>
      <c r="AC60" s="394"/>
      <c r="AD60" s="394"/>
      <c r="AE60" s="394"/>
      <c r="AF60" s="394"/>
      <c r="AG60" s="394"/>
      <c r="AH60" s="393" t="s">
        <v>194</v>
      </c>
      <c r="AI60" s="394"/>
      <c r="AJ60" s="394"/>
      <c r="AK60" s="394"/>
      <c r="AL60" s="394"/>
      <c r="AM60" s="393" t="s">
        <v>195</v>
      </c>
      <c r="AN60" s="394"/>
      <c r="AO60" s="394"/>
      <c r="AR60" s="364"/>
    </row>
    <row r="61" spans="2:44" x14ac:dyDescent="0.2">
      <c r="B61" s="360"/>
      <c r="AR61" s="360"/>
    </row>
    <row r="62" spans="2:44" x14ac:dyDescent="0.2">
      <c r="B62" s="360"/>
      <c r="AR62" s="360"/>
    </row>
    <row r="63" spans="2:44" x14ac:dyDescent="0.2">
      <c r="B63" s="360"/>
      <c r="AR63" s="360"/>
    </row>
    <row r="64" spans="2:44" s="365" customFormat="1" ht="12.75" x14ac:dyDescent="0.25">
      <c r="B64" s="364"/>
      <c r="D64" s="391" t="s">
        <v>196</v>
      </c>
      <c r="E64" s="392"/>
      <c r="F64" s="392"/>
      <c r="G64" s="392"/>
      <c r="H64" s="392"/>
      <c r="I64" s="392"/>
      <c r="J64" s="392"/>
      <c r="K64" s="392"/>
      <c r="L64" s="392"/>
      <c r="M64" s="392"/>
      <c r="N64" s="392"/>
      <c r="O64" s="392"/>
      <c r="P64" s="392"/>
      <c r="Q64" s="392"/>
      <c r="R64" s="392"/>
      <c r="S64" s="392"/>
      <c r="T64" s="392"/>
      <c r="U64" s="392"/>
      <c r="V64" s="392"/>
      <c r="W64" s="392"/>
      <c r="X64" s="392"/>
      <c r="Y64" s="392"/>
      <c r="Z64" s="392"/>
      <c r="AA64" s="392"/>
      <c r="AB64" s="392"/>
      <c r="AC64" s="392"/>
      <c r="AD64" s="392"/>
      <c r="AE64" s="392"/>
      <c r="AF64" s="392"/>
      <c r="AG64" s="392"/>
      <c r="AH64" s="391" t="s">
        <v>197</v>
      </c>
      <c r="AI64" s="392"/>
      <c r="AJ64" s="392"/>
      <c r="AK64" s="392"/>
      <c r="AL64" s="392"/>
      <c r="AM64" s="392"/>
      <c r="AN64" s="392"/>
      <c r="AO64" s="392"/>
      <c r="AR64" s="364"/>
    </row>
    <row r="65" spans="2:44" x14ac:dyDescent="0.2">
      <c r="B65" s="360"/>
      <c r="AR65" s="360"/>
    </row>
    <row r="66" spans="2:44" x14ac:dyDescent="0.2">
      <c r="B66" s="360"/>
      <c r="AR66" s="360"/>
    </row>
    <row r="67" spans="2:44" x14ac:dyDescent="0.2">
      <c r="B67" s="360"/>
      <c r="AR67" s="360"/>
    </row>
    <row r="68" spans="2:44" x14ac:dyDescent="0.2">
      <c r="B68" s="360"/>
      <c r="AR68" s="360"/>
    </row>
    <row r="69" spans="2:44" x14ac:dyDescent="0.2">
      <c r="B69" s="360"/>
      <c r="AR69" s="360"/>
    </row>
    <row r="70" spans="2:44" x14ac:dyDescent="0.2">
      <c r="B70" s="360"/>
      <c r="AR70" s="360"/>
    </row>
    <row r="71" spans="2:44" x14ac:dyDescent="0.2">
      <c r="B71" s="360"/>
      <c r="AR71" s="360"/>
    </row>
    <row r="72" spans="2:44" x14ac:dyDescent="0.2">
      <c r="B72" s="360"/>
      <c r="AR72" s="360"/>
    </row>
    <row r="73" spans="2:44" x14ac:dyDescent="0.2">
      <c r="B73" s="360"/>
      <c r="AR73" s="360"/>
    </row>
    <row r="74" spans="2:44" x14ac:dyDescent="0.2">
      <c r="B74" s="360"/>
      <c r="AR74" s="360"/>
    </row>
    <row r="75" spans="2:44" s="365" customFormat="1" ht="12.75" x14ac:dyDescent="0.25">
      <c r="B75" s="364"/>
      <c r="D75" s="393" t="s">
        <v>194</v>
      </c>
      <c r="E75" s="394"/>
      <c r="F75" s="394"/>
      <c r="G75" s="394"/>
      <c r="H75" s="394"/>
      <c r="I75" s="394"/>
      <c r="J75" s="394"/>
      <c r="K75" s="394"/>
      <c r="L75" s="394"/>
      <c r="M75" s="394"/>
      <c r="N75" s="394"/>
      <c r="O75" s="394"/>
      <c r="P75" s="394"/>
      <c r="Q75" s="394"/>
      <c r="R75" s="394"/>
      <c r="S75" s="394"/>
      <c r="T75" s="394"/>
      <c r="U75" s="394"/>
      <c r="V75" s="393" t="s">
        <v>195</v>
      </c>
      <c r="W75" s="394"/>
      <c r="X75" s="394"/>
      <c r="Y75" s="394"/>
      <c r="Z75" s="394"/>
      <c r="AA75" s="394"/>
      <c r="AB75" s="394"/>
      <c r="AC75" s="394"/>
      <c r="AD75" s="394"/>
      <c r="AE75" s="394"/>
      <c r="AF75" s="394"/>
      <c r="AG75" s="394"/>
      <c r="AH75" s="393" t="s">
        <v>194</v>
      </c>
      <c r="AI75" s="394"/>
      <c r="AJ75" s="394"/>
      <c r="AK75" s="394"/>
      <c r="AL75" s="394"/>
      <c r="AM75" s="393" t="s">
        <v>195</v>
      </c>
      <c r="AN75" s="394"/>
      <c r="AO75" s="394"/>
      <c r="AR75" s="364"/>
    </row>
    <row r="76" spans="2:44" s="365" customFormat="1" x14ac:dyDescent="0.25">
      <c r="B76" s="364"/>
      <c r="AR76" s="364"/>
    </row>
    <row r="77" spans="2:44" s="365" customFormat="1" ht="6.95" customHeight="1" x14ac:dyDescent="0.25">
      <c r="B77" s="397"/>
      <c r="C77" s="398"/>
      <c r="D77" s="398"/>
      <c r="E77" s="398"/>
      <c r="F77" s="398"/>
      <c r="G77" s="398"/>
      <c r="H77" s="398"/>
      <c r="I77" s="398"/>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c r="AG77" s="398"/>
      <c r="AH77" s="398"/>
      <c r="AI77" s="398"/>
      <c r="AJ77" s="398"/>
      <c r="AK77" s="398"/>
      <c r="AL77" s="398"/>
      <c r="AM77" s="398"/>
      <c r="AN77" s="398"/>
      <c r="AO77" s="398"/>
      <c r="AP77" s="398"/>
      <c r="AQ77" s="398"/>
      <c r="AR77" s="364"/>
    </row>
    <row r="81" spans="1:91" s="365" customFormat="1" ht="6.95" customHeight="1" x14ac:dyDescent="0.25">
      <c r="B81" s="399"/>
      <c r="C81" s="400"/>
      <c r="D81" s="400"/>
      <c r="E81" s="400"/>
      <c r="F81" s="400"/>
      <c r="G81" s="400"/>
      <c r="H81" s="400"/>
      <c r="I81" s="400"/>
      <c r="J81" s="400"/>
      <c r="K81" s="400"/>
      <c r="L81" s="400"/>
      <c r="M81" s="400"/>
      <c r="N81" s="400"/>
      <c r="O81" s="400"/>
      <c r="P81" s="400"/>
      <c r="Q81" s="400"/>
      <c r="R81" s="400"/>
      <c r="S81" s="400"/>
      <c r="T81" s="400"/>
      <c r="U81" s="400"/>
      <c r="V81" s="400"/>
      <c r="W81" s="400"/>
      <c r="X81" s="400"/>
      <c r="Y81" s="400"/>
      <c r="Z81" s="400"/>
      <c r="AA81" s="400"/>
      <c r="AB81" s="400"/>
      <c r="AC81" s="400"/>
      <c r="AD81" s="400"/>
      <c r="AE81" s="400"/>
      <c r="AF81" s="400"/>
      <c r="AG81" s="400"/>
      <c r="AH81" s="400"/>
      <c r="AI81" s="400"/>
      <c r="AJ81" s="400"/>
      <c r="AK81" s="400"/>
      <c r="AL81" s="400"/>
      <c r="AM81" s="400"/>
      <c r="AN81" s="400"/>
      <c r="AO81" s="400"/>
      <c r="AP81" s="400"/>
      <c r="AQ81" s="400"/>
      <c r="AR81" s="364"/>
    </row>
    <row r="82" spans="1:91" s="365" customFormat="1" ht="24.95" customHeight="1" x14ac:dyDescent="0.25">
      <c r="B82" s="364"/>
      <c r="C82" s="361" t="s">
        <v>311</v>
      </c>
      <c r="AR82" s="364"/>
    </row>
    <row r="83" spans="1:91" s="365" customFormat="1" ht="6.95" customHeight="1" x14ac:dyDescent="0.25">
      <c r="B83" s="364"/>
      <c r="AR83" s="364"/>
    </row>
    <row r="84" spans="1:91" s="500" customFormat="1" ht="12" customHeight="1" x14ac:dyDescent="0.25">
      <c r="B84" s="501"/>
      <c r="C84" s="363" t="s">
        <v>307</v>
      </c>
      <c r="L84" s="500" t="str">
        <f>K5</f>
        <v>004</v>
      </c>
      <c r="AR84" s="501"/>
    </row>
    <row r="85" spans="1:91" s="502" customFormat="1" ht="36.950000000000003" customHeight="1" x14ac:dyDescent="0.25">
      <c r="B85" s="503"/>
      <c r="C85" s="504" t="s">
        <v>169</v>
      </c>
      <c r="L85" s="857" t="str">
        <f>K6</f>
        <v>Cyklotrasa - Devín_F</v>
      </c>
      <c r="M85" s="887"/>
      <c r="N85" s="887"/>
      <c r="O85" s="887"/>
      <c r="P85" s="887"/>
      <c r="Q85" s="887"/>
      <c r="R85" s="887"/>
      <c r="S85" s="887"/>
      <c r="T85" s="887"/>
      <c r="U85" s="887"/>
      <c r="V85" s="887"/>
      <c r="W85" s="887"/>
      <c r="X85" s="887"/>
      <c r="Y85" s="887"/>
      <c r="Z85" s="887"/>
      <c r="AA85" s="887"/>
      <c r="AB85" s="887"/>
      <c r="AC85" s="887"/>
      <c r="AD85" s="887"/>
      <c r="AE85" s="887"/>
      <c r="AF85" s="887"/>
      <c r="AG85" s="887"/>
      <c r="AH85" s="887"/>
      <c r="AI85" s="887"/>
      <c r="AJ85" s="887"/>
      <c r="AR85" s="503"/>
    </row>
    <row r="86" spans="1:91" s="365" customFormat="1" ht="6.95" customHeight="1" x14ac:dyDescent="0.25">
      <c r="B86" s="364"/>
      <c r="AR86" s="364"/>
    </row>
    <row r="87" spans="1:91" s="365" customFormat="1" ht="12" customHeight="1" x14ac:dyDescent="0.25">
      <c r="B87" s="364"/>
      <c r="C87" s="363" t="s">
        <v>172</v>
      </c>
      <c r="L87" s="505" t="str">
        <f>IF(K8="","",K8)</f>
        <v xml:space="preserve"> </v>
      </c>
      <c r="AI87" s="363" t="s">
        <v>174</v>
      </c>
      <c r="AM87" s="888">
        <f>IF(AN8= "","",AN8)</f>
        <v>45908</v>
      </c>
      <c r="AN87" s="888"/>
      <c r="AR87" s="364"/>
    </row>
    <row r="88" spans="1:91" s="365" customFormat="1" ht="6.95" customHeight="1" x14ac:dyDescent="0.25">
      <c r="B88" s="364"/>
      <c r="AR88" s="364"/>
    </row>
    <row r="89" spans="1:91" s="365" customFormat="1" ht="15.2" customHeight="1" x14ac:dyDescent="0.25">
      <c r="B89" s="364"/>
      <c r="C89" s="363" t="s">
        <v>122</v>
      </c>
      <c r="L89" s="500" t="str">
        <f>IF(E11= "","",E11)</f>
        <v>Hlavné mesto SR Bratislava</v>
      </c>
      <c r="AI89" s="363" t="s">
        <v>176</v>
      </c>
      <c r="AM89" s="881" t="str">
        <f>IF(E17="","",E17)</f>
        <v>PROKOS s.r.o.</v>
      </c>
      <c r="AN89" s="882"/>
      <c r="AO89" s="882"/>
      <c r="AP89" s="882"/>
      <c r="AR89" s="364"/>
      <c r="AS89" s="877" t="s">
        <v>312</v>
      </c>
      <c r="AT89" s="878"/>
      <c r="AU89" s="371"/>
      <c r="AV89" s="371"/>
      <c r="AW89" s="371"/>
      <c r="AX89" s="371"/>
      <c r="AY89" s="371"/>
      <c r="AZ89" s="371"/>
      <c r="BA89" s="371"/>
      <c r="BB89" s="371"/>
      <c r="BC89" s="371"/>
      <c r="BD89" s="506"/>
    </row>
    <row r="90" spans="1:91" s="365" customFormat="1" ht="15.2" customHeight="1" x14ac:dyDescent="0.25">
      <c r="B90" s="364"/>
      <c r="C90" s="363" t="s">
        <v>175</v>
      </c>
      <c r="L90" s="500" t="str">
        <f>IF(E14="","",E14)</f>
        <v>Údaj sa automaticky zobrazí aj vo Výkaze výmer</v>
      </c>
      <c r="AI90" s="363" t="s">
        <v>177</v>
      </c>
      <c r="AM90" s="881" t="str">
        <f>IF(E20="","",E20)</f>
        <v>Ing. Ondrej Májek</v>
      </c>
      <c r="AN90" s="882"/>
      <c r="AO90" s="882"/>
      <c r="AP90" s="882"/>
      <c r="AR90" s="364"/>
      <c r="AS90" s="879"/>
      <c r="AT90" s="880"/>
      <c r="BD90" s="507"/>
    </row>
    <row r="91" spans="1:91" s="365" customFormat="1" ht="10.9" customHeight="1" x14ac:dyDescent="0.25">
      <c r="B91" s="364"/>
      <c r="AR91" s="364"/>
      <c r="AS91" s="879"/>
      <c r="AT91" s="880"/>
      <c r="BD91" s="507"/>
    </row>
    <row r="92" spans="1:91" s="365" customFormat="1" ht="29.25" customHeight="1" x14ac:dyDescent="0.25">
      <c r="B92" s="364"/>
      <c r="C92" s="889" t="s">
        <v>206</v>
      </c>
      <c r="D92" s="890"/>
      <c r="E92" s="890"/>
      <c r="F92" s="890"/>
      <c r="G92" s="890"/>
      <c r="H92" s="386"/>
      <c r="I92" s="891" t="s">
        <v>121</v>
      </c>
      <c r="J92" s="890"/>
      <c r="K92" s="890"/>
      <c r="L92" s="890"/>
      <c r="M92" s="890"/>
      <c r="N92" s="890"/>
      <c r="O92" s="890"/>
      <c r="P92" s="890"/>
      <c r="Q92" s="890"/>
      <c r="R92" s="890"/>
      <c r="S92" s="890"/>
      <c r="T92" s="890"/>
      <c r="U92" s="890"/>
      <c r="V92" s="890"/>
      <c r="W92" s="890"/>
      <c r="X92" s="890"/>
      <c r="Y92" s="890"/>
      <c r="Z92" s="890"/>
      <c r="AA92" s="890"/>
      <c r="AB92" s="890"/>
      <c r="AC92" s="890"/>
      <c r="AD92" s="890"/>
      <c r="AE92" s="890"/>
      <c r="AF92" s="890"/>
      <c r="AG92" s="892" t="s">
        <v>313</v>
      </c>
      <c r="AH92" s="890"/>
      <c r="AI92" s="890"/>
      <c r="AJ92" s="890"/>
      <c r="AK92" s="890"/>
      <c r="AL92" s="890"/>
      <c r="AM92" s="890"/>
      <c r="AN92" s="891" t="s">
        <v>314</v>
      </c>
      <c r="AO92" s="890"/>
      <c r="AP92" s="893"/>
      <c r="AQ92" s="508" t="s">
        <v>205</v>
      </c>
      <c r="AR92" s="364"/>
      <c r="AS92" s="423" t="s">
        <v>315</v>
      </c>
      <c r="AT92" s="424" t="s">
        <v>316</v>
      </c>
      <c r="AU92" s="424" t="s">
        <v>317</v>
      </c>
      <c r="AV92" s="424" t="s">
        <v>318</v>
      </c>
      <c r="AW92" s="424" t="s">
        <v>319</v>
      </c>
      <c r="AX92" s="424" t="s">
        <v>320</v>
      </c>
      <c r="AY92" s="424" t="s">
        <v>321</v>
      </c>
      <c r="AZ92" s="424" t="s">
        <v>322</v>
      </c>
      <c r="BA92" s="424" t="s">
        <v>323</v>
      </c>
      <c r="BB92" s="424" t="s">
        <v>324</v>
      </c>
      <c r="BC92" s="424" t="s">
        <v>325</v>
      </c>
      <c r="BD92" s="425" t="s">
        <v>326</v>
      </c>
    </row>
    <row r="93" spans="1:91" s="365" customFormat="1" ht="10.9" customHeight="1" x14ac:dyDescent="0.25">
      <c r="B93" s="364"/>
      <c r="AR93" s="364"/>
      <c r="AS93" s="429"/>
      <c r="AT93" s="371"/>
      <c r="AU93" s="371"/>
      <c r="AV93" s="371"/>
      <c r="AW93" s="371"/>
      <c r="AX93" s="371"/>
      <c r="AY93" s="371"/>
      <c r="AZ93" s="371"/>
      <c r="BA93" s="371"/>
      <c r="BB93" s="371"/>
      <c r="BC93" s="371"/>
      <c r="BD93" s="506"/>
    </row>
    <row r="94" spans="1:91" s="509" customFormat="1" ht="32.450000000000003" customHeight="1" x14ac:dyDescent="0.25">
      <c r="B94" s="510"/>
      <c r="C94" s="427" t="s">
        <v>3059</v>
      </c>
      <c r="D94" s="511"/>
      <c r="E94" s="511"/>
      <c r="F94" s="511"/>
      <c r="G94" s="511"/>
      <c r="H94" s="511"/>
      <c r="I94" s="511"/>
      <c r="J94" s="511"/>
      <c r="K94" s="511"/>
      <c r="L94" s="511"/>
      <c r="M94" s="511"/>
      <c r="N94" s="511"/>
      <c r="O94" s="511"/>
      <c r="P94" s="511"/>
      <c r="Q94" s="511"/>
      <c r="R94" s="511"/>
      <c r="S94" s="511"/>
      <c r="T94" s="511"/>
      <c r="U94" s="511"/>
      <c r="V94" s="511"/>
      <c r="W94" s="511"/>
      <c r="X94" s="511"/>
      <c r="Y94" s="511"/>
      <c r="Z94" s="511"/>
      <c r="AA94" s="511"/>
      <c r="AB94" s="511"/>
      <c r="AC94" s="511"/>
      <c r="AD94" s="511"/>
      <c r="AE94" s="511"/>
      <c r="AF94" s="511"/>
      <c r="AG94" s="894">
        <f>ROUND(SUM(AG95:AG100),2)</f>
        <v>0</v>
      </c>
      <c r="AH94" s="894"/>
      <c r="AI94" s="894"/>
      <c r="AJ94" s="894"/>
      <c r="AK94" s="894"/>
      <c r="AL94" s="894"/>
      <c r="AM94" s="894"/>
      <c r="AN94" s="895">
        <f t="shared" ref="AN94:AN100" si="0">SUM(AG94,AT94)</f>
        <v>0</v>
      </c>
      <c r="AO94" s="895"/>
      <c r="AP94" s="895"/>
      <c r="AQ94" s="512" t="s">
        <v>171</v>
      </c>
      <c r="AR94" s="510"/>
      <c r="AS94" s="513">
        <f>ROUND(SUM(AS95:AS100),2)</f>
        <v>0</v>
      </c>
      <c r="AT94" s="514">
        <f t="shared" ref="AT94:AT100" si="1">ROUND(SUM(AV94:AW94),2)</f>
        <v>0</v>
      </c>
      <c r="AU94" s="515">
        <f>ROUND(SUM(AU95:AU100),5)</f>
        <v>64531.181380000002</v>
      </c>
      <c r="AV94" s="514">
        <f>ROUND(AZ94*L32,2)</f>
        <v>0</v>
      </c>
      <c r="AW94" s="514">
        <f>ROUND(BA94*L33,2)</f>
        <v>0</v>
      </c>
      <c r="AX94" s="514">
        <f>ROUND(BB94*L32,2)</f>
        <v>0</v>
      </c>
      <c r="AY94" s="514">
        <f>ROUND(BC94*L33,2)</f>
        <v>0</v>
      </c>
      <c r="AZ94" s="514">
        <f>ROUND(SUM(AZ95:AZ100),2)</f>
        <v>0</v>
      </c>
      <c r="BA94" s="514">
        <f>ROUND(SUM(BA95:BA100),2)</f>
        <v>0</v>
      </c>
      <c r="BB94" s="514">
        <f>ROUND(SUM(BB95:BB100),2)</f>
        <v>0</v>
      </c>
      <c r="BC94" s="514">
        <f>ROUND(SUM(BC95:BC100),2)</f>
        <v>0</v>
      </c>
      <c r="BD94" s="516">
        <f>ROUND(SUM(BD95:BD100),2)</f>
        <v>0</v>
      </c>
      <c r="BS94" s="517" t="s">
        <v>216</v>
      </c>
      <c r="BT94" s="517" t="s">
        <v>165</v>
      </c>
      <c r="BU94" s="518" t="s">
        <v>328</v>
      </c>
      <c r="BV94" s="517" t="s">
        <v>329</v>
      </c>
      <c r="BW94" s="517" t="s">
        <v>2809</v>
      </c>
      <c r="BX94" s="517" t="s">
        <v>330</v>
      </c>
      <c r="CL94" s="517" t="s">
        <v>171</v>
      </c>
    </row>
    <row r="95" spans="1:91" s="528" customFormat="1" ht="24.75" customHeight="1" x14ac:dyDescent="0.25">
      <c r="A95" s="519" t="s">
        <v>331</v>
      </c>
      <c r="B95" s="520"/>
      <c r="C95" s="521"/>
      <c r="D95" s="896" t="s">
        <v>2812</v>
      </c>
      <c r="E95" s="896"/>
      <c r="F95" s="896"/>
      <c r="G95" s="896"/>
      <c r="H95" s="896"/>
      <c r="I95" s="522"/>
      <c r="J95" s="896" t="s">
        <v>2813</v>
      </c>
      <c r="K95" s="896"/>
      <c r="L95" s="896"/>
      <c r="M95" s="896"/>
      <c r="N95" s="896"/>
      <c r="O95" s="896"/>
      <c r="P95" s="896"/>
      <c r="Q95" s="896"/>
      <c r="R95" s="896"/>
      <c r="S95" s="896"/>
      <c r="T95" s="896"/>
      <c r="U95" s="896"/>
      <c r="V95" s="896"/>
      <c r="W95" s="896"/>
      <c r="X95" s="896"/>
      <c r="Y95" s="896"/>
      <c r="Z95" s="896"/>
      <c r="AA95" s="896"/>
      <c r="AB95" s="896"/>
      <c r="AC95" s="896"/>
      <c r="AD95" s="896"/>
      <c r="AE95" s="896"/>
      <c r="AF95" s="896"/>
      <c r="AG95" s="897">
        <f>'100.5 - SO 101.5 Úprava k...'!J32</f>
        <v>0</v>
      </c>
      <c r="AH95" s="898"/>
      <c r="AI95" s="898"/>
      <c r="AJ95" s="898"/>
      <c r="AK95" s="898"/>
      <c r="AL95" s="898"/>
      <c r="AM95" s="898"/>
      <c r="AN95" s="897">
        <f t="shared" si="0"/>
        <v>0</v>
      </c>
      <c r="AO95" s="898"/>
      <c r="AP95" s="898"/>
      <c r="AQ95" s="523" t="s">
        <v>334</v>
      </c>
      <c r="AR95" s="520"/>
      <c r="AS95" s="524">
        <v>0</v>
      </c>
      <c r="AT95" s="525">
        <f t="shared" si="1"/>
        <v>0</v>
      </c>
      <c r="AU95" s="526">
        <f>'100.5 - SO 101.5 Úprava k...'!P127</f>
        <v>4168.0187059999998</v>
      </c>
      <c r="AV95" s="525">
        <f>'100.5 - SO 101.5 Úprava k...'!J35</f>
        <v>0</v>
      </c>
      <c r="AW95" s="525">
        <f>'100.5 - SO 101.5 Úprava k...'!J36</f>
        <v>0</v>
      </c>
      <c r="AX95" s="525">
        <f>'100.5 - SO 101.5 Úprava k...'!J37</f>
        <v>0</v>
      </c>
      <c r="AY95" s="525">
        <f>'100.5 - SO 101.5 Úprava k...'!J38</f>
        <v>0</v>
      </c>
      <c r="AZ95" s="525">
        <f>'100.5 - SO 101.5 Úprava k...'!F35</f>
        <v>0</v>
      </c>
      <c r="BA95" s="525">
        <f>'100.5 - SO 101.5 Úprava k...'!F36</f>
        <v>0</v>
      </c>
      <c r="BB95" s="525">
        <f>'100.5 - SO 101.5 Úprava k...'!F37</f>
        <v>0</v>
      </c>
      <c r="BC95" s="525">
        <f>'100.5 - SO 101.5 Úprava k...'!F38</f>
        <v>0</v>
      </c>
      <c r="BD95" s="527">
        <f>'100.5 - SO 101.5 Úprava k...'!F39</f>
        <v>0</v>
      </c>
      <c r="BT95" s="529" t="s">
        <v>109</v>
      </c>
      <c r="BV95" s="529" t="s">
        <v>329</v>
      </c>
      <c r="BW95" s="529" t="s">
        <v>2814</v>
      </c>
      <c r="BX95" s="529" t="s">
        <v>2809</v>
      </c>
      <c r="CL95" s="529" t="s">
        <v>171</v>
      </c>
      <c r="CM95" s="529" t="s">
        <v>165</v>
      </c>
    </row>
    <row r="96" spans="1:91" s="528" customFormat="1" ht="16.5" customHeight="1" x14ac:dyDescent="0.25">
      <c r="A96" s="519" t="s">
        <v>331</v>
      </c>
      <c r="B96" s="520"/>
      <c r="C96" s="521"/>
      <c r="D96" s="896" t="s">
        <v>2815</v>
      </c>
      <c r="E96" s="896"/>
      <c r="F96" s="896"/>
      <c r="G96" s="896"/>
      <c r="H96" s="896"/>
      <c r="I96" s="522"/>
      <c r="J96" s="896" t="s">
        <v>2816</v>
      </c>
      <c r="K96" s="896"/>
      <c r="L96" s="896"/>
      <c r="M96" s="896"/>
      <c r="N96" s="896"/>
      <c r="O96" s="896"/>
      <c r="P96" s="896"/>
      <c r="Q96" s="896"/>
      <c r="R96" s="896"/>
      <c r="S96" s="896"/>
      <c r="T96" s="896"/>
      <c r="U96" s="896"/>
      <c r="V96" s="896"/>
      <c r="W96" s="896"/>
      <c r="X96" s="896"/>
      <c r="Y96" s="896"/>
      <c r="Z96" s="896"/>
      <c r="AA96" s="896"/>
      <c r="AB96" s="896"/>
      <c r="AC96" s="896"/>
      <c r="AD96" s="896"/>
      <c r="AE96" s="896"/>
      <c r="AF96" s="896"/>
      <c r="AG96" s="897">
        <f>'023 - VRN - úsek F'!J32</f>
        <v>0</v>
      </c>
      <c r="AH96" s="898"/>
      <c r="AI96" s="898"/>
      <c r="AJ96" s="898"/>
      <c r="AK96" s="898"/>
      <c r="AL96" s="898"/>
      <c r="AM96" s="898"/>
      <c r="AN96" s="897">
        <f t="shared" si="0"/>
        <v>0</v>
      </c>
      <c r="AO96" s="898"/>
      <c r="AP96" s="898"/>
      <c r="AQ96" s="523" t="s">
        <v>334</v>
      </c>
      <c r="AR96" s="520"/>
      <c r="AS96" s="524">
        <v>0</v>
      </c>
      <c r="AT96" s="525">
        <f t="shared" si="1"/>
        <v>0</v>
      </c>
      <c r="AU96" s="526">
        <f>'023 - VRN - úsek F'!P128</f>
        <v>0</v>
      </c>
      <c r="AV96" s="525">
        <f>'023 - VRN - úsek F'!J35</f>
        <v>0</v>
      </c>
      <c r="AW96" s="525">
        <f>'023 - VRN - úsek F'!J36</f>
        <v>0</v>
      </c>
      <c r="AX96" s="525">
        <f>'023 - VRN - úsek F'!J37</f>
        <v>0</v>
      </c>
      <c r="AY96" s="525">
        <f>'023 - VRN - úsek F'!J38</f>
        <v>0</v>
      </c>
      <c r="AZ96" s="525">
        <f>'023 - VRN - úsek F'!F35</f>
        <v>0</v>
      </c>
      <c r="BA96" s="525">
        <f>'023 - VRN - úsek F'!F36</f>
        <v>0</v>
      </c>
      <c r="BB96" s="525">
        <f>'023 - VRN - úsek F'!F37</f>
        <v>0</v>
      </c>
      <c r="BC96" s="525">
        <f>'023 - VRN - úsek F'!F38</f>
        <v>0</v>
      </c>
      <c r="BD96" s="527">
        <f>'023 - VRN - úsek F'!F39</f>
        <v>0</v>
      </c>
      <c r="BT96" s="529" t="s">
        <v>109</v>
      </c>
      <c r="BV96" s="529" t="s">
        <v>329</v>
      </c>
      <c r="BW96" s="529" t="s">
        <v>2817</v>
      </c>
      <c r="BX96" s="529" t="s">
        <v>2809</v>
      </c>
      <c r="CL96" s="529" t="s">
        <v>171</v>
      </c>
      <c r="CM96" s="529" t="s">
        <v>165</v>
      </c>
    </row>
    <row r="97" spans="1:91" s="528" customFormat="1" ht="16.5" customHeight="1" x14ac:dyDescent="0.25">
      <c r="A97" s="519" t="s">
        <v>331</v>
      </c>
      <c r="B97" s="520"/>
      <c r="C97" s="521"/>
      <c r="D97" s="896" t="s">
        <v>2818</v>
      </c>
      <c r="E97" s="896"/>
      <c r="F97" s="896"/>
      <c r="G97" s="896"/>
      <c r="H97" s="896"/>
      <c r="I97" s="522"/>
      <c r="J97" s="896" t="s">
        <v>2819</v>
      </c>
      <c r="K97" s="896"/>
      <c r="L97" s="896"/>
      <c r="M97" s="896"/>
      <c r="N97" s="896"/>
      <c r="O97" s="896"/>
      <c r="P97" s="896"/>
      <c r="Q97" s="896"/>
      <c r="R97" s="896"/>
      <c r="S97" s="896"/>
      <c r="T97" s="896"/>
      <c r="U97" s="896"/>
      <c r="V97" s="896"/>
      <c r="W97" s="896"/>
      <c r="X97" s="896"/>
      <c r="Y97" s="896"/>
      <c r="Z97" s="896"/>
      <c r="AA97" s="896"/>
      <c r="AB97" s="896"/>
      <c r="AC97" s="896"/>
      <c r="AD97" s="896"/>
      <c r="AE97" s="896"/>
      <c r="AF97" s="896"/>
      <c r="AG97" s="897">
        <f>'102.5 - SO 102.5 OM - úsek F'!J32</f>
        <v>0</v>
      </c>
      <c r="AH97" s="898"/>
      <c r="AI97" s="898"/>
      <c r="AJ97" s="898"/>
      <c r="AK97" s="898"/>
      <c r="AL97" s="898"/>
      <c r="AM97" s="898"/>
      <c r="AN97" s="897">
        <f t="shared" si="0"/>
        <v>0</v>
      </c>
      <c r="AO97" s="898"/>
      <c r="AP97" s="898"/>
      <c r="AQ97" s="523" t="s">
        <v>334</v>
      </c>
      <c r="AR97" s="520"/>
      <c r="AS97" s="524">
        <v>0</v>
      </c>
      <c r="AT97" s="525">
        <f t="shared" si="1"/>
        <v>0</v>
      </c>
      <c r="AU97" s="526">
        <f>'102.5 - SO 102.5 OM - úsek F'!P128</f>
        <v>27435.718141460002</v>
      </c>
      <c r="AV97" s="525">
        <f>'102.5 - SO 102.5 OM - úsek F'!J35</f>
        <v>0</v>
      </c>
      <c r="AW97" s="525">
        <f>'102.5 - SO 102.5 OM - úsek F'!J36</f>
        <v>0</v>
      </c>
      <c r="AX97" s="525">
        <f>'102.5 - SO 102.5 OM - úsek F'!J37</f>
        <v>0</v>
      </c>
      <c r="AY97" s="525">
        <f>'102.5 - SO 102.5 OM - úsek F'!J38</f>
        <v>0</v>
      </c>
      <c r="AZ97" s="525">
        <f>'102.5 - SO 102.5 OM - úsek F'!F35</f>
        <v>0</v>
      </c>
      <c r="BA97" s="525">
        <f>'102.5 - SO 102.5 OM - úsek F'!F36</f>
        <v>0</v>
      </c>
      <c r="BB97" s="525">
        <f>'102.5 - SO 102.5 OM - úsek F'!F37</f>
        <v>0</v>
      </c>
      <c r="BC97" s="525">
        <f>'102.5 - SO 102.5 OM - úsek F'!F38</f>
        <v>0</v>
      </c>
      <c r="BD97" s="527">
        <f>'102.5 - SO 102.5 OM - úsek F'!F39</f>
        <v>0</v>
      </c>
      <c r="BT97" s="529" t="s">
        <v>109</v>
      </c>
      <c r="BV97" s="529" t="s">
        <v>329</v>
      </c>
      <c r="BW97" s="529" t="s">
        <v>2820</v>
      </c>
      <c r="BX97" s="529" t="s">
        <v>2809</v>
      </c>
      <c r="CL97" s="529" t="s">
        <v>171</v>
      </c>
      <c r="CM97" s="529" t="s">
        <v>165</v>
      </c>
    </row>
    <row r="98" spans="1:91" s="528" customFormat="1" ht="24.75" customHeight="1" x14ac:dyDescent="0.25">
      <c r="A98" s="519" t="s">
        <v>331</v>
      </c>
      <c r="B98" s="520"/>
      <c r="C98" s="521"/>
      <c r="D98" s="896" t="s">
        <v>2821</v>
      </c>
      <c r="E98" s="896"/>
      <c r="F98" s="896"/>
      <c r="G98" s="896"/>
      <c r="H98" s="896"/>
      <c r="I98" s="522"/>
      <c r="J98" s="896" t="s">
        <v>2822</v>
      </c>
      <c r="K98" s="896"/>
      <c r="L98" s="896"/>
      <c r="M98" s="896"/>
      <c r="N98" s="896"/>
      <c r="O98" s="896"/>
      <c r="P98" s="896"/>
      <c r="Q98" s="896"/>
      <c r="R98" s="896"/>
      <c r="S98" s="896"/>
      <c r="T98" s="896"/>
      <c r="U98" s="896"/>
      <c r="V98" s="896"/>
      <c r="W98" s="896"/>
      <c r="X98" s="896"/>
      <c r="Y98" s="896"/>
      <c r="Z98" s="896"/>
      <c r="AA98" s="896"/>
      <c r="AB98" s="896"/>
      <c r="AC98" s="896"/>
      <c r="AD98" s="896"/>
      <c r="AE98" s="896"/>
      <c r="AF98" s="896"/>
      <c r="AG98" s="897">
        <f>'200-SO 200.F - Verejné os...'!J32</f>
        <v>0</v>
      </c>
      <c r="AH98" s="898"/>
      <c r="AI98" s="898"/>
      <c r="AJ98" s="898"/>
      <c r="AK98" s="898"/>
      <c r="AL98" s="898"/>
      <c r="AM98" s="898"/>
      <c r="AN98" s="897">
        <f t="shared" si="0"/>
        <v>0</v>
      </c>
      <c r="AO98" s="898"/>
      <c r="AP98" s="898"/>
      <c r="AQ98" s="523" t="s">
        <v>334</v>
      </c>
      <c r="AR98" s="520"/>
      <c r="AS98" s="524">
        <v>0</v>
      </c>
      <c r="AT98" s="525">
        <f t="shared" si="1"/>
        <v>0</v>
      </c>
      <c r="AU98" s="526">
        <f>'200-SO 200.F - Verejné os...'!P134</f>
        <v>1801.10619286</v>
      </c>
      <c r="AV98" s="525">
        <f>'200-SO 200.F - Verejné os...'!J35</f>
        <v>0</v>
      </c>
      <c r="AW98" s="525">
        <f>'200-SO 200.F - Verejné os...'!J36</f>
        <v>0</v>
      </c>
      <c r="AX98" s="525">
        <f>'200-SO 200.F - Verejné os...'!J37</f>
        <v>0</v>
      </c>
      <c r="AY98" s="525">
        <f>'200-SO 200.F - Verejné os...'!J38</f>
        <v>0</v>
      </c>
      <c r="AZ98" s="525">
        <f>'200-SO 200.F - Verejné os...'!F35</f>
        <v>0</v>
      </c>
      <c r="BA98" s="525">
        <f>'200-SO 200.F - Verejné os...'!F36</f>
        <v>0</v>
      </c>
      <c r="BB98" s="525">
        <f>'200-SO 200.F - Verejné os...'!F37</f>
        <v>0</v>
      </c>
      <c r="BC98" s="525">
        <f>'200-SO 200.F - Verejné os...'!F38</f>
        <v>0</v>
      </c>
      <c r="BD98" s="527">
        <f>'200-SO 200.F - Verejné os...'!F39</f>
        <v>0</v>
      </c>
      <c r="BT98" s="529" t="s">
        <v>109</v>
      </c>
      <c r="BV98" s="529" t="s">
        <v>329</v>
      </c>
      <c r="BW98" s="529" t="s">
        <v>2823</v>
      </c>
      <c r="BX98" s="529" t="s">
        <v>2809</v>
      </c>
      <c r="CL98" s="529" t="s">
        <v>171</v>
      </c>
      <c r="CM98" s="529" t="s">
        <v>165</v>
      </c>
    </row>
    <row r="99" spans="1:91" s="528" customFormat="1" ht="24.75" customHeight="1" x14ac:dyDescent="0.25">
      <c r="A99" s="519" t="s">
        <v>331</v>
      </c>
      <c r="B99" s="520"/>
      <c r="C99" s="521"/>
      <c r="D99" s="896" t="s">
        <v>2824</v>
      </c>
      <c r="E99" s="896"/>
      <c r="F99" s="896"/>
      <c r="G99" s="896"/>
      <c r="H99" s="896"/>
      <c r="I99" s="522"/>
      <c r="J99" s="896" t="s">
        <v>2825</v>
      </c>
      <c r="K99" s="896"/>
      <c r="L99" s="896"/>
      <c r="M99" s="896"/>
      <c r="N99" s="896"/>
      <c r="O99" s="896"/>
      <c r="P99" s="896"/>
      <c r="Q99" s="896"/>
      <c r="R99" s="896"/>
      <c r="S99" s="896"/>
      <c r="T99" s="896"/>
      <c r="U99" s="896"/>
      <c r="V99" s="896"/>
      <c r="W99" s="896"/>
      <c r="X99" s="896"/>
      <c r="Y99" s="896"/>
      <c r="Z99" s="896"/>
      <c r="AA99" s="896"/>
      <c r="AB99" s="896"/>
      <c r="AC99" s="896"/>
      <c r="AD99" s="896"/>
      <c r="AE99" s="896"/>
      <c r="AF99" s="896"/>
      <c r="AG99" s="897">
        <f>'401-F - SO 401  Preložka ...'!J32</f>
        <v>0</v>
      </c>
      <c r="AH99" s="898"/>
      <c r="AI99" s="898"/>
      <c r="AJ99" s="898"/>
      <c r="AK99" s="898"/>
      <c r="AL99" s="898"/>
      <c r="AM99" s="898"/>
      <c r="AN99" s="897">
        <f t="shared" si="0"/>
        <v>0</v>
      </c>
      <c r="AO99" s="898"/>
      <c r="AP99" s="898"/>
      <c r="AQ99" s="523" t="s">
        <v>334</v>
      </c>
      <c r="AR99" s="520"/>
      <c r="AS99" s="524">
        <v>0</v>
      </c>
      <c r="AT99" s="525">
        <f t="shared" si="1"/>
        <v>0</v>
      </c>
      <c r="AU99" s="526">
        <f>'401-F - SO 401  Preložka ...'!P129</f>
        <v>20100.826271000002</v>
      </c>
      <c r="AV99" s="525">
        <f>'401-F - SO 401  Preložka ...'!J35</f>
        <v>0</v>
      </c>
      <c r="AW99" s="525">
        <f>'401-F - SO 401  Preložka ...'!J36</f>
        <v>0</v>
      </c>
      <c r="AX99" s="525">
        <f>'401-F - SO 401  Preložka ...'!J37</f>
        <v>0</v>
      </c>
      <c r="AY99" s="525">
        <f>'401-F - SO 401  Preložka ...'!J38</f>
        <v>0</v>
      </c>
      <c r="AZ99" s="525">
        <f>'401-F - SO 401  Preložka ...'!F35</f>
        <v>0</v>
      </c>
      <c r="BA99" s="525">
        <f>'401-F - SO 401  Preložka ...'!F36</f>
        <v>0</v>
      </c>
      <c r="BB99" s="525">
        <f>'401-F - SO 401  Preložka ...'!F37</f>
        <v>0</v>
      </c>
      <c r="BC99" s="525">
        <f>'401-F - SO 401  Preložka ...'!F38</f>
        <v>0</v>
      </c>
      <c r="BD99" s="527">
        <f>'401-F - SO 401  Preložka ...'!F39</f>
        <v>0</v>
      </c>
      <c r="BT99" s="529" t="s">
        <v>109</v>
      </c>
      <c r="BV99" s="529" t="s">
        <v>329</v>
      </c>
      <c r="BW99" s="529" t="s">
        <v>2826</v>
      </c>
      <c r="BX99" s="529" t="s">
        <v>2809</v>
      </c>
      <c r="CL99" s="529" t="s">
        <v>171</v>
      </c>
      <c r="CM99" s="529" t="s">
        <v>165</v>
      </c>
    </row>
    <row r="100" spans="1:91" s="528" customFormat="1" ht="24.75" customHeight="1" x14ac:dyDescent="0.25">
      <c r="A100" s="519" t="s">
        <v>331</v>
      </c>
      <c r="B100" s="520"/>
      <c r="C100" s="521"/>
      <c r="D100" s="896" t="s">
        <v>2827</v>
      </c>
      <c r="E100" s="896"/>
      <c r="F100" s="896"/>
      <c r="G100" s="896"/>
      <c r="H100" s="896"/>
      <c r="I100" s="522"/>
      <c r="J100" s="896" t="s">
        <v>2828</v>
      </c>
      <c r="K100" s="896"/>
      <c r="L100" s="896"/>
      <c r="M100" s="896"/>
      <c r="N100" s="896"/>
      <c r="O100" s="896"/>
      <c r="P100" s="896"/>
      <c r="Q100" s="896"/>
      <c r="R100" s="896"/>
      <c r="S100" s="896"/>
      <c r="T100" s="896"/>
      <c r="U100" s="896"/>
      <c r="V100" s="896"/>
      <c r="W100" s="896"/>
      <c r="X100" s="896"/>
      <c r="Y100" s="896"/>
      <c r="Z100" s="896"/>
      <c r="AA100" s="896"/>
      <c r="AB100" s="896"/>
      <c r="AC100" s="896"/>
      <c r="AD100" s="896"/>
      <c r="AE100" s="896"/>
      <c r="AF100" s="896"/>
      <c r="AG100" s="897">
        <f>'402-F - SO 402  Preložka ...'!J32</f>
        <v>0</v>
      </c>
      <c r="AH100" s="898"/>
      <c r="AI100" s="898"/>
      <c r="AJ100" s="898"/>
      <c r="AK100" s="898"/>
      <c r="AL100" s="898"/>
      <c r="AM100" s="898"/>
      <c r="AN100" s="897">
        <f t="shared" si="0"/>
        <v>0</v>
      </c>
      <c r="AO100" s="898"/>
      <c r="AP100" s="898"/>
      <c r="AQ100" s="523" t="s">
        <v>334</v>
      </c>
      <c r="AR100" s="520"/>
      <c r="AS100" s="530">
        <v>0</v>
      </c>
      <c r="AT100" s="531">
        <f t="shared" si="1"/>
        <v>0</v>
      </c>
      <c r="AU100" s="532">
        <f>'402-F - SO 402  Preložka ...'!P130</f>
        <v>11025.512070000002</v>
      </c>
      <c r="AV100" s="531">
        <f>'402-F - SO 402  Preložka ...'!J35</f>
        <v>0</v>
      </c>
      <c r="AW100" s="531">
        <f>'402-F - SO 402  Preložka ...'!J36</f>
        <v>0</v>
      </c>
      <c r="AX100" s="531">
        <f>'402-F - SO 402  Preložka ...'!J37</f>
        <v>0</v>
      </c>
      <c r="AY100" s="531">
        <f>'402-F - SO 402  Preložka ...'!J38</f>
        <v>0</v>
      </c>
      <c r="AZ100" s="531">
        <f>'402-F - SO 402  Preložka ...'!F35</f>
        <v>0</v>
      </c>
      <c r="BA100" s="531">
        <f>'402-F - SO 402  Preložka ...'!F36</f>
        <v>0</v>
      </c>
      <c r="BB100" s="531">
        <f>'402-F - SO 402  Preložka ...'!F37</f>
        <v>0</v>
      </c>
      <c r="BC100" s="531">
        <f>'402-F - SO 402  Preložka ...'!F38</f>
        <v>0</v>
      </c>
      <c r="BD100" s="533">
        <f>'402-F - SO 402  Preložka ...'!F39</f>
        <v>0</v>
      </c>
      <c r="BT100" s="529" t="s">
        <v>109</v>
      </c>
      <c r="BV100" s="529" t="s">
        <v>329</v>
      </c>
      <c r="BW100" s="529" t="s">
        <v>2829</v>
      </c>
      <c r="BX100" s="529" t="s">
        <v>2809</v>
      </c>
      <c r="CL100" s="529" t="s">
        <v>171</v>
      </c>
      <c r="CM100" s="529" t="s">
        <v>165</v>
      </c>
    </row>
    <row r="101" spans="1:91" x14ac:dyDescent="0.2">
      <c r="B101" s="360"/>
      <c r="AR101" s="360"/>
    </row>
    <row r="102" spans="1:91" s="365" customFormat="1" ht="30" customHeight="1" x14ac:dyDescent="0.25">
      <c r="B102" s="364"/>
      <c r="C102" s="427" t="s">
        <v>3060</v>
      </c>
      <c r="AG102" s="895">
        <v>0</v>
      </c>
      <c r="AH102" s="895"/>
      <c r="AI102" s="895"/>
      <c r="AJ102" s="895"/>
      <c r="AK102" s="895"/>
      <c r="AL102" s="895"/>
      <c r="AM102" s="895"/>
      <c r="AN102" s="895">
        <v>0</v>
      </c>
      <c r="AO102" s="895"/>
      <c r="AP102" s="895"/>
      <c r="AQ102" s="534"/>
      <c r="AR102" s="364"/>
      <c r="AS102" s="423" t="s">
        <v>3061</v>
      </c>
      <c r="AT102" s="424" t="s">
        <v>3062</v>
      </c>
      <c r="AU102" s="424" t="s">
        <v>183</v>
      </c>
      <c r="AV102" s="425" t="s">
        <v>316</v>
      </c>
    </row>
    <row r="103" spans="1:91" s="365" customFormat="1" ht="10.9" customHeight="1" x14ac:dyDescent="0.25">
      <c r="B103" s="364"/>
      <c r="AR103" s="364"/>
    </row>
    <row r="104" spans="1:91" s="365" customFormat="1" ht="30" customHeight="1" x14ac:dyDescent="0.25">
      <c r="B104" s="364"/>
      <c r="C104" s="416" t="s">
        <v>3063</v>
      </c>
      <c r="D104" s="384"/>
      <c r="E104" s="384"/>
      <c r="F104" s="384"/>
      <c r="G104" s="384"/>
      <c r="H104" s="384"/>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384"/>
      <c r="AF104" s="384"/>
      <c r="AG104" s="899">
        <f>ROUND(AG94 + AG102, 2)</f>
        <v>0</v>
      </c>
      <c r="AH104" s="899"/>
      <c r="AI104" s="899"/>
      <c r="AJ104" s="899"/>
      <c r="AK104" s="899"/>
      <c r="AL104" s="899"/>
      <c r="AM104" s="899"/>
      <c r="AN104" s="899">
        <f>ROUND(AN94 + AN102, 2)</f>
        <v>0</v>
      </c>
      <c r="AO104" s="899"/>
      <c r="AP104" s="899"/>
      <c r="AQ104" s="384"/>
      <c r="AR104" s="364"/>
    </row>
    <row r="105" spans="1:91" s="365" customFormat="1" ht="6.95" customHeight="1" x14ac:dyDescent="0.25">
      <c r="B105" s="397"/>
      <c r="C105" s="398"/>
      <c r="D105" s="398"/>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c r="AA105" s="398"/>
      <c r="AB105" s="398"/>
      <c r="AC105" s="398"/>
      <c r="AD105" s="398"/>
      <c r="AE105" s="398"/>
      <c r="AF105" s="398"/>
      <c r="AG105" s="398"/>
      <c r="AH105" s="398"/>
      <c r="AI105" s="398"/>
      <c r="AJ105" s="398"/>
      <c r="AK105" s="398"/>
      <c r="AL105" s="398"/>
      <c r="AM105" s="398"/>
      <c r="AN105" s="398"/>
      <c r="AO105" s="398"/>
      <c r="AP105" s="398"/>
      <c r="AQ105" s="398"/>
      <c r="AR105" s="364"/>
    </row>
  </sheetData>
  <sheetProtection algorithmName="SHA-512" hashValue="zQFS2MthmfR2qDd32Sby5H3izVrJ91Mxnpr8nVqNi6dC1eINzj8TXhtQvrcfd1aOjYO8g9Yo9n/pRO0coe5SaQ==" saltValue="yFv6SXozghvehY4sJW2hlw==" spinCount="100000" sheet="1" objects="1" scenarios="1"/>
  <mergeCells count="66">
    <mergeCell ref="AG102:AM102"/>
    <mergeCell ref="AN102:AP102"/>
    <mergeCell ref="AG104:AM104"/>
    <mergeCell ref="AN104:AP104"/>
    <mergeCell ref="D99:H99"/>
    <mergeCell ref="J99:AF99"/>
    <mergeCell ref="AG99:AM99"/>
    <mergeCell ref="AN99:AP99"/>
    <mergeCell ref="D100:H100"/>
    <mergeCell ref="J100:AF100"/>
    <mergeCell ref="AG100:AM100"/>
    <mergeCell ref="AN100:AP100"/>
    <mergeCell ref="D97:H97"/>
    <mergeCell ref="J97:AF97"/>
    <mergeCell ref="AG97:AM97"/>
    <mergeCell ref="AN97:AP97"/>
    <mergeCell ref="D98:H98"/>
    <mergeCell ref="J98:AF98"/>
    <mergeCell ref="AG98:AM98"/>
    <mergeCell ref="AN98:AP98"/>
    <mergeCell ref="D95:H95"/>
    <mergeCell ref="J95:AF95"/>
    <mergeCell ref="AG95:AM95"/>
    <mergeCell ref="AN95:AP95"/>
    <mergeCell ref="D96:H96"/>
    <mergeCell ref="J96:AF96"/>
    <mergeCell ref="AG96:AM96"/>
    <mergeCell ref="AN96:AP96"/>
    <mergeCell ref="C92:G92"/>
    <mergeCell ref="I92:AF92"/>
    <mergeCell ref="AG92:AM92"/>
    <mergeCell ref="AN92:AP92"/>
    <mergeCell ref="AG94:AM94"/>
    <mergeCell ref="AN94:AP94"/>
    <mergeCell ref="AS89:AT91"/>
    <mergeCell ref="AM90:AP90"/>
    <mergeCell ref="L35:P35"/>
    <mergeCell ref="W35:AE35"/>
    <mergeCell ref="AK35:AO35"/>
    <mergeCell ref="L36:P36"/>
    <mergeCell ref="W36:AE36"/>
    <mergeCell ref="AK36:AO36"/>
    <mergeCell ref="X38:AB38"/>
    <mergeCell ref="AK38:AO38"/>
    <mergeCell ref="L85:AJ85"/>
    <mergeCell ref="AM87:AN87"/>
    <mergeCell ref="AM89:AP89"/>
    <mergeCell ref="L33:P33"/>
    <mergeCell ref="W33:AE33"/>
    <mergeCell ref="AK33:AO33"/>
    <mergeCell ref="L34:P34"/>
    <mergeCell ref="W34:AE34"/>
    <mergeCell ref="AK34:AO34"/>
    <mergeCell ref="AK29:AO29"/>
    <mergeCell ref="L31:P31"/>
    <mergeCell ref="W31:AE31"/>
    <mergeCell ref="AK31:AO31"/>
    <mergeCell ref="L32:P32"/>
    <mergeCell ref="W32:AE32"/>
    <mergeCell ref="AK32:AO32"/>
    <mergeCell ref="AK27:AO27"/>
    <mergeCell ref="AR2:BE2"/>
    <mergeCell ref="K5:AJ5"/>
    <mergeCell ref="K6:AJ6"/>
    <mergeCell ref="E23:AN23"/>
    <mergeCell ref="AK26:AO26"/>
  </mergeCells>
  <hyperlinks>
    <hyperlink ref="A95" location="'100.5 - SO 101.5 Úprava k...'!C2" display="/" xr:uid="{76F2A634-2042-4EFE-9AD2-56FAB2308EBA}"/>
    <hyperlink ref="A96" location="'023 - VRN - úsek F'!C2" display="/" xr:uid="{DA2F7AAE-EDA8-402C-AA5B-0BF329AC1703}"/>
    <hyperlink ref="A97" location="'102.5 - SO 102.5 OM - úsek F'!C2" display="/" xr:uid="{0F1134D0-6939-4D3F-B024-4BDBA60BC34F}"/>
    <hyperlink ref="A98" location="'200-SO 200.F - Verejné os...'!C2" display="/" xr:uid="{7C9DE33F-2740-47C6-A255-E80C90AB74AB}"/>
    <hyperlink ref="A99" location="'401-F - SO 401  Preložka ...'!C2" display="/" xr:uid="{1D4EB8F0-109B-4820-B7F3-7B4C3C702BCD}"/>
    <hyperlink ref="A100" location="'402-F - SO 402  Preložka ...'!C2" display="/" xr:uid="{F1B940E7-1F29-4EDA-BCB3-6AD440736782}"/>
  </hyperlink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36ED8-2528-45BD-BC31-AC284091A544}">
  <sheetPr codeName="Hárok33">
    <pageSetUpPr fitToPage="1"/>
  </sheetPr>
  <dimension ref="B2:BM221"/>
  <sheetViews>
    <sheetView topLeftCell="A196" workbookViewId="0">
      <selection activeCell="I206" sqref="I206"/>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2814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 ÚSEK F '!K6</f>
        <v>Cyklotrasa - Devín_F</v>
      </c>
      <c r="F7" s="860"/>
      <c r="G7" s="860"/>
      <c r="H7" s="860"/>
      <c r="L7" s="360"/>
    </row>
    <row r="8" spans="2:46" s="365" customFormat="1" ht="12" customHeight="1" x14ac:dyDescent="0.25">
      <c r="B8" s="364"/>
      <c r="D8" s="363" t="s">
        <v>408</v>
      </c>
      <c r="L8" s="364"/>
    </row>
    <row r="9" spans="2:46" s="365" customFormat="1" ht="30" customHeight="1" x14ac:dyDescent="0.25">
      <c r="B9" s="364"/>
      <c r="E9" s="857" t="s">
        <v>2830</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63" t="str">
        <f>'Rekapitulácia stavby - ÚSEK F '!E14</f>
        <v>Údaj sa automaticky zobrazí aj vo Výkaze výmer</v>
      </c>
      <c r="F18" s="863"/>
      <c r="G18" s="863"/>
      <c r="H18" s="863"/>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SUM(BE127:BE220)),  2)</f>
        <v>0</v>
      </c>
      <c r="G35" s="380"/>
      <c r="H35" s="380"/>
      <c r="I35" s="381">
        <v>0.23</v>
      </c>
      <c r="J35" s="379">
        <f>ROUND(((SUM(BE106:BE107) + SUM(BE127:BE220))*I35),  2)</f>
        <v>0</v>
      </c>
      <c r="L35" s="364"/>
    </row>
    <row r="36" spans="2:12" s="365" customFormat="1" ht="14.45" customHeight="1" x14ac:dyDescent="0.25">
      <c r="B36" s="364"/>
      <c r="E36" s="378" t="s">
        <v>185</v>
      </c>
      <c r="F36" s="382">
        <f>ROUND((SUM(BF106:BF107) + SUM(BF127:BF220)),  2)</f>
        <v>0</v>
      </c>
      <c r="I36" s="383">
        <v>0.23</v>
      </c>
      <c r="J36" s="382">
        <f>ROUND(((SUM(BF106:BF107) + SUM(BF127:BF220))*I36),  2)</f>
        <v>0</v>
      </c>
      <c r="L36" s="364"/>
    </row>
    <row r="37" spans="2:12" s="365" customFormat="1" ht="14.45" hidden="1" customHeight="1" x14ac:dyDescent="0.25">
      <c r="B37" s="364"/>
      <c r="E37" s="363" t="s">
        <v>186</v>
      </c>
      <c r="F37" s="382">
        <f>ROUND((SUM(BG106:BG107) + SUM(BG127:BG220)),  2)</f>
        <v>0</v>
      </c>
      <c r="I37" s="383">
        <v>0.23</v>
      </c>
      <c r="J37" s="382">
        <f>0</f>
        <v>0</v>
      </c>
      <c r="L37" s="364"/>
    </row>
    <row r="38" spans="2:12" s="365" customFormat="1" ht="14.45" hidden="1" customHeight="1" x14ac:dyDescent="0.25">
      <c r="B38" s="364"/>
      <c r="E38" s="363" t="s">
        <v>187</v>
      </c>
      <c r="F38" s="382">
        <f>ROUND((SUM(BH106:BH107) + SUM(BH127:BH220)),  2)</f>
        <v>0</v>
      </c>
      <c r="I38" s="383">
        <v>0.23</v>
      </c>
      <c r="J38" s="382">
        <f>0</f>
        <v>0</v>
      </c>
      <c r="L38" s="364"/>
    </row>
    <row r="39" spans="2:12" s="365" customFormat="1" ht="14.45" hidden="1" customHeight="1" x14ac:dyDescent="0.25">
      <c r="B39" s="364"/>
      <c r="E39" s="378" t="s">
        <v>188</v>
      </c>
      <c r="F39" s="379">
        <f>ROUND((SUM(BI106:BI107) + SUM(BI127:BI220)),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Devín_F</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100.5 - SO 101.5 Úprava komunikácie - Devínska cesta, úsek F</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412</v>
      </c>
      <c r="E99" s="412"/>
      <c r="F99" s="412"/>
      <c r="G99" s="412"/>
      <c r="H99" s="412"/>
      <c r="I99" s="412"/>
      <c r="J99" s="413">
        <f>J149</f>
        <v>0</v>
      </c>
      <c r="L99" s="409"/>
    </row>
    <row r="100" spans="2:14" s="410" customFormat="1" ht="19.899999999999999" customHeight="1" x14ac:dyDescent="0.25">
      <c r="B100" s="409"/>
      <c r="D100" s="411" t="s">
        <v>683</v>
      </c>
      <c r="E100" s="412"/>
      <c r="F100" s="412"/>
      <c r="G100" s="412"/>
      <c r="H100" s="412"/>
      <c r="I100" s="412"/>
      <c r="J100" s="413">
        <f>J151</f>
        <v>0</v>
      </c>
      <c r="L100" s="409"/>
    </row>
    <row r="101" spans="2:14" s="410" customFormat="1" ht="19.899999999999999" customHeight="1" x14ac:dyDescent="0.25">
      <c r="B101" s="409"/>
      <c r="D101" s="411" t="s">
        <v>414</v>
      </c>
      <c r="E101" s="412"/>
      <c r="F101" s="412"/>
      <c r="G101" s="412"/>
      <c r="H101" s="412"/>
      <c r="I101" s="412"/>
      <c r="J101" s="413">
        <f>J179</f>
        <v>0</v>
      </c>
      <c r="L101" s="409"/>
    </row>
    <row r="102" spans="2:14" s="410" customFormat="1" ht="19.899999999999999" customHeight="1" x14ac:dyDescent="0.25">
      <c r="B102" s="409"/>
      <c r="D102" s="411" t="s">
        <v>415</v>
      </c>
      <c r="E102" s="412"/>
      <c r="F102" s="412"/>
      <c r="G102" s="412"/>
      <c r="H102" s="412"/>
      <c r="I102" s="412"/>
      <c r="J102" s="413">
        <f>J214</f>
        <v>0</v>
      </c>
      <c r="L102" s="409"/>
    </row>
    <row r="103" spans="2:14" s="405" customFormat="1" ht="24.95" customHeight="1" x14ac:dyDescent="0.25">
      <c r="B103" s="404"/>
      <c r="D103" s="406" t="s">
        <v>416</v>
      </c>
      <c r="E103" s="407"/>
      <c r="F103" s="407"/>
      <c r="G103" s="407"/>
      <c r="H103" s="407"/>
      <c r="I103" s="407"/>
      <c r="J103" s="408">
        <f>J220</f>
        <v>0</v>
      </c>
      <c r="L103" s="404"/>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3066</v>
      </c>
      <c r="J106" s="414">
        <v>0</v>
      </c>
      <c r="L106" s="364"/>
      <c r="N106" s="415" t="s">
        <v>183</v>
      </c>
    </row>
    <row r="107" spans="2:14" s="365" customFormat="1" ht="18" customHeight="1" x14ac:dyDescent="0.25">
      <c r="B107" s="364"/>
      <c r="L107" s="364"/>
    </row>
    <row r="108" spans="2:14" s="365" customFormat="1" ht="29.25" customHeight="1" x14ac:dyDescent="0.25">
      <c r="B108" s="364"/>
      <c r="C108" s="416" t="s">
        <v>3063</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59" t="str">
        <f>E7</f>
        <v>Cyklotrasa - Devín_F</v>
      </c>
      <c r="F117" s="860"/>
      <c r="G117" s="860"/>
      <c r="H117" s="860"/>
      <c r="L117" s="364"/>
    </row>
    <row r="118" spans="2:63" s="365" customFormat="1" ht="12" customHeight="1" x14ac:dyDescent="0.25">
      <c r="B118" s="364"/>
      <c r="C118" s="363" t="s">
        <v>408</v>
      </c>
      <c r="L118" s="364"/>
    </row>
    <row r="119" spans="2:63" s="365" customFormat="1" ht="30" customHeight="1" x14ac:dyDescent="0.25">
      <c r="B119" s="364"/>
      <c r="E119" s="857" t="str">
        <f>E9</f>
        <v>100.5 - SO 101.5 Úprava komunikácie - Devínska cesta, úsek F</v>
      </c>
      <c r="F119" s="858"/>
      <c r="G119" s="858"/>
      <c r="H119" s="858"/>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P128+P220</f>
        <v>4168.0187059999998</v>
      </c>
      <c r="Q127" s="371"/>
      <c r="R127" s="430">
        <f>R128+R220</f>
        <v>3542.8337774099996</v>
      </c>
      <c r="S127" s="371"/>
      <c r="T127" s="431">
        <f>T128+T220</f>
        <v>1142.797</v>
      </c>
      <c r="AT127" s="357" t="s">
        <v>216</v>
      </c>
      <c r="AU127" s="357" t="s">
        <v>202</v>
      </c>
      <c r="BK127" s="432">
        <f>BK128+BK220</f>
        <v>0</v>
      </c>
    </row>
    <row r="128" spans="2:63" s="434" customFormat="1" ht="25.9" customHeight="1" x14ac:dyDescent="0.2">
      <c r="B128" s="433"/>
      <c r="D128" s="435" t="s">
        <v>216</v>
      </c>
      <c r="E128" s="436" t="s">
        <v>418</v>
      </c>
      <c r="F128" s="436" t="s">
        <v>419</v>
      </c>
      <c r="J128" s="437">
        <f>BK128</f>
        <v>0</v>
      </c>
      <c r="L128" s="433"/>
      <c r="M128" s="438"/>
      <c r="P128" s="439">
        <f>P129+P149+P151+P179+P214</f>
        <v>4168.0187059999998</v>
      </c>
      <c r="R128" s="439">
        <f>R129+R149+R151+R179+R214</f>
        <v>3542.8337774099996</v>
      </c>
      <c r="T128" s="440">
        <f>T129+T149+T151+T179+T214</f>
        <v>1142.797</v>
      </c>
      <c r="AR128" s="435" t="s">
        <v>109</v>
      </c>
      <c r="AT128" s="441" t="s">
        <v>216</v>
      </c>
      <c r="AU128" s="441" t="s">
        <v>165</v>
      </c>
      <c r="AY128" s="435" t="s">
        <v>217</v>
      </c>
      <c r="BK128" s="442">
        <f>BK129+BK149+BK151+BK179+BK214</f>
        <v>0</v>
      </c>
    </row>
    <row r="129" spans="2:65" s="434" customFormat="1" ht="22.9" customHeight="1" x14ac:dyDescent="0.2">
      <c r="B129" s="433"/>
      <c r="D129" s="435" t="s">
        <v>216</v>
      </c>
      <c r="E129" s="443" t="s">
        <v>109</v>
      </c>
      <c r="F129" s="443" t="s">
        <v>220</v>
      </c>
      <c r="J129" s="444">
        <f>BK129</f>
        <v>0</v>
      </c>
      <c r="L129" s="433"/>
      <c r="M129" s="438"/>
      <c r="P129" s="439">
        <f>SUM(P130:P148)</f>
        <v>1245.59592</v>
      </c>
      <c r="R129" s="439">
        <f>SUM(R130:R148)</f>
        <v>457.04166995999998</v>
      </c>
      <c r="T129" s="440">
        <f>SUM(T130:T148)</f>
        <v>1141.56</v>
      </c>
      <c r="AR129" s="435" t="s">
        <v>109</v>
      </c>
      <c r="AT129" s="441" t="s">
        <v>216</v>
      </c>
      <c r="AU129" s="441" t="s">
        <v>109</v>
      </c>
      <c r="AY129" s="435" t="s">
        <v>217</v>
      </c>
      <c r="BK129" s="442">
        <f>SUM(BK130:BK148)</f>
        <v>0</v>
      </c>
    </row>
    <row r="130" spans="2:65" s="365" customFormat="1" ht="37.9" customHeight="1" x14ac:dyDescent="0.25">
      <c r="B130" s="364"/>
      <c r="C130" s="445" t="s">
        <v>109</v>
      </c>
      <c r="D130" s="445" t="s">
        <v>218</v>
      </c>
      <c r="E130" s="446" t="s">
        <v>420</v>
      </c>
      <c r="F130" s="447" t="s">
        <v>421</v>
      </c>
      <c r="G130" s="448" t="s">
        <v>111</v>
      </c>
      <c r="H130" s="449">
        <v>2700</v>
      </c>
      <c r="I130" s="329">
        <v>0</v>
      </c>
      <c r="J130" s="450">
        <f t="shared" ref="J130:J148" si="0">ROUND(I130*H130,2)</f>
        <v>0</v>
      </c>
      <c r="K130" s="451"/>
      <c r="L130" s="364"/>
      <c r="M130" s="452" t="s">
        <v>171</v>
      </c>
      <c r="N130" s="415" t="s">
        <v>185</v>
      </c>
      <c r="O130" s="453">
        <v>5.2500000000000003E-3</v>
      </c>
      <c r="P130" s="453">
        <f t="shared" ref="P130:P148" si="1">O130*H130</f>
        <v>14.175000000000001</v>
      </c>
      <c r="Q130" s="453">
        <v>0</v>
      </c>
      <c r="R130" s="453">
        <f t="shared" ref="R130:R148" si="2">Q130*H130</f>
        <v>0</v>
      </c>
      <c r="S130" s="453">
        <v>0</v>
      </c>
      <c r="T130" s="454">
        <f t="shared" ref="T130:T148" si="3">S130*H130</f>
        <v>0</v>
      </c>
      <c r="AR130" s="455" t="s">
        <v>110</v>
      </c>
      <c r="AT130" s="455" t="s">
        <v>218</v>
      </c>
      <c r="AU130" s="455" t="s">
        <v>108</v>
      </c>
      <c r="AY130" s="357" t="s">
        <v>217</v>
      </c>
      <c r="BE130" s="456">
        <f t="shared" ref="BE130:BE148" si="4">IF(N130="základná",J130,0)</f>
        <v>0</v>
      </c>
      <c r="BF130" s="456">
        <f t="shared" ref="BF130:BF148" si="5">IF(N130="znížená",J130,0)</f>
        <v>0</v>
      </c>
      <c r="BG130" s="456">
        <f t="shared" ref="BG130:BG148" si="6">IF(N130="zákl. prenesená",J130,0)</f>
        <v>0</v>
      </c>
      <c r="BH130" s="456">
        <f t="shared" ref="BH130:BH148" si="7">IF(N130="zníž. prenesená",J130,0)</f>
        <v>0</v>
      </c>
      <c r="BI130" s="456">
        <f t="shared" ref="BI130:BI148" si="8">IF(N130="nulová",J130,0)</f>
        <v>0</v>
      </c>
      <c r="BJ130" s="357" t="s">
        <v>108</v>
      </c>
      <c r="BK130" s="456">
        <f t="shared" ref="BK130:BK148" si="9">ROUND(I130*H130,2)</f>
        <v>0</v>
      </c>
      <c r="BL130" s="357" t="s">
        <v>110</v>
      </c>
      <c r="BM130" s="455" t="s">
        <v>684</v>
      </c>
    </row>
    <row r="131" spans="2:65" s="365" customFormat="1" ht="24.2" customHeight="1" x14ac:dyDescent="0.25">
      <c r="B131" s="364"/>
      <c r="C131" s="445" t="s">
        <v>108</v>
      </c>
      <c r="D131" s="445" t="s">
        <v>218</v>
      </c>
      <c r="E131" s="446" t="s">
        <v>423</v>
      </c>
      <c r="F131" s="447" t="s">
        <v>685</v>
      </c>
      <c r="G131" s="448" t="s">
        <v>111</v>
      </c>
      <c r="H131" s="449">
        <v>2700</v>
      </c>
      <c r="I131" s="329">
        <v>0</v>
      </c>
      <c r="J131" s="450">
        <f t="shared" si="0"/>
        <v>0</v>
      </c>
      <c r="K131" s="451"/>
      <c r="L131" s="364"/>
      <c r="M131" s="452" t="s">
        <v>171</v>
      </c>
      <c r="N131" s="415" t="s">
        <v>185</v>
      </c>
      <c r="O131" s="453">
        <v>0.16300000000000001</v>
      </c>
      <c r="P131" s="453">
        <f t="shared" si="1"/>
        <v>440.1</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686</v>
      </c>
    </row>
    <row r="132" spans="2:65" s="365" customFormat="1" ht="37.9" customHeight="1" x14ac:dyDescent="0.25">
      <c r="B132" s="364"/>
      <c r="C132" s="445" t="s">
        <v>119</v>
      </c>
      <c r="D132" s="445" t="s">
        <v>218</v>
      </c>
      <c r="E132" s="446" t="s">
        <v>1078</v>
      </c>
      <c r="F132" s="447" t="s">
        <v>2831</v>
      </c>
      <c r="G132" s="448" t="s">
        <v>111</v>
      </c>
      <c r="H132" s="449">
        <v>45</v>
      </c>
      <c r="I132" s="329">
        <v>0</v>
      </c>
      <c r="J132" s="450">
        <f t="shared" si="0"/>
        <v>0</v>
      </c>
      <c r="K132" s="451"/>
      <c r="L132" s="364"/>
      <c r="M132" s="452" t="s">
        <v>171</v>
      </c>
      <c r="N132" s="415" t="s">
        <v>185</v>
      </c>
      <c r="O132" s="453">
        <v>0.20799999999999999</v>
      </c>
      <c r="P132" s="453">
        <f t="shared" si="1"/>
        <v>9.36</v>
      </c>
      <c r="Q132" s="453">
        <v>0</v>
      </c>
      <c r="R132" s="453">
        <f t="shared" si="2"/>
        <v>0</v>
      </c>
      <c r="S132" s="453">
        <v>0.13800000000000001</v>
      </c>
      <c r="T132" s="454">
        <f t="shared" si="3"/>
        <v>6.2100000000000009</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2832</v>
      </c>
    </row>
    <row r="133" spans="2:65" s="365" customFormat="1" ht="37.9" customHeight="1" x14ac:dyDescent="0.25">
      <c r="B133" s="364"/>
      <c r="C133" s="445" t="s">
        <v>110</v>
      </c>
      <c r="D133" s="445" t="s">
        <v>218</v>
      </c>
      <c r="E133" s="446" t="s">
        <v>690</v>
      </c>
      <c r="F133" s="447" t="s">
        <v>691</v>
      </c>
      <c r="G133" s="448" t="s">
        <v>111</v>
      </c>
      <c r="H133" s="449">
        <v>4248</v>
      </c>
      <c r="I133" s="329">
        <v>0</v>
      </c>
      <c r="J133" s="450">
        <f t="shared" si="0"/>
        <v>0</v>
      </c>
      <c r="K133" s="451"/>
      <c r="L133" s="364"/>
      <c r="M133" s="452" t="s">
        <v>171</v>
      </c>
      <c r="N133" s="415" t="s">
        <v>185</v>
      </c>
      <c r="O133" s="453">
        <v>2.7099999999999999E-2</v>
      </c>
      <c r="P133" s="453">
        <f t="shared" si="1"/>
        <v>115.1208</v>
      </c>
      <c r="Q133" s="453">
        <v>1.0127E-4</v>
      </c>
      <c r="R133" s="453">
        <f t="shared" si="2"/>
        <v>0.43019496000000002</v>
      </c>
      <c r="S133" s="453">
        <v>0.125</v>
      </c>
      <c r="T133" s="454">
        <f t="shared" si="3"/>
        <v>531</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692</v>
      </c>
    </row>
    <row r="134" spans="2:65" s="365" customFormat="1" ht="37.9" customHeight="1" x14ac:dyDescent="0.25">
      <c r="B134" s="364"/>
      <c r="C134" s="445" t="s">
        <v>118</v>
      </c>
      <c r="D134" s="445" t="s">
        <v>218</v>
      </c>
      <c r="E134" s="446" t="s">
        <v>696</v>
      </c>
      <c r="F134" s="447" t="s">
        <v>697</v>
      </c>
      <c r="G134" s="448" t="s">
        <v>111</v>
      </c>
      <c r="H134" s="449">
        <v>474</v>
      </c>
      <c r="I134" s="329">
        <v>0</v>
      </c>
      <c r="J134" s="450">
        <f t="shared" si="0"/>
        <v>0</v>
      </c>
      <c r="K134" s="451"/>
      <c r="L134" s="364"/>
      <c r="M134" s="452" t="s">
        <v>171</v>
      </c>
      <c r="N134" s="415" t="s">
        <v>185</v>
      </c>
      <c r="O134" s="453">
        <v>0.113</v>
      </c>
      <c r="P134" s="453">
        <f t="shared" si="1"/>
        <v>53.562000000000005</v>
      </c>
      <c r="Q134" s="453">
        <v>0</v>
      </c>
      <c r="R134" s="453">
        <f t="shared" si="2"/>
        <v>0</v>
      </c>
      <c r="S134" s="453">
        <v>0.4</v>
      </c>
      <c r="T134" s="454">
        <f t="shared" si="3"/>
        <v>189.60000000000002</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698</v>
      </c>
    </row>
    <row r="135" spans="2:65" s="365" customFormat="1" ht="33" customHeight="1" x14ac:dyDescent="0.25">
      <c r="B135" s="364"/>
      <c r="C135" s="445" t="s">
        <v>117</v>
      </c>
      <c r="D135" s="445" t="s">
        <v>218</v>
      </c>
      <c r="E135" s="446" t="s">
        <v>699</v>
      </c>
      <c r="F135" s="447" t="s">
        <v>700</v>
      </c>
      <c r="G135" s="448" t="s">
        <v>111</v>
      </c>
      <c r="H135" s="449">
        <v>474</v>
      </c>
      <c r="I135" s="329">
        <v>0</v>
      </c>
      <c r="J135" s="450">
        <f t="shared" si="0"/>
        <v>0</v>
      </c>
      <c r="K135" s="451"/>
      <c r="L135" s="364"/>
      <c r="M135" s="452" t="s">
        <v>171</v>
      </c>
      <c r="N135" s="415" t="s">
        <v>185</v>
      </c>
      <c r="O135" s="453">
        <v>0.1867</v>
      </c>
      <c r="P135" s="453">
        <f t="shared" si="1"/>
        <v>88.495800000000003</v>
      </c>
      <c r="Q135" s="453">
        <v>0</v>
      </c>
      <c r="R135" s="453">
        <f t="shared" si="2"/>
        <v>0</v>
      </c>
      <c r="S135" s="453">
        <v>0.5</v>
      </c>
      <c r="T135" s="454">
        <f t="shared" si="3"/>
        <v>237</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701</v>
      </c>
    </row>
    <row r="136" spans="2:65" s="365" customFormat="1" ht="24.2" customHeight="1" x14ac:dyDescent="0.25">
      <c r="B136" s="364"/>
      <c r="C136" s="445" t="s">
        <v>116</v>
      </c>
      <c r="D136" s="445" t="s">
        <v>218</v>
      </c>
      <c r="E136" s="446" t="s">
        <v>702</v>
      </c>
      <c r="F136" s="447" t="s">
        <v>703</v>
      </c>
      <c r="G136" s="448" t="s">
        <v>111</v>
      </c>
      <c r="H136" s="449">
        <v>474</v>
      </c>
      <c r="I136" s="329">
        <v>0</v>
      </c>
      <c r="J136" s="450">
        <f t="shared" si="0"/>
        <v>0</v>
      </c>
      <c r="K136" s="451"/>
      <c r="L136" s="364"/>
      <c r="M136" s="452" t="s">
        <v>171</v>
      </c>
      <c r="N136" s="415" t="s">
        <v>185</v>
      </c>
      <c r="O136" s="453">
        <v>0.125</v>
      </c>
      <c r="P136" s="453">
        <f t="shared" si="1"/>
        <v>59.25</v>
      </c>
      <c r="Q136" s="453">
        <v>0</v>
      </c>
      <c r="R136" s="453">
        <f t="shared" si="2"/>
        <v>0</v>
      </c>
      <c r="S136" s="453">
        <v>0.375</v>
      </c>
      <c r="T136" s="454">
        <f t="shared" si="3"/>
        <v>177.75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704</v>
      </c>
    </row>
    <row r="137" spans="2:65" s="365" customFormat="1" ht="24.2" customHeight="1" x14ac:dyDescent="0.25">
      <c r="B137" s="364"/>
      <c r="C137" s="445" t="s">
        <v>115</v>
      </c>
      <c r="D137" s="445" t="s">
        <v>218</v>
      </c>
      <c r="E137" s="446" t="s">
        <v>426</v>
      </c>
      <c r="F137" s="447" t="s">
        <v>427</v>
      </c>
      <c r="G137" s="448" t="s">
        <v>111</v>
      </c>
      <c r="H137" s="449">
        <v>2700</v>
      </c>
      <c r="I137" s="329">
        <v>0</v>
      </c>
      <c r="J137" s="450">
        <f t="shared" si="0"/>
        <v>0</v>
      </c>
      <c r="K137" s="451"/>
      <c r="L137" s="364"/>
      <c r="M137" s="452" t="s">
        <v>171</v>
      </c>
      <c r="N137" s="415" t="s">
        <v>185</v>
      </c>
      <c r="O137" s="453">
        <v>6.6000000000000003E-2</v>
      </c>
      <c r="P137" s="453">
        <f t="shared" si="1"/>
        <v>178.20000000000002</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708</v>
      </c>
    </row>
    <row r="138" spans="2:65" s="365" customFormat="1" ht="24.2" customHeight="1" x14ac:dyDescent="0.25">
      <c r="B138" s="364"/>
      <c r="C138" s="445" t="s">
        <v>162</v>
      </c>
      <c r="D138" s="445" t="s">
        <v>218</v>
      </c>
      <c r="E138" s="446" t="s">
        <v>709</v>
      </c>
      <c r="F138" s="447" t="s">
        <v>710</v>
      </c>
      <c r="G138" s="448" t="s">
        <v>114</v>
      </c>
      <c r="H138" s="449">
        <v>296</v>
      </c>
      <c r="I138" s="329">
        <v>0</v>
      </c>
      <c r="J138" s="450">
        <f t="shared" si="0"/>
        <v>0</v>
      </c>
      <c r="K138" s="451"/>
      <c r="L138" s="364"/>
      <c r="M138" s="452" t="s">
        <v>171</v>
      </c>
      <c r="N138" s="415" t="s">
        <v>185</v>
      </c>
      <c r="O138" s="453">
        <v>3.1E-2</v>
      </c>
      <c r="P138" s="453">
        <f t="shared" si="1"/>
        <v>9.1760000000000002</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711</v>
      </c>
    </row>
    <row r="139" spans="2:65" s="365" customFormat="1" ht="37.9" customHeight="1" x14ac:dyDescent="0.25">
      <c r="B139" s="364"/>
      <c r="C139" s="445" t="s">
        <v>221</v>
      </c>
      <c r="D139" s="445" t="s">
        <v>218</v>
      </c>
      <c r="E139" s="446" t="s">
        <v>712</v>
      </c>
      <c r="F139" s="447" t="s">
        <v>2833</v>
      </c>
      <c r="G139" s="448" t="s">
        <v>114</v>
      </c>
      <c r="H139" s="449">
        <v>624</v>
      </c>
      <c r="I139" s="329">
        <v>0</v>
      </c>
      <c r="J139" s="450">
        <f t="shared" si="0"/>
        <v>0</v>
      </c>
      <c r="K139" s="451"/>
      <c r="L139" s="364"/>
      <c r="M139" s="452" t="s">
        <v>171</v>
      </c>
      <c r="N139" s="415" t="s">
        <v>185</v>
      </c>
      <c r="O139" s="453">
        <v>4.8899999999999999E-2</v>
      </c>
      <c r="P139" s="453">
        <f t="shared" si="1"/>
        <v>30.5136</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713</v>
      </c>
    </row>
    <row r="140" spans="2:65" s="365" customFormat="1" ht="44.25" customHeight="1" x14ac:dyDescent="0.25">
      <c r="B140" s="364"/>
      <c r="C140" s="445" t="s">
        <v>222</v>
      </c>
      <c r="D140" s="445" t="s">
        <v>218</v>
      </c>
      <c r="E140" s="446" t="s">
        <v>714</v>
      </c>
      <c r="F140" s="447" t="s">
        <v>2834</v>
      </c>
      <c r="G140" s="448" t="s">
        <v>114</v>
      </c>
      <c r="H140" s="449">
        <v>1248</v>
      </c>
      <c r="I140" s="329">
        <v>0</v>
      </c>
      <c r="J140" s="450">
        <f t="shared" si="0"/>
        <v>0</v>
      </c>
      <c r="K140" s="451"/>
      <c r="L140" s="364"/>
      <c r="M140" s="452" t="s">
        <v>171</v>
      </c>
      <c r="N140" s="415" t="s">
        <v>185</v>
      </c>
      <c r="O140" s="453">
        <v>5.3899999999999998E-3</v>
      </c>
      <c r="P140" s="453">
        <f t="shared" si="1"/>
        <v>6.7267199999999994</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716</v>
      </c>
    </row>
    <row r="141" spans="2:65" s="365" customFormat="1" ht="21.75" customHeight="1" x14ac:dyDescent="0.25">
      <c r="B141" s="364"/>
      <c r="C141" s="445" t="s">
        <v>223</v>
      </c>
      <c r="D141" s="445" t="s">
        <v>218</v>
      </c>
      <c r="E141" s="446" t="s">
        <v>717</v>
      </c>
      <c r="F141" s="447" t="s">
        <v>224</v>
      </c>
      <c r="G141" s="448" t="s">
        <v>114</v>
      </c>
      <c r="H141" s="449">
        <v>328</v>
      </c>
      <c r="I141" s="329">
        <v>0</v>
      </c>
      <c r="J141" s="450">
        <f t="shared" si="0"/>
        <v>0</v>
      </c>
      <c r="K141" s="451"/>
      <c r="L141" s="364"/>
      <c r="M141" s="452" t="s">
        <v>171</v>
      </c>
      <c r="N141" s="415" t="s">
        <v>185</v>
      </c>
      <c r="O141" s="453">
        <v>8.0000000000000002E-3</v>
      </c>
      <c r="P141" s="453">
        <f t="shared" si="1"/>
        <v>2.6240000000000001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718</v>
      </c>
    </row>
    <row r="142" spans="2:65" s="365" customFormat="1" ht="33" customHeight="1" x14ac:dyDescent="0.25">
      <c r="B142" s="364"/>
      <c r="C142" s="445" t="s">
        <v>225</v>
      </c>
      <c r="D142" s="445" t="s">
        <v>218</v>
      </c>
      <c r="E142" s="446" t="s">
        <v>444</v>
      </c>
      <c r="F142" s="447" t="s">
        <v>3165</v>
      </c>
      <c r="G142" s="448" t="s">
        <v>112</v>
      </c>
      <c r="H142" s="449">
        <f>Ponuka!S147+Ponuka!Q147</f>
        <v>238.92000000000002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720</v>
      </c>
    </row>
    <row r="143" spans="2:65" s="365" customFormat="1" ht="24.2" customHeight="1" x14ac:dyDescent="0.25">
      <c r="B143" s="364"/>
      <c r="C143" s="445" t="s">
        <v>226</v>
      </c>
      <c r="D143" s="445" t="s">
        <v>218</v>
      </c>
      <c r="E143" s="446" t="s">
        <v>721</v>
      </c>
      <c r="F143" s="447" t="s">
        <v>722</v>
      </c>
      <c r="G143" s="448" t="s">
        <v>114</v>
      </c>
      <c r="H143" s="449">
        <v>328</v>
      </c>
      <c r="I143" s="329">
        <v>0</v>
      </c>
      <c r="J143" s="450">
        <f t="shared" si="0"/>
        <v>0</v>
      </c>
      <c r="K143" s="451"/>
      <c r="L143" s="364"/>
      <c r="M143" s="452" t="s">
        <v>171</v>
      </c>
      <c r="N143" s="415" t="s">
        <v>185</v>
      </c>
      <c r="O143" s="453">
        <v>0.28299999999999997</v>
      </c>
      <c r="P143" s="453">
        <f t="shared" si="1"/>
        <v>92.823999999999998</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723</v>
      </c>
    </row>
    <row r="144" spans="2:65" s="365" customFormat="1" ht="33" customHeight="1" x14ac:dyDescent="0.25">
      <c r="B144" s="364"/>
      <c r="C144" s="445" t="s">
        <v>227</v>
      </c>
      <c r="D144" s="445" t="s">
        <v>218</v>
      </c>
      <c r="E144" s="446" t="s">
        <v>724</v>
      </c>
      <c r="F144" s="447" t="s">
        <v>725</v>
      </c>
      <c r="G144" s="448" t="s">
        <v>114</v>
      </c>
      <c r="H144" s="449">
        <v>296</v>
      </c>
      <c r="I144" s="329">
        <v>0</v>
      </c>
      <c r="J144" s="450">
        <f t="shared" si="0"/>
        <v>0</v>
      </c>
      <c r="K144" s="451"/>
      <c r="L144" s="364"/>
      <c r="M144" s="452" t="s">
        <v>171</v>
      </c>
      <c r="N144" s="415" t="s">
        <v>185</v>
      </c>
      <c r="O144" s="453">
        <v>4.2000000000000003E-2</v>
      </c>
      <c r="P144" s="453">
        <f t="shared" si="1"/>
        <v>12.432</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726</v>
      </c>
    </row>
    <row r="145" spans="2:65" s="365" customFormat="1" ht="24.2" customHeight="1" x14ac:dyDescent="0.25">
      <c r="B145" s="364"/>
      <c r="C145" s="445" t="s">
        <v>228</v>
      </c>
      <c r="D145" s="445" t="s">
        <v>218</v>
      </c>
      <c r="E145" s="446" t="s">
        <v>727</v>
      </c>
      <c r="F145" s="447" t="s">
        <v>2835</v>
      </c>
      <c r="G145" s="448" t="s">
        <v>111</v>
      </c>
      <c r="H145" s="449">
        <v>1684</v>
      </c>
      <c r="I145" s="329">
        <v>0</v>
      </c>
      <c r="J145" s="450">
        <f t="shared" si="0"/>
        <v>0</v>
      </c>
      <c r="K145" s="451"/>
      <c r="L145" s="364"/>
      <c r="M145" s="452" t="s">
        <v>171</v>
      </c>
      <c r="N145" s="415" t="s">
        <v>185</v>
      </c>
      <c r="O145" s="453">
        <v>6.0999999999999999E-2</v>
      </c>
      <c r="P145" s="453">
        <f t="shared" si="1"/>
        <v>102.724</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729</v>
      </c>
    </row>
    <row r="146" spans="2:65" s="365" customFormat="1" ht="16.5" customHeight="1" x14ac:dyDescent="0.25">
      <c r="B146" s="364"/>
      <c r="C146" s="457" t="s">
        <v>229</v>
      </c>
      <c r="D146" s="457" t="s">
        <v>259</v>
      </c>
      <c r="E146" s="458" t="s">
        <v>730</v>
      </c>
      <c r="F146" s="459" t="s">
        <v>731</v>
      </c>
      <c r="G146" s="460" t="s">
        <v>536</v>
      </c>
      <c r="H146" s="461">
        <v>60.475000000000001</v>
      </c>
      <c r="I146" s="330">
        <v>0</v>
      </c>
      <c r="J146" s="462">
        <f t="shared" si="0"/>
        <v>0</v>
      </c>
      <c r="K146" s="463"/>
      <c r="L146" s="464"/>
      <c r="M146" s="465" t="s">
        <v>171</v>
      </c>
      <c r="N146" s="466" t="s">
        <v>185</v>
      </c>
      <c r="O146" s="453">
        <v>0</v>
      </c>
      <c r="P146" s="453">
        <f t="shared" si="1"/>
        <v>0</v>
      </c>
      <c r="Q146" s="453">
        <v>1E-3</v>
      </c>
      <c r="R146" s="453">
        <f t="shared" si="2"/>
        <v>6.0475000000000001E-2</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732</v>
      </c>
    </row>
    <row r="147" spans="2:65" s="365" customFormat="1" ht="24.2" customHeight="1" x14ac:dyDescent="0.25">
      <c r="B147" s="364"/>
      <c r="C147" s="445" t="s">
        <v>231</v>
      </c>
      <c r="D147" s="445" t="s">
        <v>218</v>
      </c>
      <c r="E147" s="446" t="s">
        <v>733</v>
      </c>
      <c r="F147" s="447" t="s">
        <v>734</v>
      </c>
      <c r="G147" s="448" t="s">
        <v>111</v>
      </c>
      <c r="H147" s="449">
        <v>1684</v>
      </c>
      <c r="I147" s="329">
        <v>0</v>
      </c>
      <c r="J147" s="450">
        <f t="shared" si="0"/>
        <v>0</v>
      </c>
      <c r="K147" s="451"/>
      <c r="L147" s="364"/>
      <c r="M147" s="452" t="s">
        <v>171</v>
      </c>
      <c r="N147" s="415" t="s">
        <v>185</v>
      </c>
      <c r="O147" s="453">
        <v>1.7999999999999999E-2</v>
      </c>
      <c r="P147" s="453">
        <f t="shared" si="1"/>
        <v>30.311999999999998</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735</v>
      </c>
    </row>
    <row r="148" spans="2:65" s="365" customFormat="1" ht="16.5" customHeight="1" x14ac:dyDescent="0.25">
      <c r="B148" s="364"/>
      <c r="C148" s="457" t="s">
        <v>232</v>
      </c>
      <c r="D148" s="457" t="s">
        <v>259</v>
      </c>
      <c r="E148" s="458" t="s">
        <v>736</v>
      </c>
      <c r="F148" s="459" t="s">
        <v>737</v>
      </c>
      <c r="G148" s="460" t="s">
        <v>112</v>
      </c>
      <c r="H148" s="461">
        <v>456.55099999999999</v>
      </c>
      <c r="I148" s="330">
        <v>0</v>
      </c>
      <c r="J148" s="462">
        <f t="shared" si="0"/>
        <v>0</v>
      </c>
      <c r="K148" s="463"/>
      <c r="L148" s="464"/>
      <c r="M148" s="465" t="s">
        <v>171</v>
      </c>
      <c r="N148" s="466" t="s">
        <v>185</v>
      </c>
      <c r="O148" s="453">
        <v>0</v>
      </c>
      <c r="P148" s="453">
        <f t="shared" si="1"/>
        <v>0</v>
      </c>
      <c r="Q148" s="453">
        <v>1</v>
      </c>
      <c r="R148" s="453">
        <f t="shared" si="2"/>
        <v>456.55099999999999</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738</v>
      </c>
    </row>
    <row r="149" spans="2:65" s="434" customFormat="1" ht="22.9" customHeight="1" x14ac:dyDescent="0.2">
      <c r="B149" s="433"/>
      <c r="D149" s="435" t="s">
        <v>216</v>
      </c>
      <c r="E149" s="443" t="s">
        <v>108</v>
      </c>
      <c r="F149" s="443" t="s">
        <v>469</v>
      </c>
      <c r="I149" s="331"/>
      <c r="J149" s="444">
        <f>BK149</f>
        <v>0</v>
      </c>
      <c r="L149" s="433"/>
      <c r="M149" s="438"/>
      <c r="P149" s="439">
        <f>P150</f>
        <v>16.72728</v>
      </c>
      <c r="R149" s="439">
        <f>R150</f>
        <v>11.124000000000001</v>
      </c>
      <c r="T149" s="440">
        <f>T150</f>
        <v>0</v>
      </c>
      <c r="AR149" s="435" t="s">
        <v>109</v>
      </c>
      <c r="AT149" s="441" t="s">
        <v>216</v>
      </c>
      <c r="AU149" s="441" t="s">
        <v>109</v>
      </c>
      <c r="AY149" s="435" t="s">
        <v>217</v>
      </c>
      <c r="BK149" s="442">
        <f>BK150</f>
        <v>0</v>
      </c>
    </row>
    <row r="150" spans="2:65" s="365" customFormat="1" ht="16.5" customHeight="1" x14ac:dyDescent="0.25">
      <c r="B150" s="364"/>
      <c r="C150" s="445" t="s">
        <v>234</v>
      </c>
      <c r="D150" s="445" t="s">
        <v>218</v>
      </c>
      <c r="E150" s="446" t="s">
        <v>2836</v>
      </c>
      <c r="F150" s="447" t="s">
        <v>2837</v>
      </c>
      <c r="G150" s="448" t="s">
        <v>114</v>
      </c>
      <c r="H150" s="449">
        <v>12</v>
      </c>
      <c r="I150" s="329">
        <v>0</v>
      </c>
      <c r="J150" s="450">
        <f>ROUND(I150*H150,2)</f>
        <v>0</v>
      </c>
      <c r="K150" s="451"/>
      <c r="L150" s="364"/>
      <c r="M150" s="452" t="s">
        <v>171</v>
      </c>
      <c r="N150" s="415" t="s">
        <v>185</v>
      </c>
      <c r="O150" s="453">
        <v>1.39394</v>
      </c>
      <c r="P150" s="453">
        <f>O150*H150</f>
        <v>16.72728</v>
      </c>
      <c r="Q150" s="453">
        <v>0.92700000000000005</v>
      </c>
      <c r="R150" s="453">
        <f>Q150*H150</f>
        <v>11.124000000000001</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2838</v>
      </c>
    </row>
    <row r="151" spans="2:65" s="434" customFormat="1" ht="22.9" customHeight="1" x14ac:dyDescent="0.2">
      <c r="B151" s="433"/>
      <c r="D151" s="435" t="s">
        <v>216</v>
      </c>
      <c r="E151" s="443" t="s">
        <v>118</v>
      </c>
      <c r="F151" s="443" t="s">
        <v>739</v>
      </c>
      <c r="I151" s="331"/>
      <c r="J151" s="444">
        <f>BK151</f>
        <v>0</v>
      </c>
      <c r="L151" s="433"/>
      <c r="M151" s="438"/>
      <c r="P151" s="439">
        <f>SUM(P152:P178)</f>
        <v>1225.0118599999998</v>
      </c>
      <c r="R151" s="439">
        <f>SUM(R152:R178)</f>
        <v>2668.9236140399998</v>
      </c>
      <c r="T151" s="440">
        <f>SUM(T152:T178)</f>
        <v>0</v>
      </c>
      <c r="AR151" s="435" t="s">
        <v>109</v>
      </c>
      <c r="AT151" s="441" t="s">
        <v>216</v>
      </c>
      <c r="AU151" s="441" t="s">
        <v>109</v>
      </c>
      <c r="AY151" s="435" t="s">
        <v>217</v>
      </c>
      <c r="BK151" s="442">
        <f>SUM(BK152:BK178)</f>
        <v>0</v>
      </c>
    </row>
    <row r="152" spans="2:65" s="365" customFormat="1" ht="37.9" customHeight="1" x14ac:dyDescent="0.25">
      <c r="B152" s="364"/>
      <c r="C152" s="445" t="s">
        <v>235</v>
      </c>
      <c r="D152" s="445" t="s">
        <v>218</v>
      </c>
      <c r="E152" s="446" t="s">
        <v>740</v>
      </c>
      <c r="F152" s="447" t="s">
        <v>741</v>
      </c>
      <c r="G152" s="448" t="s">
        <v>111</v>
      </c>
      <c r="H152" s="449">
        <v>904</v>
      </c>
      <c r="I152" s="329">
        <v>0</v>
      </c>
      <c r="J152" s="450">
        <f t="shared" ref="J152:J178" si="10">ROUND(I152*H152,2)</f>
        <v>0</v>
      </c>
      <c r="K152" s="451"/>
      <c r="L152" s="364"/>
      <c r="M152" s="452" t="s">
        <v>171</v>
      </c>
      <c r="N152" s="415" t="s">
        <v>185</v>
      </c>
      <c r="O152" s="453">
        <v>2.972E-2</v>
      </c>
      <c r="P152" s="453">
        <f t="shared" ref="P152:P178" si="11">O152*H152</f>
        <v>26.866879999999998</v>
      </c>
      <c r="Q152" s="453">
        <v>0</v>
      </c>
      <c r="R152" s="453">
        <f t="shared" ref="R152:R178" si="12">Q152*H152</f>
        <v>0</v>
      </c>
      <c r="S152" s="453">
        <v>0</v>
      </c>
      <c r="T152" s="454">
        <f t="shared" ref="T152:T178" si="13">S152*H152</f>
        <v>0</v>
      </c>
      <c r="AR152" s="455" t="s">
        <v>110</v>
      </c>
      <c r="AT152" s="455" t="s">
        <v>218</v>
      </c>
      <c r="AU152" s="455" t="s">
        <v>108</v>
      </c>
      <c r="AY152" s="357" t="s">
        <v>217</v>
      </c>
      <c r="BE152" s="456">
        <f t="shared" ref="BE152:BE178" si="14">IF(N152="základná",J152,0)</f>
        <v>0</v>
      </c>
      <c r="BF152" s="456">
        <f t="shared" ref="BF152:BF178" si="15">IF(N152="znížená",J152,0)</f>
        <v>0</v>
      </c>
      <c r="BG152" s="456">
        <f t="shared" ref="BG152:BG178" si="16">IF(N152="zákl. prenesená",J152,0)</f>
        <v>0</v>
      </c>
      <c r="BH152" s="456">
        <f t="shared" ref="BH152:BH178" si="17">IF(N152="zníž. prenesená",J152,0)</f>
        <v>0</v>
      </c>
      <c r="BI152" s="456">
        <f t="shared" ref="BI152:BI178" si="18">IF(N152="nulová",J152,0)</f>
        <v>0</v>
      </c>
      <c r="BJ152" s="357" t="s">
        <v>108</v>
      </c>
      <c r="BK152" s="456">
        <f t="shared" ref="BK152:BK178" si="19">ROUND(I152*H152,2)</f>
        <v>0</v>
      </c>
      <c r="BL152" s="357" t="s">
        <v>110</v>
      </c>
      <c r="BM152" s="455" t="s">
        <v>2839</v>
      </c>
    </row>
    <row r="153" spans="2:65" s="365" customFormat="1" ht="24.2" customHeight="1" x14ac:dyDescent="0.25">
      <c r="B153" s="364"/>
      <c r="C153" s="457" t="s">
        <v>236</v>
      </c>
      <c r="D153" s="457" t="s">
        <v>259</v>
      </c>
      <c r="E153" s="458" t="s">
        <v>743</v>
      </c>
      <c r="F153" s="459" t="s">
        <v>744</v>
      </c>
      <c r="G153" s="460" t="s">
        <v>112</v>
      </c>
      <c r="H153" s="461">
        <v>23.974</v>
      </c>
      <c r="I153" s="330">
        <v>0</v>
      </c>
      <c r="J153" s="462">
        <f t="shared" si="10"/>
        <v>0</v>
      </c>
      <c r="K153" s="463"/>
      <c r="L153" s="464"/>
      <c r="M153" s="465" t="s">
        <v>171</v>
      </c>
      <c r="N153" s="466" t="s">
        <v>185</v>
      </c>
      <c r="O153" s="453">
        <v>0</v>
      </c>
      <c r="P153" s="453">
        <f t="shared" si="11"/>
        <v>0</v>
      </c>
      <c r="Q153" s="453">
        <v>1</v>
      </c>
      <c r="R153" s="453">
        <f t="shared" si="12"/>
        <v>23.974</v>
      </c>
      <c r="S153" s="453">
        <v>0</v>
      </c>
      <c r="T153" s="454">
        <f t="shared" si="13"/>
        <v>0</v>
      </c>
      <c r="AR153" s="455" t="s">
        <v>115</v>
      </c>
      <c r="AT153" s="455" t="s">
        <v>259</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2840</v>
      </c>
    </row>
    <row r="154" spans="2:65" s="365" customFormat="1" ht="24.2" customHeight="1" x14ac:dyDescent="0.25">
      <c r="B154" s="364"/>
      <c r="C154" s="457" t="s">
        <v>237</v>
      </c>
      <c r="D154" s="457" t="s">
        <v>259</v>
      </c>
      <c r="E154" s="458" t="s">
        <v>746</v>
      </c>
      <c r="F154" s="459" t="s">
        <v>747</v>
      </c>
      <c r="G154" s="460" t="s">
        <v>112</v>
      </c>
      <c r="H154" s="461">
        <v>14.374000000000001</v>
      </c>
      <c r="I154" s="330">
        <v>0</v>
      </c>
      <c r="J154" s="462">
        <f t="shared" si="10"/>
        <v>0</v>
      </c>
      <c r="K154" s="463"/>
      <c r="L154" s="464"/>
      <c r="M154" s="465" t="s">
        <v>171</v>
      </c>
      <c r="N154" s="466" t="s">
        <v>185</v>
      </c>
      <c r="O154" s="453">
        <v>0</v>
      </c>
      <c r="P154" s="453">
        <f t="shared" si="11"/>
        <v>0</v>
      </c>
      <c r="Q154" s="453">
        <v>1</v>
      </c>
      <c r="R154" s="453">
        <f t="shared" si="12"/>
        <v>14.374000000000001</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2841</v>
      </c>
    </row>
    <row r="155" spans="2:65" s="365" customFormat="1" ht="24.2" customHeight="1" x14ac:dyDescent="0.25">
      <c r="B155" s="364"/>
      <c r="C155" s="457" t="s">
        <v>238</v>
      </c>
      <c r="D155" s="457" t="s">
        <v>259</v>
      </c>
      <c r="E155" s="458" t="s">
        <v>749</v>
      </c>
      <c r="F155" s="459" t="s">
        <v>750</v>
      </c>
      <c r="G155" s="460" t="s">
        <v>112</v>
      </c>
      <c r="H155" s="461">
        <v>23.974</v>
      </c>
      <c r="I155" s="330">
        <v>0</v>
      </c>
      <c r="J155" s="462">
        <f t="shared" si="10"/>
        <v>0</v>
      </c>
      <c r="K155" s="463"/>
      <c r="L155" s="464"/>
      <c r="M155" s="465" t="s">
        <v>171</v>
      </c>
      <c r="N155" s="466" t="s">
        <v>185</v>
      </c>
      <c r="O155" s="453">
        <v>0</v>
      </c>
      <c r="P155" s="453">
        <f t="shared" si="11"/>
        <v>0</v>
      </c>
      <c r="Q155" s="453">
        <v>1</v>
      </c>
      <c r="R155" s="453">
        <f t="shared" si="12"/>
        <v>23.974</v>
      </c>
      <c r="S155" s="453">
        <v>0</v>
      </c>
      <c r="T155" s="454">
        <f t="shared" si="13"/>
        <v>0</v>
      </c>
      <c r="AR155" s="455" t="s">
        <v>115</v>
      </c>
      <c r="AT155" s="455" t="s">
        <v>259</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2842</v>
      </c>
    </row>
    <row r="156" spans="2:65" s="365" customFormat="1" ht="16.5" customHeight="1" x14ac:dyDescent="0.25">
      <c r="B156" s="364"/>
      <c r="C156" s="457" t="s">
        <v>239</v>
      </c>
      <c r="D156" s="457" t="s">
        <v>259</v>
      </c>
      <c r="E156" s="458" t="s">
        <v>752</v>
      </c>
      <c r="F156" s="459" t="s">
        <v>753</v>
      </c>
      <c r="G156" s="460" t="s">
        <v>112</v>
      </c>
      <c r="H156" s="461">
        <v>23.974</v>
      </c>
      <c r="I156" s="330">
        <v>0</v>
      </c>
      <c r="J156" s="462">
        <f t="shared" si="10"/>
        <v>0</v>
      </c>
      <c r="K156" s="463"/>
      <c r="L156" s="464"/>
      <c r="M156" s="465" t="s">
        <v>171</v>
      </c>
      <c r="N156" s="466" t="s">
        <v>185</v>
      </c>
      <c r="O156" s="453">
        <v>0</v>
      </c>
      <c r="P156" s="453">
        <f t="shared" si="11"/>
        <v>0</v>
      </c>
      <c r="Q156" s="453">
        <v>1</v>
      </c>
      <c r="R156" s="453">
        <f t="shared" si="12"/>
        <v>23.974</v>
      </c>
      <c r="S156" s="453">
        <v>0</v>
      </c>
      <c r="T156" s="454">
        <f t="shared" si="13"/>
        <v>0</v>
      </c>
      <c r="AR156" s="455" t="s">
        <v>115</v>
      </c>
      <c r="AT156" s="455" t="s">
        <v>259</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2843</v>
      </c>
    </row>
    <row r="157" spans="2:65" s="365" customFormat="1" ht="37.9" customHeight="1" x14ac:dyDescent="0.25">
      <c r="B157" s="364"/>
      <c r="C157" s="445" t="s">
        <v>240</v>
      </c>
      <c r="D157" s="445" t="s">
        <v>218</v>
      </c>
      <c r="E157" s="446" t="s">
        <v>2844</v>
      </c>
      <c r="F157" s="447" t="s">
        <v>2845</v>
      </c>
      <c r="G157" s="448" t="s">
        <v>111</v>
      </c>
      <c r="H157" s="449">
        <v>72</v>
      </c>
      <c r="I157" s="329">
        <v>0</v>
      </c>
      <c r="J157" s="450">
        <f t="shared" si="10"/>
        <v>0</v>
      </c>
      <c r="K157" s="451"/>
      <c r="L157" s="364"/>
      <c r="M157" s="452" t="s">
        <v>171</v>
      </c>
      <c r="N157" s="415" t="s">
        <v>185</v>
      </c>
      <c r="O157" s="453">
        <v>2.512E-2</v>
      </c>
      <c r="P157" s="453">
        <f t="shared" si="11"/>
        <v>1.80864</v>
      </c>
      <c r="Q157" s="453">
        <v>0.35338132</v>
      </c>
      <c r="R157" s="453">
        <f t="shared" si="12"/>
        <v>25.44345504</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2846</v>
      </c>
    </row>
    <row r="158" spans="2:65" s="365" customFormat="1" ht="33" customHeight="1" x14ac:dyDescent="0.25">
      <c r="B158" s="364"/>
      <c r="C158" s="445" t="s">
        <v>241</v>
      </c>
      <c r="D158" s="445" t="s">
        <v>218</v>
      </c>
      <c r="E158" s="446" t="s">
        <v>809</v>
      </c>
      <c r="F158" s="447" t="s">
        <v>810</v>
      </c>
      <c r="G158" s="448" t="s">
        <v>111</v>
      </c>
      <c r="H158" s="449">
        <v>454</v>
      </c>
      <c r="I158" s="329">
        <v>0</v>
      </c>
      <c r="J158" s="450">
        <f t="shared" si="10"/>
        <v>0</v>
      </c>
      <c r="K158" s="451"/>
      <c r="L158" s="364"/>
      <c r="M158" s="452" t="s">
        <v>171</v>
      </c>
      <c r="N158" s="415" t="s">
        <v>185</v>
      </c>
      <c r="O158" s="453">
        <v>5.5E-2</v>
      </c>
      <c r="P158" s="453">
        <f t="shared" si="11"/>
        <v>24.97</v>
      </c>
      <c r="Q158" s="453">
        <v>0.29160000000000003</v>
      </c>
      <c r="R158" s="453">
        <f t="shared" si="12"/>
        <v>132.38640000000001</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2847</v>
      </c>
    </row>
    <row r="159" spans="2:65" s="365" customFormat="1" ht="33" customHeight="1" x14ac:dyDescent="0.25">
      <c r="B159" s="364"/>
      <c r="C159" s="445" t="s">
        <v>242</v>
      </c>
      <c r="D159" s="445" t="s">
        <v>218</v>
      </c>
      <c r="E159" s="446" t="s">
        <v>755</v>
      </c>
      <c r="F159" s="447" t="s">
        <v>2848</v>
      </c>
      <c r="G159" s="448" t="s">
        <v>111</v>
      </c>
      <c r="H159" s="449">
        <v>1700</v>
      </c>
      <c r="I159" s="329">
        <v>0</v>
      </c>
      <c r="J159" s="450">
        <f t="shared" si="10"/>
        <v>0</v>
      </c>
      <c r="K159" s="451"/>
      <c r="L159" s="364"/>
      <c r="M159" s="452" t="s">
        <v>171</v>
      </c>
      <c r="N159" s="415" t="s">
        <v>185</v>
      </c>
      <c r="O159" s="453">
        <v>4.8000000000000001E-2</v>
      </c>
      <c r="P159" s="453">
        <f t="shared" si="11"/>
        <v>81.600000000000009</v>
      </c>
      <c r="Q159" s="453">
        <v>5.8100000000000001E-3</v>
      </c>
      <c r="R159" s="453">
        <f t="shared" si="12"/>
        <v>9.8770000000000007</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757</v>
      </c>
    </row>
    <row r="160" spans="2:65" s="365" customFormat="1" ht="37.9" customHeight="1" x14ac:dyDescent="0.25">
      <c r="B160" s="364"/>
      <c r="C160" s="445" t="s">
        <v>243</v>
      </c>
      <c r="D160" s="445" t="s">
        <v>218</v>
      </c>
      <c r="E160" s="446" t="s">
        <v>758</v>
      </c>
      <c r="F160" s="447" t="s">
        <v>759</v>
      </c>
      <c r="G160" s="448" t="s">
        <v>111</v>
      </c>
      <c r="H160" s="449">
        <v>4248</v>
      </c>
      <c r="I160" s="329">
        <v>0</v>
      </c>
      <c r="J160" s="450">
        <f t="shared" si="10"/>
        <v>0</v>
      </c>
      <c r="K160" s="451"/>
      <c r="L160" s="364"/>
      <c r="M160" s="452" t="s">
        <v>171</v>
      </c>
      <c r="N160" s="415" t="s">
        <v>185</v>
      </c>
      <c r="O160" s="453">
        <v>7.0999999999999994E-2</v>
      </c>
      <c r="P160" s="453">
        <f t="shared" si="11"/>
        <v>301.60799999999995</v>
      </c>
      <c r="Q160" s="453">
        <v>0.12966</v>
      </c>
      <c r="R160" s="453">
        <f t="shared" si="12"/>
        <v>550.79567999999995</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760</v>
      </c>
    </row>
    <row r="161" spans="2:65" s="365" customFormat="1" ht="37.9" customHeight="1" x14ac:dyDescent="0.25">
      <c r="B161" s="364"/>
      <c r="C161" s="445" t="s">
        <v>244</v>
      </c>
      <c r="D161" s="445" t="s">
        <v>218</v>
      </c>
      <c r="E161" s="446" t="s">
        <v>761</v>
      </c>
      <c r="F161" s="447" t="s">
        <v>762</v>
      </c>
      <c r="G161" s="448" t="s">
        <v>111</v>
      </c>
      <c r="H161" s="449">
        <v>0</v>
      </c>
      <c r="I161" s="329">
        <v>0</v>
      </c>
      <c r="J161" s="450">
        <f t="shared" si="10"/>
        <v>0</v>
      </c>
      <c r="K161" s="451"/>
      <c r="L161" s="364"/>
      <c r="M161" s="452" t="s">
        <v>171</v>
      </c>
      <c r="N161" s="415" t="s">
        <v>185</v>
      </c>
      <c r="O161" s="453">
        <v>8.5000000000000006E-2</v>
      </c>
      <c r="P161" s="453">
        <f t="shared" si="11"/>
        <v>0</v>
      </c>
      <c r="Q161" s="453">
        <v>0.18462999999999999</v>
      </c>
      <c r="R161" s="453">
        <f t="shared" si="12"/>
        <v>0</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763</v>
      </c>
    </row>
    <row r="162" spans="2:65" s="365" customFormat="1" ht="37.9" customHeight="1" x14ac:dyDescent="0.25">
      <c r="B162" s="364"/>
      <c r="C162" s="445" t="s">
        <v>245</v>
      </c>
      <c r="D162" s="445" t="s">
        <v>218</v>
      </c>
      <c r="E162" s="446" t="s">
        <v>764</v>
      </c>
      <c r="F162" s="447" t="s">
        <v>765</v>
      </c>
      <c r="G162" s="448" t="s">
        <v>111</v>
      </c>
      <c r="H162" s="449">
        <v>0</v>
      </c>
      <c r="I162" s="329">
        <v>0</v>
      </c>
      <c r="J162" s="450">
        <f t="shared" si="10"/>
        <v>0</v>
      </c>
      <c r="K162" s="451"/>
      <c r="L162" s="364"/>
      <c r="M162" s="452" t="s">
        <v>171</v>
      </c>
      <c r="N162" s="415" t="s">
        <v>185</v>
      </c>
      <c r="O162" s="453">
        <v>2.5100000000000001E-2</v>
      </c>
      <c r="P162" s="453">
        <f t="shared" si="11"/>
        <v>0</v>
      </c>
      <c r="Q162" s="453">
        <v>0.43096599000000002</v>
      </c>
      <c r="R162" s="453">
        <f t="shared" si="12"/>
        <v>0</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766</v>
      </c>
    </row>
    <row r="163" spans="2:65" s="365" customFormat="1" ht="24.2" customHeight="1" x14ac:dyDescent="0.25">
      <c r="B163" s="364"/>
      <c r="C163" s="445" t="s">
        <v>246</v>
      </c>
      <c r="D163" s="445" t="s">
        <v>218</v>
      </c>
      <c r="E163" s="446" t="s">
        <v>767</v>
      </c>
      <c r="F163" s="447" t="s">
        <v>768</v>
      </c>
      <c r="G163" s="448" t="s">
        <v>111</v>
      </c>
      <c r="H163" s="449">
        <v>0</v>
      </c>
      <c r="I163" s="329">
        <v>0</v>
      </c>
      <c r="J163" s="450">
        <f t="shared" si="10"/>
        <v>0</v>
      </c>
      <c r="K163" s="451"/>
      <c r="L163" s="364"/>
      <c r="M163" s="452" t="s">
        <v>171</v>
      </c>
      <c r="N163" s="415" t="s">
        <v>185</v>
      </c>
      <c r="O163" s="453">
        <v>3.6119999999999999E-2</v>
      </c>
      <c r="P163" s="453">
        <f t="shared" si="11"/>
        <v>0</v>
      </c>
      <c r="Q163" s="453">
        <v>0.46</v>
      </c>
      <c r="R163" s="453">
        <f t="shared" si="12"/>
        <v>0</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769</v>
      </c>
    </row>
    <row r="164" spans="2:65" s="365" customFormat="1" ht="33" customHeight="1" x14ac:dyDescent="0.25">
      <c r="B164" s="364"/>
      <c r="C164" s="445" t="s">
        <v>247</v>
      </c>
      <c r="D164" s="445" t="s">
        <v>218</v>
      </c>
      <c r="E164" s="446" t="s">
        <v>770</v>
      </c>
      <c r="F164" s="447" t="s">
        <v>2849</v>
      </c>
      <c r="G164" s="448" t="s">
        <v>111</v>
      </c>
      <c r="H164" s="449">
        <v>5948</v>
      </c>
      <c r="I164" s="329">
        <v>0</v>
      </c>
      <c r="J164" s="450">
        <f t="shared" si="10"/>
        <v>0</v>
      </c>
      <c r="K164" s="451"/>
      <c r="L164" s="364"/>
      <c r="M164" s="452" t="s">
        <v>171</v>
      </c>
      <c r="N164" s="415" t="s">
        <v>185</v>
      </c>
      <c r="O164" s="453">
        <v>2.3999999999999998E-3</v>
      </c>
      <c r="P164" s="453">
        <f t="shared" si="11"/>
        <v>14.275199999999998</v>
      </c>
      <c r="Q164" s="453">
        <v>5.1000000000000004E-4</v>
      </c>
      <c r="R164" s="453">
        <f t="shared" si="12"/>
        <v>3.0334800000000004</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772</v>
      </c>
    </row>
    <row r="165" spans="2:65" s="365" customFormat="1" ht="33" customHeight="1" x14ac:dyDescent="0.25">
      <c r="B165" s="364"/>
      <c r="C165" s="445" t="s">
        <v>248</v>
      </c>
      <c r="D165" s="445" t="s">
        <v>218</v>
      </c>
      <c r="E165" s="446" t="s">
        <v>773</v>
      </c>
      <c r="F165" s="447" t="s">
        <v>774</v>
      </c>
      <c r="G165" s="448" t="s">
        <v>111</v>
      </c>
      <c r="H165" s="449">
        <v>1700</v>
      </c>
      <c r="I165" s="329">
        <v>0</v>
      </c>
      <c r="J165" s="450">
        <f t="shared" si="10"/>
        <v>0</v>
      </c>
      <c r="K165" s="451"/>
      <c r="L165" s="364"/>
      <c r="M165" s="452" t="s">
        <v>171</v>
      </c>
      <c r="N165" s="415" t="s">
        <v>185</v>
      </c>
      <c r="O165" s="453">
        <v>6.6000000000000003E-2</v>
      </c>
      <c r="P165" s="453">
        <f t="shared" si="11"/>
        <v>112.2</v>
      </c>
      <c r="Q165" s="453">
        <v>0.10373</v>
      </c>
      <c r="R165" s="453">
        <f t="shared" si="12"/>
        <v>176.34100000000001</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775</v>
      </c>
    </row>
    <row r="166" spans="2:65" s="365" customFormat="1" ht="33" customHeight="1" x14ac:dyDescent="0.25">
      <c r="B166" s="364"/>
      <c r="C166" s="445" t="s">
        <v>249</v>
      </c>
      <c r="D166" s="445" t="s">
        <v>218</v>
      </c>
      <c r="E166" s="446" t="s">
        <v>776</v>
      </c>
      <c r="F166" s="447" t="s">
        <v>777</v>
      </c>
      <c r="G166" s="448" t="s">
        <v>111</v>
      </c>
      <c r="H166" s="449">
        <v>1700</v>
      </c>
      <c r="I166" s="329">
        <v>0</v>
      </c>
      <c r="J166" s="450">
        <f t="shared" si="10"/>
        <v>0</v>
      </c>
      <c r="K166" s="451"/>
      <c r="L166" s="364"/>
      <c r="M166" s="452" t="s">
        <v>171</v>
      </c>
      <c r="N166" s="415" t="s">
        <v>185</v>
      </c>
      <c r="O166" s="453">
        <v>0.107</v>
      </c>
      <c r="P166" s="453">
        <f t="shared" si="11"/>
        <v>181.9</v>
      </c>
      <c r="Q166" s="453">
        <v>0.26375999999999999</v>
      </c>
      <c r="R166" s="453">
        <f t="shared" si="12"/>
        <v>448.392</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778</v>
      </c>
    </row>
    <row r="167" spans="2:65" s="365" customFormat="1" ht="24.2" customHeight="1" x14ac:dyDescent="0.25">
      <c r="B167" s="364"/>
      <c r="C167" s="445" t="s">
        <v>250</v>
      </c>
      <c r="D167" s="445" t="s">
        <v>218</v>
      </c>
      <c r="E167" s="446" t="s">
        <v>779</v>
      </c>
      <c r="F167" s="447" t="s">
        <v>2850</v>
      </c>
      <c r="G167" s="448" t="s">
        <v>111</v>
      </c>
      <c r="H167" s="449">
        <v>1955</v>
      </c>
      <c r="I167" s="329">
        <v>0</v>
      </c>
      <c r="J167" s="450">
        <f t="shared" si="10"/>
        <v>0</v>
      </c>
      <c r="K167" s="451"/>
      <c r="L167" s="364"/>
      <c r="M167" s="452" t="s">
        <v>171</v>
      </c>
      <c r="N167" s="415" t="s">
        <v>185</v>
      </c>
      <c r="O167" s="453">
        <v>3.6119999999999999E-2</v>
      </c>
      <c r="P167" s="453">
        <f t="shared" si="11"/>
        <v>70.614599999999996</v>
      </c>
      <c r="Q167" s="453">
        <v>0.48299999999999998</v>
      </c>
      <c r="R167" s="453">
        <f t="shared" si="12"/>
        <v>944.26499999999999</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781</v>
      </c>
    </row>
    <row r="168" spans="2:65" s="365" customFormat="1" ht="33" customHeight="1" x14ac:dyDescent="0.25">
      <c r="B168" s="364"/>
      <c r="C168" s="445" t="s">
        <v>251</v>
      </c>
      <c r="D168" s="445" t="s">
        <v>218</v>
      </c>
      <c r="E168" s="446" t="s">
        <v>782</v>
      </c>
      <c r="F168" s="447" t="s">
        <v>2851</v>
      </c>
      <c r="G168" s="448" t="s">
        <v>111</v>
      </c>
      <c r="H168" s="449">
        <v>2343</v>
      </c>
      <c r="I168" s="329">
        <v>0</v>
      </c>
      <c r="J168" s="450">
        <f t="shared" si="10"/>
        <v>0</v>
      </c>
      <c r="K168" s="451"/>
      <c r="L168" s="364"/>
      <c r="M168" s="452" t="s">
        <v>171</v>
      </c>
      <c r="N168" s="415" t="s">
        <v>185</v>
      </c>
      <c r="O168" s="453">
        <v>2.9000000000000001E-2</v>
      </c>
      <c r="P168" s="453">
        <f t="shared" si="11"/>
        <v>67.947000000000003</v>
      </c>
      <c r="Q168" s="453">
        <v>3.3000000000000003E-5</v>
      </c>
      <c r="R168" s="453">
        <f t="shared" si="12"/>
        <v>7.7319000000000013E-2</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784</v>
      </c>
    </row>
    <row r="169" spans="2:65" s="365" customFormat="1" ht="24.2" customHeight="1" x14ac:dyDescent="0.25">
      <c r="B169" s="364"/>
      <c r="C169" s="457" t="s">
        <v>252</v>
      </c>
      <c r="D169" s="457" t="s">
        <v>259</v>
      </c>
      <c r="E169" s="458" t="s">
        <v>785</v>
      </c>
      <c r="F169" s="459" t="s">
        <v>2852</v>
      </c>
      <c r="G169" s="460" t="s">
        <v>111</v>
      </c>
      <c r="H169" s="461">
        <v>2695</v>
      </c>
      <c r="I169" s="330">
        <v>0</v>
      </c>
      <c r="J169" s="462">
        <f t="shared" si="10"/>
        <v>0</v>
      </c>
      <c r="K169" s="463"/>
      <c r="L169" s="464"/>
      <c r="M169" s="465" t="s">
        <v>171</v>
      </c>
      <c r="N169" s="466" t="s">
        <v>185</v>
      </c>
      <c r="O169" s="453">
        <v>0</v>
      </c>
      <c r="P169" s="453">
        <f t="shared" si="11"/>
        <v>0</v>
      </c>
      <c r="Q169" s="453">
        <v>8.8999999999999995E-4</v>
      </c>
      <c r="R169" s="453">
        <f t="shared" si="12"/>
        <v>2.3985499999999997</v>
      </c>
      <c r="S169" s="453">
        <v>0</v>
      </c>
      <c r="T169" s="454">
        <f t="shared" si="13"/>
        <v>0</v>
      </c>
      <c r="AR169" s="455" t="s">
        <v>115</v>
      </c>
      <c r="AT169" s="455" t="s">
        <v>259</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787</v>
      </c>
    </row>
    <row r="170" spans="2:65" s="365" customFormat="1" ht="24.2" customHeight="1" x14ac:dyDescent="0.25">
      <c r="B170" s="364"/>
      <c r="C170" s="445" t="s">
        <v>253</v>
      </c>
      <c r="D170" s="445" t="s">
        <v>218</v>
      </c>
      <c r="E170" s="446" t="s">
        <v>788</v>
      </c>
      <c r="F170" s="447" t="s">
        <v>2853</v>
      </c>
      <c r="G170" s="448" t="s">
        <v>111</v>
      </c>
      <c r="H170" s="449">
        <v>84</v>
      </c>
      <c r="I170" s="329">
        <v>0</v>
      </c>
      <c r="J170" s="450">
        <f t="shared" si="10"/>
        <v>0</v>
      </c>
      <c r="K170" s="451"/>
      <c r="L170" s="364"/>
      <c r="M170" s="452" t="s">
        <v>171</v>
      </c>
      <c r="N170" s="415" t="s">
        <v>185</v>
      </c>
      <c r="O170" s="453">
        <v>0.40500000000000003</v>
      </c>
      <c r="P170" s="453">
        <f t="shared" si="11"/>
        <v>34.020000000000003</v>
      </c>
      <c r="Q170" s="453">
        <v>0.1837</v>
      </c>
      <c r="R170" s="453">
        <f t="shared" si="12"/>
        <v>15.4308</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790</v>
      </c>
    </row>
    <row r="171" spans="2:65" s="365" customFormat="1" ht="16.5" customHeight="1" x14ac:dyDescent="0.25">
      <c r="B171" s="364"/>
      <c r="C171" s="457" t="s">
        <v>254</v>
      </c>
      <c r="D171" s="457" t="s">
        <v>259</v>
      </c>
      <c r="E171" s="458" t="s">
        <v>791</v>
      </c>
      <c r="F171" s="459" t="s">
        <v>792</v>
      </c>
      <c r="G171" s="460" t="s">
        <v>111</v>
      </c>
      <c r="H171" s="461">
        <v>74</v>
      </c>
      <c r="I171" s="330">
        <v>0</v>
      </c>
      <c r="J171" s="462">
        <f t="shared" si="10"/>
        <v>0</v>
      </c>
      <c r="K171" s="463"/>
      <c r="L171" s="464"/>
      <c r="M171" s="465" t="s">
        <v>171</v>
      </c>
      <c r="N171" s="466" t="s">
        <v>185</v>
      </c>
      <c r="O171" s="453">
        <v>0</v>
      </c>
      <c r="P171" s="453">
        <f t="shared" si="11"/>
        <v>0</v>
      </c>
      <c r="Q171" s="453">
        <v>0.184</v>
      </c>
      <c r="R171" s="453">
        <f t="shared" si="12"/>
        <v>13.616</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793</v>
      </c>
    </row>
    <row r="172" spans="2:65" s="365" customFormat="1" ht="16.5" customHeight="1" x14ac:dyDescent="0.25">
      <c r="B172" s="364"/>
      <c r="C172" s="457" t="s">
        <v>255</v>
      </c>
      <c r="D172" s="457" t="s">
        <v>259</v>
      </c>
      <c r="E172" s="458" t="s">
        <v>794</v>
      </c>
      <c r="F172" s="459" t="s">
        <v>795</v>
      </c>
      <c r="G172" s="460" t="s">
        <v>111</v>
      </c>
      <c r="H172" s="461">
        <v>14</v>
      </c>
      <c r="I172" s="330">
        <v>0</v>
      </c>
      <c r="J172" s="462">
        <f t="shared" si="10"/>
        <v>0</v>
      </c>
      <c r="K172" s="463"/>
      <c r="L172" s="464"/>
      <c r="M172" s="465" t="s">
        <v>171</v>
      </c>
      <c r="N172" s="466" t="s">
        <v>185</v>
      </c>
      <c r="O172" s="453">
        <v>0</v>
      </c>
      <c r="P172" s="453">
        <f t="shared" si="11"/>
        <v>0</v>
      </c>
      <c r="Q172" s="453">
        <v>0.13</v>
      </c>
      <c r="R172" s="453">
        <f t="shared" si="12"/>
        <v>1.82</v>
      </c>
      <c r="S172" s="453">
        <v>0</v>
      </c>
      <c r="T172" s="454">
        <f t="shared" si="13"/>
        <v>0</v>
      </c>
      <c r="AR172" s="455" t="s">
        <v>115</v>
      </c>
      <c r="AT172" s="455" t="s">
        <v>259</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796</v>
      </c>
    </row>
    <row r="173" spans="2:65" s="365" customFormat="1" ht="49.15" customHeight="1" x14ac:dyDescent="0.25">
      <c r="B173" s="364"/>
      <c r="C173" s="445" t="s">
        <v>256</v>
      </c>
      <c r="D173" s="445" t="s">
        <v>218</v>
      </c>
      <c r="E173" s="446" t="s">
        <v>2854</v>
      </c>
      <c r="F173" s="447" t="s">
        <v>2855</v>
      </c>
      <c r="G173" s="448" t="s">
        <v>111</v>
      </c>
      <c r="H173" s="449">
        <v>87</v>
      </c>
      <c r="I173" s="329">
        <v>0</v>
      </c>
      <c r="J173" s="450">
        <f t="shared" si="10"/>
        <v>0</v>
      </c>
      <c r="K173" s="451"/>
      <c r="L173" s="364"/>
      <c r="M173" s="452" t="s">
        <v>171</v>
      </c>
      <c r="N173" s="415" t="s">
        <v>185</v>
      </c>
      <c r="O173" s="453">
        <v>0.75541999999999998</v>
      </c>
      <c r="P173" s="453">
        <f t="shared" si="11"/>
        <v>65.721540000000005</v>
      </c>
      <c r="Q173" s="453">
        <v>9.2499999999999999E-2</v>
      </c>
      <c r="R173" s="453">
        <f t="shared" si="12"/>
        <v>8.0474999999999994</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2856</v>
      </c>
    </row>
    <row r="174" spans="2:65" s="365" customFormat="1" ht="33" customHeight="1" x14ac:dyDescent="0.25">
      <c r="B174" s="364"/>
      <c r="C174" s="445" t="s">
        <v>257</v>
      </c>
      <c r="D174" s="445" t="s">
        <v>218</v>
      </c>
      <c r="E174" s="446" t="s">
        <v>800</v>
      </c>
      <c r="F174" s="447" t="s">
        <v>801</v>
      </c>
      <c r="G174" s="448" t="s">
        <v>113</v>
      </c>
      <c r="H174" s="449">
        <v>775</v>
      </c>
      <c r="I174" s="329">
        <v>0</v>
      </c>
      <c r="J174" s="450">
        <f t="shared" si="10"/>
        <v>0</v>
      </c>
      <c r="K174" s="451"/>
      <c r="L174" s="364"/>
      <c r="M174" s="452" t="s">
        <v>171</v>
      </c>
      <c r="N174" s="415" t="s">
        <v>185</v>
      </c>
      <c r="O174" s="453">
        <v>0.192</v>
      </c>
      <c r="P174" s="453">
        <f t="shared" si="11"/>
        <v>148.80000000000001</v>
      </c>
      <c r="Q174" s="453">
        <v>9.8529599999999995E-2</v>
      </c>
      <c r="R174" s="453">
        <f t="shared" si="12"/>
        <v>76.360439999999997</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802</v>
      </c>
    </row>
    <row r="175" spans="2:65" s="365" customFormat="1" ht="16.5" customHeight="1" x14ac:dyDescent="0.25">
      <c r="B175" s="364"/>
      <c r="C175" s="457" t="s">
        <v>258</v>
      </c>
      <c r="D175" s="457" t="s">
        <v>259</v>
      </c>
      <c r="E175" s="458" t="s">
        <v>803</v>
      </c>
      <c r="F175" s="459" t="s">
        <v>804</v>
      </c>
      <c r="G175" s="460" t="s">
        <v>123</v>
      </c>
      <c r="H175" s="461">
        <v>813.75</v>
      </c>
      <c r="I175" s="330">
        <v>0</v>
      </c>
      <c r="J175" s="462">
        <f t="shared" si="10"/>
        <v>0</v>
      </c>
      <c r="K175" s="463"/>
      <c r="L175" s="464"/>
      <c r="M175" s="465" t="s">
        <v>171</v>
      </c>
      <c r="N175" s="466" t="s">
        <v>185</v>
      </c>
      <c r="O175" s="453">
        <v>0</v>
      </c>
      <c r="P175" s="453">
        <f t="shared" si="11"/>
        <v>0</v>
      </c>
      <c r="Q175" s="453">
        <v>4.8000000000000001E-2</v>
      </c>
      <c r="R175" s="453">
        <f t="shared" si="12"/>
        <v>39.06</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805</v>
      </c>
    </row>
    <row r="176" spans="2:65" s="365" customFormat="1" ht="16.5" customHeight="1" x14ac:dyDescent="0.25">
      <c r="B176" s="364"/>
      <c r="C176" s="457" t="s">
        <v>260</v>
      </c>
      <c r="D176" s="457" t="s">
        <v>259</v>
      </c>
      <c r="E176" s="458" t="s">
        <v>806</v>
      </c>
      <c r="F176" s="459" t="s">
        <v>807</v>
      </c>
      <c r="G176" s="460" t="s">
        <v>123</v>
      </c>
      <c r="H176" s="461">
        <v>24</v>
      </c>
      <c r="I176" s="330">
        <v>0</v>
      </c>
      <c r="J176" s="462">
        <f t="shared" si="10"/>
        <v>0</v>
      </c>
      <c r="K176" s="463"/>
      <c r="L176" s="464"/>
      <c r="M176" s="465" t="s">
        <v>171</v>
      </c>
      <c r="N176" s="466" t="s">
        <v>185</v>
      </c>
      <c r="O176" s="453">
        <v>0</v>
      </c>
      <c r="P176" s="453">
        <f t="shared" si="11"/>
        <v>0</v>
      </c>
      <c r="Q176" s="453">
        <v>8.5000000000000006E-2</v>
      </c>
      <c r="R176" s="453">
        <f t="shared" si="12"/>
        <v>2.04</v>
      </c>
      <c r="S176" s="453">
        <v>0</v>
      </c>
      <c r="T176" s="454">
        <f t="shared" si="13"/>
        <v>0</v>
      </c>
      <c r="AR176" s="455" t="s">
        <v>115</v>
      </c>
      <c r="AT176" s="455" t="s">
        <v>259</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808</v>
      </c>
    </row>
    <row r="177" spans="2:65" s="365" customFormat="1" ht="33" customHeight="1" x14ac:dyDescent="0.25">
      <c r="B177" s="364"/>
      <c r="C177" s="445" t="s">
        <v>262</v>
      </c>
      <c r="D177" s="445" t="s">
        <v>218</v>
      </c>
      <c r="E177" s="446" t="s">
        <v>809</v>
      </c>
      <c r="F177" s="447" t="s">
        <v>810</v>
      </c>
      <c r="G177" s="448" t="s">
        <v>111</v>
      </c>
      <c r="H177" s="449">
        <v>456</v>
      </c>
      <c r="I177" s="329">
        <v>0</v>
      </c>
      <c r="J177" s="450">
        <f t="shared" si="10"/>
        <v>0</v>
      </c>
      <c r="K177" s="451"/>
      <c r="L177" s="364"/>
      <c r="M177" s="452" t="s">
        <v>171</v>
      </c>
      <c r="N177" s="415" t="s">
        <v>185</v>
      </c>
      <c r="O177" s="453">
        <v>5.5E-2</v>
      </c>
      <c r="P177" s="453">
        <f t="shared" si="11"/>
        <v>25.080000000000002</v>
      </c>
      <c r="Q177" s="453">
        <v>0.29160000000000003</v>
      </c>
      <c r="R177" s="453">
        <f t="shared" si="12"/>
        <v>132.96960000000001</v>
      </c>
      <c r="S177" s="453">
        <v>0</v>
      </c>
      <c r="T177" s="454">
        <f t="shared" si="13"/>
        <v>0</v>
      </c>
      <c r="AR177" s="455" t="s">
        <v>110</v>
      </c>
      <c r="AT177" s="455" t="s">
        <v>218</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811</v>
      </c>
    </row>
    <row r="178" spans="2:65" s="365" customFormat="1" ht="24.2" customHeight="1" x14ac:dyDescent="0.25">
      <c r="B178" s="364"/>
      <c r="C178" s="445" t="s">
        <v>263</v>
      </c>
      <c r="D178" s="445" t="s">
        <v>218</v>
      </c>
      <c r="E178" s="446" t="s">
        <v>812</v>
      </c>
      <c r="F178" s="447" t="s">
        <v>813</v>
      </c>
      <c r="G178" s="448" t="s">
        <v>113</v>
      </c>
      <c r="H178" s="449">
        <v>650</v>
      </c>
      <c r="I178" s="329">
        <v>0</v>
      </c>
      <c r="J178" s="450">
        <f t="shared" si="10"/>
        <v>0</v>
      </c>
      <c r="K178" s="451"/>
      <c r="L178" s="364"/>
      <c r="M178" s="452" t="s">
        <v>171</v>
      </c>
      <c r="N178" s="415" t="s">
        <v>185</v>
      </c>
      <c r="O178" s="453">
        <v>0.104</v>
      </c>
      <c r="P178" s="453">
        <f t="shared" si="11"/>
        <v>67.599999999999994</v>
      </c>
      <c r="Q178" s="453">
        <v>4.2059999999999998E-4</v>
      </c>
      <c r="R178" s="453">
        <f t="shared" si="12"/>
        <v>0.27338999999999997</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814</v>
      </c>
    </row>
    <row r="179" spans="2:65" s="434" customFormat="1" ht="22.9" customHeight="1" x14ac:dyDescent="0.2">
      <c r="B179" s="433"/>
      <c r="D179" s="435" t="s">
        <v>216</v>
      </c>
      <c r="E179" s="443" t="s">
        <v>162</v>
      </c>
      <c r="F179" s="443" t="s">
        <v>633</v>
      </c>
      <c r="I179" s="331"/>
      <c r="J179" s="444">
        <f>BK179</f>
        <v>0</v>
      </c>
      <c r="L179" s="433"/>
      <c r="M179" s="438"/>
      <c r="P179" s="439">
        <f>SUM(P180:P213)</f>
        <v>1281.9013419999999</v>
      </c>
      <c r="R179" s="439">
        <f>SUM(R180:R213)</f>
        <v>405.74449341000002</v>
      </c>
      <c r="T179" s="440">
        <f>SUM(T180:T213)</f>
        <v>1.2370000000000001</v>
      </c>
      <c r="AR179" s="435" t="s">
        <v>109</v>
      </c>
      <c r="AT179" s="441" t="s">
        <v>216</v>
      </c>
      <c r="AU179" s="441" t="s">
        <v>109</v>
      </c>
      <c r="AY179" s="435" t="s">
        <v>217</v>
      </c>
      <c r="BK179" s="442">
        <f>SUM(BK180:BK213)</f>
        <v>0</v>
      </c>
    </row>
    <row r="180" spans="2:65" s="365" customFormat="1" ht="37.9" customHeight="1" x14ac:dyDescent="0.25">
      <c r="B180" s="364"/>
      <c r="C180" s="445" t="s">
        <v>264</v>
      </c>
      <c r="D180" s="445" t="s">
        <v>218</v>
      </c>
      <c r="E180" s="446" t="s">
        <v>822</v>
      </c>
      <c r="F180" s="447" t="s">
        <v>823</v>
      </c>
      <c r="G180" s="448" t="s">
        <v>113</v>
      </c>
      <c r="H180" s="449">
        <v>568</v>
      </c>
      <c r="I180" s="329">
        <v>0</v>
      </c>
      <c r="J180" s="450">
        <f t="shared" ref="J180:J213" si="20">ROUND(I180*H180,2)</f>
        <v>0</v>
      </c>
      <c r="K180" s="451"/>
      <c r="L180" s="364"/>
      <c r="M180" s="452" t="s">
        <v>171</v>
      </c>
      <c r="N180" s="415" t="s">
        <v>185</v>
      </c>
      <c r="O180" s="453">
        <v>0.37</v>
      </c>
      <c r="P180" s="453">
        <f t="shared" ref="P180:P213" si="21">O180*H180</f>
        <v>210.16</v>
      </c>
      <c r="Q180" s="453">
        <v>0</v>
      </c>
      <c r="R180" s="453">
        <f t="shared" ref="R180:R213" si="22">Q180*H180</f>
        <v>0</v>
      </c>
      <c r="S180" s="453">
        <v>0</v>
      </c>
      <c r="T180" s="454">
        <f t="shared" ref="T180:T213" si="23">S180*H180</f>
        <v>0</v>
      </c>
      <c r="AR180" s="455" t="s">
        <v>110</v>
      </c>
      <c r="AT180" s="455" t="s">
        <v>218</v>
      </c>
      <c r="AU180" s="455" t="s">
        <v>108</v>
      </c>
      <c r="AY180" s="357" t="s">
        <v>217</v>
      </c>
      <c r="BE180" s="456">
        <f t="shared" ref="BE180:BE213" si="24">IF(N180="základná",J180,0)</f>
        <v>0</v>
      </c>
      <c r="BF180" s="456">
        <f t="shared" ref="BF180:BF213" si="25">IF(N180="znížená",J180,0)</f>
        <v>0</v>
      </c>
      <c r="BG180" s="456">
        <f t="shared" ref="BG180:BG213" si="26">IF(N180="zákl. prenesená",J180,0)</f>
        <v>0</v>
      </c>
      <c r="BH180" s="456">
        <f t="shared" ref="BH180:BH213" si="27">IF(N180="zníž. prenesená",J180,0)</f>
        <v>0</v>
      </c>
      <c r="BI180" s="456">
        <f t="shared" ref="BI180:BI213" si="28">IF(N180="nulová",J180,0)</f>
        <v>0</v>
      </c>
      <c r="BJ180" s="357" t="s">
        <v>108</v>
      </c>
      <c r="BK180" s="456">
        <f t="shared" ref="BK180:BK213" si="29">ROUND(I180*H180,2)</f>
        <v>0</v>
      </c>
      <c r="BL180" s="357" t="s">
        <v>110</v>
      </c>
      <c r="BM180" s="455" t="s">
        <v>824</v>
      </c>
    </row>
    <row r="181" spans="2:65" s="365" customFormat="1" ht="37.9" customHeight="1" x14ac:dyDescent="0.25">
      <c r="B181" s="364"/>
      <c r="C181" s="457" t="s">
        <v>265</v>
      </c>
      <c r="D181" s="457" t="s">
        <v>259</v>
      </c>
      <c r="E181" s="458" t="s">
        <v>825</v>
      </c>
      <c r="F181" s="459" t="s">
        <v>1288</v>
      </c>
      <c r="G181" s="460" t="s">
        <v>113</v>
      </c>
      <c r="H181" s="461">
        <v>568</v>
      </c>
      <c r="I181" s="330">
        <v>0</v>
      </c>
      <c r="J181" s="462">
        <f t="shared" si="20"/>
        <v>0</v>
      </c>
      <c r="K181" s="463"/>
      <c r="L181" s="464"/>
      <c r="M181" s="465" t="s">
        <v>171</v>
      </c>
      <c r="N181" s="466" t="s">
        <v>185</v>
      </c>
      <c r="O181" s="453">
        <v>0</v>
      </c>
      <c r="P181" s="453">
        <f t="shared" si="21"/>
        <v>0</v>
      </c>
      <c r="Q181" s="453">
        <v>1.2500000000000001E-2</v>
      </c>
      <c r="R181" s="453">
        <f t="shared" si="22"/>
        <v>7.1000000000000005</v>
      </c>
      <c r="S181" s="453">
        <v>0</v>
      </c>
      <c r="T181" s="454">
        <f t="shared" si="23"/>
        <v>0</v>
      </c>
      <c r="AR181" s="455" t="s">
        <v>115</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827</v>
      </c>
    </row>
    <row r="182" spans="2:65" s="365" customFormat="1" ht="16.5" customHeight="1" x14ac:dyDescent="0.25">
      <c r="B182" s="364"/>
      <c r="C182" s="445" t="s">
        <v>266</v>
      </c>
      <c r="D182" s="445" t="s">
        <v>218</v>
      </c>
      <c r="E182" s="446" t="s">
        <v>828</v>
      </c>
      <c r="F182" s="447" t="s">
        <v>829</v>
      </c>
      <c r="G182" s="448" t="s">
        <v>123</v>
      </c>
      <c r="H182" s="449">
        <v>190</v>
      </c>
      <c r="I182" s="329">
        <v>0</v>
      </c>
      <c r="J182" s="450">
        <f t="shared" si="20"/>
        <v>0</v>
      </c>
      <c r="K182" s="451"/>
      <c r="L182" s="364"/>
      <c r="M182" s="452" t="s">
        <v>171</v>
      </c>
      <c r="N182" s="415" t="s">
        <v>185</v>
      </c>
      <c r="O182" s="453">
        <v>7.0000000000000007E-2</v>
      </c>
      <c r="P182" s="453">
        <f t="shared" si="21"/>
        <v>13.3</v>
      </c>
      <c r="Q182" s="453">
        <v>1.7997999999999999E-4</v>
      </c>
      <c r="R182" s="453">
        <f t="shared" si="22"/>
        <v>3.4196199999999996E-2</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830</v>
      </c>
    </row>
    <row r="183" spans="2:65" s="365" customFormat="1" ht="24.2" customHeight="1" x14ac:dyDescent="0.25">
      <c r="B183" s="364"/>
      <c r="C183" s="457" t="s">
        <v>573</v>
      </c>
      <c r="D183" s="457" t="s">
        <v>259</v>
      </c>
      <c r="E183" s="458" t="s">
        <v>831</v>
      </c>
      <c r="F183" s="459" t="s">
        <v>832</v>
      </c>
      <c r="G183" s="460" t="s">
        <v>123</v>
      </c>
      <c r="H183" s="461">
        <v>190</v>
      </c>
      <c r="I183" s="330">
        <v>0</v>
      </c>
      <c r="J183" s="462">
        <f t="shared" si="20"/>
        <v>0</v>
      </c>
      <c r="K183" s="463"/>
      <c r="L183" s="464"/>
      <c r="M183" s="465" t="s">
        <v>171</v>
      </c>
      <c r="N183" s="466" t="s">
        <v>185</v>
      </c>
      <c r="O183" s="453">
        <v>0</v>
      </c>
      <c r="P183" s="453">
        <f t="shared" si="21"/>
        <v>0</v>
      </c>
      <c r="Q183" s="453">
        <v>2.9999999999999997E-4</v>
      </c>
      <c r="R183" s="453">
        <f t="shared" si="22"/>
        <v>5.6999999999999995E-2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833</v>
      </c>
    </row>
    <row r="184" spans="2:65" s="365" customFormat="1" ht="24.2" customHeight="1" x14ac:dyDescent="0.25">
      <c r="B184" s="364"/>
      <c r="C184" s="445" t="s">
        <v>577</v>
      </c>
      <c r="D184" s="445" t="s">
        <v>218</v>
      </c>
      <c r="E184" s="446" t="s">
        <v>834</v>
      </c>
      <c r="F184" s="447" t="s">
        <v>835</v>
      </c>
      <c r="G184" s="448" t="s">
        <v>123</v>
      </c>
      <c r="H184" s="449">
        <v>10</v>
      </c>
      <c r="I184" s="329">
        <v>0</v>
      </c>
      <c r="J184" s="450">
        <f t="shared" si="20"/>
        <v>0</v>
      </c>
      <c r="K184" s="451"/>
      <c r="L184" s="364"/>
      <c r="M184" s="452" t="s">
        <v>171</v>
      </c>
      <c r="N184" s="415" t="s">
        <v>185</v>
      </c>
      <c r="O184" s="453">
        <v>0.42</v>
      </c>
      <c r="P184" s="453">
        <f t="shared" si="21"/>
        <v>4.2</v>
      </c>
      <c r="Q184" s="453">
        <v>0.119575</v>
      </c>
      <c r="R184" s="453">
        <f t="shared" si="22"/>
        <v>1.1957500000000001</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836</v>
      </c>
    </row>
    <row r="185" spans="2:65" s="365" customFormat="1" ht="24.2" customHeight="1" x14ac:dyDescent="0.25">
      <c r="B185" s="364"/>
      <c r="C185" s="445" t="s">
        <v>581</v>
      </c>
      <c r="D185" s="445" t="s">
        <v>218</v>
      </c>
      <c r="E185" s="446" t="s">
        <v>837</v>
      </c>
      <c r="F185" s="447" t="s">
        <v>838</v>
      </c>
      <c r="G185" s="448" t="s">
        <v>123</v>
      </c>
      <c r="H185" s="449">
        <v>10</v>
      </c>
      <c r="I185" s="329">
        <v>0</v>
      </c>
      <c r="J185" s="450">
        <f t="shared" si="20"/>
        <v>0</v>
      </c>
      <c r="K185" s="451"/>
      <c r="L185" s="364"/>
      <c r="M185" s="452" t="s">
        <v>171</v>
      </c>
      <c r="N185" s="415" t="s">
        <v>185</v>
      </c>
      <c r="O185" s="453">
        <v>0.746</v>
      </c>
      <c r="P185" s="453">
        <f t="shared" si="21"/>
        <v>7.46</v>
      </c>
      <c r="Q185" s="453">
        <v>0.22133</v>
      </c>
      <c r="R185" s="453">
        <f t="shared" si="22"/>
        <v>2.2132999999999998</v>
      </c>
      <c r="S185" s="453">
        <v>0</v>
      </c>
      <c r="T185" s="454">
        <f t="shared" si="23"/>
        <v>0</v>
      </c>
      <c r="AR185" s="455" t="s">
        <v>110</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839</v>
      </c>
    </row>
    <row r="186" spans="2:65" s="365" customFormat="1" ht="16.5" customHeight="1" x14ac:dyDescent="0.25">
      <c r="B186" s="364"/>
      <c r="C186" s="457" t="s">
        <v>585</v>
      </c>
      <c r="D186" s="457" t="s">
        <v>259</v>
      </c>
      <c r="E186" s="458" t="s">
        <v>268</v>
      </c>
      <c r="F186" s="459" t="s">
        <v>840</v>
      </c>
      <c r="G186" s="460" t="s">
        <v>123</v>
      </c>
      <c r="H186" s="461">
        <v>10</v>
      </c>
      <c r="I186" s="330">
        <v>0</v>
      </c>
      <c r="J186" s="462">
        <f t="shared" si="20"/>
        <v>0</v>
      </c>
      <c r="K186" s="463"/>
      <c r="L186" s="464"/>
      <c r="M186" s="465" t="s">
        <v>171</v>
      </c>
      <c r="N186" s="466" t="s">
        <v>185</v>
      </c>
      <c r="O186" s="453">
        <v>0</v>
      </c>
      <c r="P186" s="453">
        <f t="shared" si="21"/>
        <v>0</v>
      </c>
      <c r="Q186" s="453">
        <v>1.4E-3</v>
      </c>
      <c r="R186" s="453">
        <f t="shared" si="22"/>
        <v>1.4E-2</v>
      </c>
      <c r="S186" s="453">
        <v>0</v>
      </c>
      <c r="T186" s="454">
        <f t="shared" si="23"/>
        <v>0</v>
      </c>
      <c r="AR186" s="455" t="s">
        <v>115</v>
      </c>
      <c r="AT186" s="455" t="s">
        <v>259</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841</v>
      </c>
    </row>
    <row r="187" spans="2:65" s="365" customFormat="1" ht="24.2" customHeight="1" x14ac:dyDescent="0.25">
      <c r="B187" s="364"/>
      <c r="C187" s="457" t="s">
        <v>589</v>
      </c>
      <c r="D187" s="457" t="s">
        <v>259</v>
      </c>
      <c r="E187" s="458" t="s">
        <v>842</v>
      </c>
      <c r="F187" s="459" t="s">
        <v>843</v>
      </c>
      <c r="G187" s="460" t="s">
        <v>123</v>
      </c>
      <c r="H187" s="461">
        <v>10</v>
      </c>
      <c r="I187" s="330">
        <v>0</v>
      </c>
      <c r="J187" s="462">
        <f t="shared" si="20"/>
        <v>0</v>
      </c>
      <c r="K187" s="463"/>
      <c r="L187" s="464"/>
      <c r="M187" s="465" t="s">
        <v>171</v>
      </c>
      <c r="N187" s="466" t="s">
        <v>185</v>
      </c>
      <c r="O187" s="453">
        <v>0</v>
      </c>
      <c r="P187" s="453">
        <f t="shared" si="21"/>
        <v>0</v>
      </c>
      <c r="Q187" s="453">
        <v>9.3000000000000005E-4</v>
      </c>
      <c r="R187" s="453">
        <f t="shared" si="22"/>
        <v>9.300000000000001E-3</v>
      </c>
      <c r="S187" s="453">
        <v>0</v>
      </c>
      <c r="T187" s="454">
        <f t="shared" si="23"/>
        <v>0</v>
      </c>
      <c r="AR187" s="455" t="s">
        <v>115</v>
      </c>
      <c r="AT187" s="455" t="s">
        <v>259</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844</v>
      </c>
    </row>
    <row r="188" spans="2:65" s="365" customFormat="1" ht="16.5" customHeight="1" x14ac:dyDescent="0.25">
      <c r="B188" s="364"/>
      <c r="C188" s="445" t="s">
        <v>593</v>
      </c>
      <c r="D188" s="445" t="s">
        <v>218</v>
      </c>
      <c r="E188" s="446" t="s">
        <v>845</v>
      </c>
      <c r="F188" s="447" t="s">
        <v>846</v>
      </c>
      <c r="G188" s="448" t="s">
        <v>123</v>
      </c>
      <c r="H188" s="449">
        <v>12</v>
      </c>
      <c r="I188" s="329">
        <v>0</v>
      </c>
      <c r="J188" s="450">
        <f t="shared" si="20"/>
        <v>0</v>
      </c>
      <c r="K188" s="451"/>
      <c r="L188" s="364"/>
      <c r="M188" s="452" t="s">
        <v>171</v>
      </c>
      <c r="N188" s="415" t="s">
        <v>185</v>
      </c>
      <c r="O188" s="453">
        <v>1.1759999999999999</v>
      </c>
      <c r="P188" s="453">
        <f t="shared" si="21"/>
        <v>14.111999999999998</v>
      </c>
      <c r="Q188" s="453">
        <v>0</v>
      </c>
      <c r="R188" s="453">
        <f t="shared" si="22"/>
        <v>0</v>
      </c>
      <c r="S188" s="453">
        <v>0</v>
      </c>
      <c r="T188" s="454">
        <f t="shared" si="23"/>
        <v>0</v>
      </c>
      <c r="AR188" s="455" t="s">
        <v>110</v>
      </c>
      <c r="AT188" s="455" t="s">
        <v>218</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847</v>
      </c>
    </row>
    <row r="189" spans="2:65" s="365" customFormat="1" ht="24.2" customHeight="1" x14ac:dyDescent="0.25">
      <c r="B189" s="364"/>
      <c r="C189" s="445" t="s">
        <v>597</v>
      </c>
      <c r="D189" s="445" t="s">
        <v>218</v>
      </c>
      <c r="E189" s="446" t="s">
        <v>848</v>
      </c>
      <c r="F189" s="447" t="s">
        <v>849</v>
      </c>
      <c r="G189" s="448" t="s">
        <v>123</v>
      </c>
      <c r="H189" s="449">
        <v>125</v>
      </c>
      <c r="I189" s="329">
        <v>0</v>
      </c>
      <c r="J189" s="450">
        <f t="shared" si="20"/>
        <v>0</v>
      </c>
      <c r="K189" s="451"/>
      <c r="L189" s="364"/>
      <c r="M189" s="452" t="s">
        <v>171</v>
      </c>
      <c r="N189" s="415" t="s">
        <v>185</v>
      </c>
      <c r="O189" s="453">
        <v>0.06</v>
      </c>
      <c r="P189" s="453">
        <f t="shared" si="21"/>
        <v>7.5</v>
      </c>
      <c r="Q189" s="453">
        <v>0</v>
      </c>
      <c r="R189" s="453">
        <f t="shared" si="22"/>
        <v>0</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850</v>
      </c>
    </row>
    <row r="190" spans="2:65" s="365" customFormat="1" ht="33" customHeight="1" x14ac:dyDescent="0.25">
      <c r="B190" s="364"/>
      <c r="C190" s="457" t="s">
        <v>601</v>
      </c>
      <c r="D190" s="457" t="s">
        <v>259</v>
      </c>
      <c r="E190" s="458" t="s">
        <v>851</v>
      </c>
      <c r="F190" s="459" t="s">
        <v>1299</v>
      </c>
      <c r="G190" s="460" t="s">
        <v>123</v>
      </c>
      <c r="H190" s="461">
        <v>7500</v>
      </c>
      <c r="I190" s="330">
        <v>0</v>
      </c>
      <c r="J190" s="462">
        <f t="shared" si="20"/>
        <v>0</v>
      </c>
      <c r="K190" s="463"/>
      <c r="L190" s="464"/>
      <c r="M190" s="465" t="s">
        <v>171</v>
      </c>
      <c r="N190" s="466" t="s">
        <v>185</v>
      </c>
      <c r="O190" s="453">
        <v>0</v>
      </c>
      <c r="P190" s="453">
        <f t="shared" si="21"/>
        <v>0</v>
      </c>
      <c r="Q190" s="453">
        <v>1.14E-2</v>
      </c>
      <c r="R190" s="453">
        <f t="shared" si="22"/>
        <v>85.5</v>
      </c>
      <c r="S190" s="453">
        <v>0</v>
      </c>
      <c r="T190" s="454">
        <f t="shared" si="23"/>
        <v>0</v>
      </c>
      <c r="AR190" s="455" t="s">
        <v>115</v>
      </c>
      <c r="AT190" s="455" t="s">
        <v>259</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853</v>
      </c>
    </row>
    <row r="191" spans="2:65" s="365" customFormat="1" ht="37.9" customHeight="1" x14ac:dyDescent="0.25">
      <c r="B191" s="364"/>
      <c r="C191" s="445" t="s">
        <v>605</v>
      </c>
      <c r="D191" s="445" t="s">
        <v>218</v>
      </c>
      <c r="E191" s="446" t="s">
        <v>2857</v>
      </c>
      <c r="F191" s="447" t="s">
        <v>2858</v>
      </c>
      <c r="G191" s="448" t="s">
        <v>113</v>
      </c>
      <c r="H191" s="449">
        <v>1252</v>
      </c>
      <c r="I191" s="329">
        <v>0</v>
      </c>
      <c r="J191" s="450">
        <f t="shared" si="20"/>
        <v>0</v>
      </c>
      <c r="K191" s="451"/>
      <c r="L191" s="364"/>
      <c r="M191" s="452" t="s">
        <v>171</v>
      </c>
      <c r="N191" s="415" t="s">
        <v>185</v>
      </c>
      <c r="O191" s="453">
        <v>2.9000000000000001E-2</v>
      </c>
      <c r="P191" s="453">
        <f t="shared" si="21"/>
        <v>36.308</v>
      </c>
      <c r="Q191" s="453">
        <v>3.5100000000000002E-4</v>
      </c>
      <c r="R191" s="453">
        <f t="shared" si="22"/>
        <v>0.43945200000000001</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2859</v>
      </c>
    </row>
    <row r="192" spans="2:65" s="365" customFormat="1" ht="37.9" customHeight="1" x14ac:dyDescent="0.25">
      <c r="B192" s="364"/>
      <c r="C192" s="445" t="s">
        <v>609</v>
      </c>
      <c r="D192" s="445" t="s">
        <v>218</v>
      </c>
      <c r="E192" s="446" t="s">
        <v>854</v>
      </c>
      <c r="F192" s="447" t="s">
        <v>2860</v>
      </c>
      <c r="G192" s="448" t="s">
        <v>113</v>
      </c>
      <c r="H192" s="449">
        <v>1323</v>
      </c>
      <c r="I192" s="329">
        <v>0</v>
      </c>
      <c r="J192" s="450">
        <f t="shared" si="20"/>
        <v>0</v>
      </c>
      <c r="K192" s="451"/>
      <c r="L192" s="364"/>
      <c r="M192" s="452" t="s">
        <v>171</v>
      </c>
      <c r="N192" s="415" t="s">
        <v>185</v>
      </c>
      <c r="O192" s="453">
        <v>2.1999999999999999E-2</v>
      </c>
      <c r="P192" s="453">
        <f t="shared" si="21"/>
        <v>29.105999999999998</v>
      </c>
      <c r="Q192" s="453">
        <v>1.0119999999999999E-4</v>
      </c>
      <c r="R192" s="453">
        <f t="shared" si="22"/>
        <v>0.1338876</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856</v>
      </c>
    </row>
    <row r="193" spans="2:65" s="365" customFormat="1" ht="37.9" customHeight="1" x14ac:dyDescent="0.25">
      <c r="B193" s="364"/>
      <c r="C193" s="445" t="s">
        <v>613</v>
      </c>
      <c r="D193" s="445" t="s">
        <v>218</v>
      </c>
      <c r="E193" s="446" t="s">
        <v>863</v>
      </c>
      <c r="F193" s="447" t="s">
        <v>864</v>
      </c>
      <c r="G193" s="448" t="s">
        <v>113</v>
      </c>
      <c r="H193" s="449">
        <v>34</v>
      </c>
      <c r="I193" s="329">
        <v>0</v>
      </c>
      <c r="J193" s="450">
        <f t="shared" si="20"/>
        <v>0</v>
      </c>
      <c r="K193" s="451"/>
      <c r="L193" s="364"/>
      <c r="M193" s="452" t="s">
        <v>171</v>
      </c>
      <c r="N193" s="415" t="s">
        <v>185</v>
      </c>
      <c r="O193" s="453">
        <v>2.8000000000000001E-2</v>
      </c>
      <c r="P193" s="453">
        <f t="shared" si="21"/>
        <v>0.95200000000000007</v>
      </c>
      <c r="Q193" s="453">
        <v>2.4509E-4</v>
      </c>
      <c r="R193" s="453">
        <f t="shared" si="22"/>
        <v>8.3330599999999998E-3</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865</v>
      </c>
    </row>
    <row r="194" spans="2:65" s="365" customFormat="1" ht="37.9" customHeight="1" x14ac:dyDescent="0.25">
      <c r="B194" s="364"/>
      <c r="C194" s="445" t="s">
        <v>617</v>
      </c>
      <c r="D194" s="445" t="s">
        <v>218</v>
      </c>
      <c r="E194" s="446" t="s">
        <v>866</v>
      </c>
      <c r="F194" s="447" t="s">
        <v>2861</v>
      </c>
      <c r="G194" s="448" t="s">
        <v>111</v>
      </c>
      <c r="H194" s="449">
        <v>85</v>
      </c>
      <c r="I194" s="329">
        <v>0</v>
      </c>
      <c r="J194" s="450">
        <f t="shared" si="20"/>
        <v>0</v>
      </c>
      <c r="K194" s="451"/>
      <c r="L194" s="364"/>
      <c r="M194" s="452" t="s">
        <v>171</v>
      </c>
      <c r="N194" s="415" t="s">
        <v>185</v>
      </c>
      <c r="O194" s="453">
        <v>0.48</v>
      </c>
      <c r="P194" s="453">
        <f t="shared" si="21"/>
        <v>40.799999999999997</v>
      </c>
      <c r="Q194" s="453">
        <v>8.9999999999999998E-4</v>
      </c>
      <c r="R194" s="453">
        <f t="shared" si="22"/>
        <v>7.6499999999999999E-2</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868</v>
      </c>
    </row>
    <row r="195" spans="2:65" s="365" customFormat="1" ht="24.2" customHeight="1" x14ac:dyDescent="0.25">
      <c r="B195" s="364"/>
      <c r="C195" s="445" t="s">
        <v>621</v>
      </c>
      <c r="D195" s="445" t="s">
        <v>218</v>
      </c>
      <c r="E195" s="446" t="s">
        <v>869</v>
      </c>
      <c r="F195" s="447" t="s">
        <v>269</v>
      </c>
      <c r="G195" s="448" t="s">
        <v>113</v>
      </c>
      <c r="H195" s="449">
        <v>2610</v>
      </c>
      <c r="I195" s="329">
        <v>0</v>
      </c>
      <c r="J195" s="450">
        <f t="shared" si="20"/>
        <v>0</v>
      </c>
      <c r="K195" s="451"/>
      <c r="L195" s="364"/>
      <c r="M195" s="452" t="s">
        <v>171</v>
      </c>
      <c r="N195" s="415" t="s">
        <v>185</v>
      </c>
      <c r="O195" s="453">
        <v>1.4999999999999999E-2</v>
      </c>
      <c r="P195" s="453">
        <f t="shared" si="21"/>
        <v>39.15</v>
      </c>
      <c r="Q195" s="453">
        <v>3.7500000000000001E-6</v>
      </c>
      <c r="R195" s="453">
        <f t="shared" si="22"/>
        <v>9.7875000000000011E-3</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870</v>
      </c>
    </row>
    <row r="196" spans="2:65" s="365" customFormat="1" ht="24.2" customHeight="1" x14ac:dyDescent="0.25">
      <c r="B196" s="364"/>
      <c r="C196" s="445" t="s">
        <v>625</v>
      </c>
      <c r="D196" s="445" t="s">
        <v>218</v>
      </c>
      <c r="E196" s="446" t="s">
        <v>871</v>
      </c>
      <c r="F196" s="447" t="s">
        <v>872</v>
      </c>
      <c r="G196" s="448" t="s">
        <v>111</v>
      </c>
      <c r="H196" s="449">
        <v>85</v>
      </c>
      <c r="I196" s="329">
        <v>0</v>
      </c>
      <c r="J196" s="450">
        <f t="shared" si="20"/>
        <v>0</v>
      </c>
      <c r="K196" s="451"/>
      <c r="L196" s="364"/>
      <c r="M196" s="452" t="s">
        <v>171</v>
      </c>
      <c r="N196" s="415" t="s">
        <v>185</v>
      </c>
      <c r="O196" s="453">
        <v>0.11899999999999999</v>
      </c>
      <c r="P196" s="453">
        <f t="shared" si="21"/>
        <v>10.115</v>
      </c>
      <c r="Q196" s="453">
        <v>9.3999999999999998E-6</v>
      </c>
      <c r="R196" s="453">
        <f t="shared" si="22"/>
        <v>7.9900000000000001E-4</v>
      </c>
      <c r="S196" s="453">
        <v>0</v>
      </c>
      <c r="T196" s="454">
        <f t="shared" si="23"/>
        <v>0</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873</v>
      </c>
    </row>
    <row r="197" spans="2:65" s="365" customFormat="1" ht="33" customHeight="1" x14ac:dyDescent="0.25">
      <c r="B197" s="364"/>
      <c r="C197" s="445" t="s">
        <v>629</v>
      </c>
      <c r="D197" s="445" t="s">
        <v>218</v>
      </c>
      <c r="E197" s="446" t="s">
        <v>1181</v>
      </c>
      <c r="F197" s="447" t="s">
        <v>2862</v>
      </c>
      <c r="G197" s="448" t="s">
        <v>113</v>
      </c>
      <c r="H197" s="449">
        <v>23</v>
      </c>
      <c r="I197" s="329">
        <v>0</v>
      </c>
      <c r="J197" s="450">
        <f t="shared" si="20"/>
        <v>0</v>
      </c>
      <c r="K197" s="451"/>
      <c r="L197" s="364"/>
      <c r="M197" s="452" t="s">
        <v>171</v>
      </c>
      <c r="N197" s="415" t="s">
        <v>185</v>
      </c>
      <c r="O197" s="453">
        <v>0.35</v>
      </c>
      <c r="P197" s="453">
        <f t="shared" si="21"/>
        <v>8.0499999999999989</v>
      </c>
      <c r="Q197" s="453">
        <v>0.15113035</v>
      </c>
      <c r="R197" s="453">
        <f t="shared" si="22"/>
        <v>3.4759980499999998</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2863</v>
      </c>
    </row>
    <row r="198" spans="2:65" s="365" customFormat="1" ht="33" customHeight="1" x14ac:dyDescent="0.25">
      <c r="B198" s="364"/>
      <c r="C198" s="445" t="s">
        <v>634</v>
      </c>
      <c r="D198" s="445" t="s">
        <v>218</v>
      </c>
      <c r="E198" s="446" t="s">
        <v>877</v>
      </c>
      <c r="F198" s="447" t="s">
        <v>878</v>
      </c>
      <c r="G198" s="448" t="s">
        <v>113</v>
      </c>
      <c r="H198" s="449">
        <v>20</v>
      </c>
      <c r="I198" s="329">
        <v>0</v>
      </c>
      <c r="J198" s="450">
        <f t="shared" si="20"/>
        <v>0</v>
      </c>
      <c r="K198" s="451"/>
      <c r="L198" s="364"/>
      <c r="M198" s="452" t="s">
        <v>171</v>
      </c>
      <c r="N198" s="415" t="s">
        <v>185</v>
      </c>
      <c r="O198" s="453">
        <v>0.35</v>
      </c>
      <c r="P198" s="453">
        <f t="shared" si="21"/>
        <v>7</v>
      </c>
      <c r="Q198" s="453">
        <v>0.15112999999999999</v>
      </c>
      <c r="R198" s="453">
        <f t="shared" si="22"/>
        <v>3.0225999999999997</v>
      </c>
      <c r="S198" s="453">
        <v>0</v>
      </c>
      <c r="T198" s="454">
        <f t="shared" si="23"/>
        <v>0</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879</v>
      </c>
    </row>
    <row r="199" spans="2:65" s="365" customFormat="1" ht="16.5" customHeight="1" x14ac:dyDescent="0.25">
      <c r="B199" s="364"/>
      <c r="C199" s="457" t="s">
        <v>637</v>
      </c>
      <c r="D199" s="457" t="s">
        <v>259</v>
      </c>
      <c r="E199" s="458" t="s">
        <v>880</v>
      </c>
      <c r="F199" s="459" t="s">
        <v>881</v>
      </c>
      <c r="G199" s="460" t="s">
        <v>123</v>
      </c>
      <c r="H199" s="461">
        <v>20.2</v>
      </c>
      <c r="I199" s="330">
        <v>0</v>
      </c>
      <c r="J199" s="462">
        <f t="shared" si="20"/>
        <v>0</v>
      </c>
      <c r="K199" s="463"/>
      <c r="L199" s="464"/>
      <c r="M199" s="465" t="s">
        <v>171</v>
      </c>
      <c r="N199" s="466" t="s">
        <v>185</v>
      </c>
      <c r="O199" s="453">
        <v>0</v>
      </c>
      <c r="P199" s="453">
        <f t="shared" si="21"/>
        <v>0</v>
      </c>
      <c r="Q199" s="453">
        <v>8.5000000000000006E-2</v>
      </c>
      <c r="R199" s="453">
        <f t="shared" si="22"/>
        <v>1.7170000000000001</v>
      </c>
      <c r="S199" s="453">
        <v>0</v>
      </c>
      <c r="T199" s="454">
        <f t="shared" si="23"/>
        <v>0</v>
      </c>
      <c r="AR199" s="455" t="s">
        <v>115</v>
      </c>
      <c r="AT199" s="455" t="s">
        <v>259</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882</v>
      </c>
    </row>
    <row r="200" spans="2:65" s="365" customFormat="1" ht="33" customHeight="1" x14ac:dyDescent="0.25">
      <c r="B200" s="364"/>
      <c r="C200" s="445" t="s">
        <v>640</v>
      </c>
      <c r="D200" s="445" t="s">
        <v>218</v>
      </c>
      <c r="E200" s="446" t="s">
        <v>883</v>
      </c>
      <c r="F200" s="447" t="s">
        <v>270</v>
      </c>
      <c r="G200" s="448" t="s">
        <v>114</v>
      </c>
      <c r="H200" s="449">
        <v>134</v>
      </c>
      <c r="I200" s="329">
        <v>0</v>
      </c>
      <c r="J200" s="450">
        <f t="shared" si="20"/>
        <v>0</v>
      </c>
      <c r="K200" s="451"/>
      <c r="L200" s="364"/>
      <c r="M200" s="452" t="s">
        <v>171</v>
      </c>
      <c r="N200" s="415" t="s">
        <v>185</v>
      </c>
      <c r="O200" s="453">
        <v>1.363</v>
      </c>
      <c r="P200" s="453">
        <f t="shared" si="21"/>
        <v>182.642</v>
      </c>
      <c r="Q200" s="453">
        <v>2.2151320000000001</v>
      </c>
      <c r="R200" s="453">
        <f t="shared" si="22"/>
        <v>296.82768800000002</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884</v>
      </c>
    </row>
    <row r="201" spans="2:65" s="365" customFormat="1" ht="16.5" customHeight="1" x14ac:dyDescent="0.25">
      <c r="B201" s="364"/>
      <c r="C201" s="445" t="s">
        <v>644</v>
      </c>
      <c r="D201" s="445" t="s">
        <v>218</v>
      </c>
      <c r="E201" s="446" t="s">
        <v>885</v>
      </c>
      <c r="F201" s="447" t="s">
        <v>886</v>
      </c>
      <c r="G201" s="448" t="s">
        <v>123</v>
      </c>
      <c r="H201" s="449">
        <v>1136</v>
      </c>
      <c r="I201" s="329">
        <v>0</v>
      </c>
      <c r="J201" s="450">
        <f t="shared" si="20"/>
        <v>0</v>
      </c>
      <c r="K201" s="451"/>
      <c r="L201" s="364"/>
      <c r="M201" s="452" t="s">
        <v>171</v>
      </c>
      <c r="N201" s="415" t="s">
        <v>185</v>
      </c>
      <c r="O201" s="453">
        <v>8.5000000000000006E-2</v>
      </c>
      <c r="P201" s="453">
        <f t="shared" si="21"/>
        <v>96.56</v>
      </c>
      <c r="Q201" s="453">
        <v>2.0200000000000001E-3</v>
      </c>
      <c r="R201" s="453">
        <f t="shared" si="22"/>
        <v>2.2947200000000003</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887</v>
      </c>
    </row>
    <row r="202" spans="2:65" s="365" customFormat="1" ht="24.2" customHeight="1" x14ac:dyDescent="0.25">
      <c r="B202" s="364"/>
      <c r="C202" s="457" t="s">
        <v>645</v>
      </c>
      <c r="D202" s="457" t="s">
        <v>259</v>
      </c>
      <c r="E202" s="458" t="s">
        <v>888</v>
      </c>
      <c r="F202" s="459" t="s">
        <v>2864</v>
      </c>
      <c r="G202" s="460" t="s">
        <v>113</v>
      </c>
      <c r="H202" s="461">
        <v>1136</v>
      </c>
      <c r="I202" s="330">
        <v>0</v>
      </c>
      <c r="J202" s="462">
        <f t="shared" si="20"/>
        <v>0</v>
      </c>
      <c r="K202" s="463"/>
      <c r="L202" s="464"/>
      <c r="M202" s="465" t="s">
        <v>171</v>
      </c>
      <c r="N202" s="466" t="s">
        <v>185</v>
      </c>
      <c r="O202" s="453">
        <v>0</v>
      </c>
      <c r="P202" s="453">
        <f t="shared" si="21"/>
        <v>0</v>
      </c>
      <c r="Q202" s="453">
        <v>1.1999999999999999E-3</v>
      </c>
      <c r="R202" s="453">
        <f t="shared" si="22"/>
        <v>1.3632</v>
      </c>
      <c r="S202" s="453">
        <v>0</v>
      </c>
      <c r="T202" s="454">
        <f t="shared" si="23"/>
        <v>0</v>
      </c>
      <c r="AR202" s="455" t="s">
        <v>115</v>
      </c>
      <c r="AT202" s="455" t="s">
        <v>259</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890</v>
      </c>
    </row>
    <row r="203" spans="2:65" s="365" customFormat="1" ht="24.2" customHeight="1" x14ac:dyDescent="0.25">
      <c r="B203" s="364"/>
      <c r="C203" s="445" t="s">
        <v>651</v>
      </c>
      <c r="D203" s="445" t="s">
        <v>218</v>
      </c>
      <c r="E203" s="446" t="s">
        <v>891</v>
      </c>
      <c r="F203" s="447" t="s">
        <v>892</v>
      </c>
      <c r="G203" s="448" t="s">
        <v>113</v>
      </c>
      <c r="H203" s="449">
        <v>850</v>
      </c>
      <c r="I203" s="329">
        <v>0</v>
      </c>
      <c r="J203" s="450">
        <f t="shared" si="20"/>
        <v>0</v>
      </c>
      <c r="K203" s="451"/>
      <c r="L203" s="364"/>
      <c r="M203" s="452" t="s">
        <v>171</v>
      </c>
      <c r="N203" s="415" t="s">
        <v>185</v>
      </c>
      <c r="O203" s="453">
        <v>0.65900999999999998</v>
      </c>
      <c r="P203" s="453">
        <f t="shared" si="21"/>
        <v>560.1585</v>
      </c>
      <c r="Q203" s="453">
        <v>1.3920000000000001E-5</v>
      </c>
      <c r="R203" s="453">
        <f t="shared" si="22"/>
        <v>1.1832000000000001E-2</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893</v>
      </c>
    </row>
    <row r="204" spans="2:65" s="365" customFormat="1" ht="24.2" customHeight="1" x14ac:dyDescent="0.25">
      <c r="B204" s="364"/>
      <c r="C204" s="445" t="s">
        <v>655</v>
      </c>
      <c r="D204" s="445" t="s">
        <v>218</v>
      </c>
      <c r="E204" s="446" t="s">
        <v>894</v>
      </c>
      <c r="F204" s="447" t="s">
        <v>895</v>
      </c>
      <c r="G204" s="448" t="s">
        <v>123</v>
      </c>
      <c r="H204" s="449">
        <v>1</v>
      </c>
      <c r="I204" s="329">
        <v>0</v>
      </c>
      <c r="J204" s="450">
        <f t="shared" si="20"/>
        <v>0</v>
      </c>
      <c r="K204" s="451"/>
      <c r="L204" s="364"/>
      <c r="M204" s="452" t="s">
        <v>171</v>
      </c>
      <c r="N204" s="415" t="s">
        <v>185</v>
      </c>
      <c r="O204" s="453">
        <v>0.70676000000000005</v>
      </c>
      <c r="P204" s="453">
        <f t="shared" si="21"/>
        <v>0.70676000000000005</v>
      </c>
      <c r="Q204" s="453">
        <v>0.23915</v>
      </c>
      <c r="R204" s="453">
        <f t="shared" si="22"/>
        <v>0.23915</v>
      </c>
      <c r="S204" s="453">
        <v>0</v>
      </c>
      <c r="T204" s="454">
        <f t="shared" si="23"/>
        <v>0</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896</v>
      </c>
    </row>
    <row r="205" spans="2:65" s="365" customFormat="1" ht="24.2" customHeight="1" x14ac:dyDescent="0.25">
      <c r="B205" s="364"/>
      <c r="C205" s="900" t="s">
        <v>931</v>
      </c>
      <c r="D205" s="900" t="s">
        <v>218</v>
      </c>
      <c r="E205" s="901" t="s">
        <v>3197</v>
      </c>
      <c r="F205" s="902" t="s">
        <v>3198</v>
      </c>
      <c r="G205" s="903" t="s">
        <v>123</v>
      </c>
      <c r="H205" s="904">
        <v>1</v>
      </c>
      <c r="I205" s="329">
        <v>0</v>
      </c>
      <c r="J205" s="450">
        <f t="shared" si="20"/>
        <v>0</v>
      </c>
      <c r="K205" s="451"/>
      <c r="L205" s="364"/>
      <c r="M205" s="452"/>
      <c r="N205" s="415"/>
      <c r="O205" s="453"/>
      <c r="P205" s="453"/>
      <c r="Q205" s="453"/>
      <c r="R205" s="453"/>
      <c r="S205" s="453"/>
      <c r="T205" s="454"/>
      <c r="AR205" s="455"/>
      <c r="AT205" s="455"/>
      <c r="AU205" s="455"/>
      <c r="AY205" s="357"/>
      <c r="BE205" s="456"/>
      <c r="BF205" s="456"/>
      <c r="BG205" s="456"/>
      <c r="BH205" s="456"/>
      <c r="BI205" s="456"/>
      <c r="BJ205" s="357"/>
      <c r="BK205" s="456">
        <f t="shared" si="29"/>
        <v>0</v>
      </c>
      <c r="BL205" s="357"/>
      <c r="BM205" s="455"/>
    </row>
    <row r="206" spans="2:65" s="365" customFormat="1" ht="24.2" customHeight="1" x14ac:dyDescent="0.25">
      <c r="B206" s="364"/>
      <c r="C206" s="445" t="s">
        <v>659</v>
      </c>
      <c r="D206" s="445" t="s">
        <v>218</v>
      </c>
      <c r="E206" s="446" t="s">
        <v>1191</v>
      </c>
      <c r="F206" s="447" t="s">
        <v>1192</v>
      </c>
      <c r="G206" s="448" t="s">
        <v>123</v>
      </c>
      <c r="H206" s="449">
        <v>1</v>
      </c>
      <c r="I206" s="329">
        <v>0</v>
      </c>
      <c r="J206" s="450">
        <f t="shared" si="20"/>
        <v>0</v>
      </c>
      <c r="K206" s="451"/>
      <c r="L206" s="364"/>
      <c r="M206" s="452" t="s">
        <v>171</v>
      </c>
      <c r="N206" s="415" t="s">
        <v>185</v>
      </c>
      <c r="O206" s="453">
        <v>0.49</v>
      </c>
      <c r="P206" s="453">
        <f t="shared" si="21"/>
        <v>0.49</v>
      </c>
      <c r="Q206" s="453">
        <v>0</v>
      </c>
      <c r="R206" s="453">
        <f t="shared" si="22"/>
        <v>0</v>
      </c>
      <c r="S206" s="453">
        <v>3.4000000000000002E-2</v>
      </c>
      <c r="T206" s="454">
        <f t="shared" si="23"/>
        <v>3.4000000000000002E-2</v>
      </c>
      <c r="AR206" s="455" t="s">
        <v>110</v>
      </c>
      <c r="AT206" s="455" t="s">
        <v>218</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2865</v>
      </c>
    </row>
    <row r="207" spans="2:65" s="365" customFormat="1" ht="24.2" customHeight="1" x14ac:dyDescent="0.25">
      <c r="B207" s="364"/>
      <c r="C207" s="445" t="s">
        <v>664</v>
      </c>
      <c r="D207" s="445" t="s">
        <v>218</v>
      </c>
      <c r="E207" s="446" t="s">
        <v>2866</v>
      </c>
      <c r="F207" s="447" t="s">
        <v>2867</v>
      </c>
      <c r="G207" s="448" t="s">
        <v>123</v>
      </c>
      <c r="H207" s="449">
        <v>1</v>
      </c>
      <c r="I207" s="329">
        <v>0</v>
      </c>
      <c r="J207" s="450">
        <f t="shared" si="20"/>
        <v>0</v>
      </c>
      <c r="K207" s="451"/>
      <c r="L207" s="364"/>
      <c r="M207" s="452" t="s">
        <v>171</v>
      </c>
      <c r="N207" s="415" t="s">
        <v>185</v>
      </c>
      <c r="O207" s="453">
        <v>9.1</v>
      </c>
      <c r="P207" s="453">
        <f t="shared" si="21"/>
        <v>9.1</v>
      </c>
      <c r="Q207" s="453">
        <v>0</v>
      </c>
      <c r="R207" s="453">
        <f t="shared" si="22"/>
        <v>0</v>
      </c>
      <c r="S207" s="453">
        <v>1.155</v>
      </c>
      <c r="T207" s="454">
        <f t="shared" si="23"/>
        <v>1.155</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2868</v>
      </c>
    </row>
    <row r="208" spans="2:65" s="365" customFormat="1" ht="33" customHeight="1" x14ac:dyDescent="0.25">
      <c r="B208" s="364"/>
      <c r="C208" s="445" t="s">
        <v>670</v>
      </c>
      <c r="D208" s="445" t="s">
        <v>218</v>
      </c>
      <c r="E208" s="446" t="s">
        <v>900</v>
      </c>
      <c r="F208" s="447" t="s">
        <v>901</v>
      </c>
      <c r="G208" s="448" t="s">
        <v>123</v>
      </c>
      <c r="H208" s="449">
        <v>12</v>
      </c>
      <c r="I208" s="329">
        <v>0</v>
      </c>
      <c r="J208" s="450">
        <f t="shared" si="20"/>
        <v>0</v>
      </c>
      <c r="K208" s="451"/>
      <c r="L208" s="364"/>
      <c r="M208" s="452" t="s">
        <v>171</v>
      </c>
      <c r="N208" s="415" t="s">
        <v>185</v>
      </c>
      <c r="O208" s="453">
        <v>0.16500000000000001</v>
      </c>
      <c r="P208" s="453">
        <f t="shared" si="21"/>
        <v>1.98</v>
      </c>
      <c r="Q208" s="453">
        <v>0</v>
      </c>
      <c r="R208" s="453">
        <f t="shared" si="22"/>
        <v>0</v>
      </c>
      <c r="S208" s="453">
        <v>4.0000000000000001E-3</v>
      </c>
      <c r="T208" s="454">
        <f t="shared" si="23"/>
        <v>4.8000000000000001E-2</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902</v>
      </c>
    </row>
    <row r="209" spans="2:65" s="365" customFormat="1" ht="62.65" customHeight="1" x14ac:dyDescent="0.25">
      <c r="B209" s="364"/>
      <c r="C209" s="445" t="s">
        <v>674</v>
      </c>
      <c r="D209" s="445" t="s">
        <v>218</v>
      </c>
      <c r="E209" s="446" t="s">
        <v>635</v>
      </c>
      <c r="F209" s="447" t="s">
        <v>3166</v>
      </c>
      <c r="G209" s="448" t="s">
        <v>112</v>
      </c>
      <c r="H209" s="449">
        <f>Ponuka!L147</f>
        <v>168.79799999999997</v>
      </c>
      <c r="I209" s="329">
        <v>0</v>
      </c>
      <c r="J209" s="450">
        <f t="shared" si="20"/>
        <v>0</v>
      </c>
      <c r="K209" s="451"/>
      <c r="L209" s="364"/>
      <c r="M209" s="452" t="s">
        <v>171</v>
      </c>
      <c r="N209" s="415" t="s">
        <v>185</v>
      </c>
      <c r="O209" s="453">
        <v>0</v>
      </c>
      <c r="P209" s="453">
        <f t="shared" si="21"/>
        <v>0</v>
      </c>
      <c r="Q209" s="453">
        <v>0</v>
      </c>
      <c r="R209" s="453">
        <f t="shared" si="22"/>
        <v>0</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2869</v>
      </c>
    </row>
    <row r="210" spans="2:65" s="365" customFormat="1" ht="66.75" customHeight="1" x14ac:dyDescent="0.25">
      <c r="B210" s="364"/>
      <c r="C210" s="445" t="s">
        <v>678</v>
      </c>
      <c r="D210" s="445" t="s">
        <v>218</v>
      </c>
      <c r="E210" s="446" t="s">
        <v>926</v>
      </c>
      <c r="F210" s="447" t="s">
        <v>3167</v>
      </c>
      <c r="G210" s="448" t="s">
        <v>112</v>
      </c>
      <c r="H210" s="449">
        <f>Ponuka!N147</f>
        <v>496.12499999999994</v>
      </c>
      <c r="I210" s="329">
        <v>0</v>
      </c>
      <c r="J210" s="450">
        <f t="shared" si="20"/>
        <v>0</v>
      </c>
      <c r="K210" s="451"/>
      <c r="L210" s="364"/>
      <c r="M210" s="452" t="s">
        <v>171</v>
      </c>
      <c r="N210" s="415" t="s">
        <v>185</v>
      </c>
      <c r="O210" s="453">
        <v>0</v>
      </c>
      <c r="P210" s="453">
        <f t="shared" si="21"/>
        <v>0</v>
      </c>
      <c r="Q210" s="453">
        <v>0</v>
      </c>
      <c r="R210" s="453">
        <f t="shared" si="22"/>
        <v>0</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2870</v>
      </c>
    </row>
    <row r="211" spans="2:65" s="365" customFormat="1" ht="62.65" customHeight="1" x14ac:dyDescent="0.25">
      <c r="B211" s="364"/>
      <c r="C211" s="481" t="s">
        <v>903</v>
      </c>
      <c r="D211" s="481" t="s">
        <v>218</v>
      </c>
      <c r="E211" s="479" t="s">
        <v>929</v>
      </c>
      <c r="F211" s="472" t="s">
        <v>3168</v>
      </c>
      <c r="G211" s="473" t="s">
        <v>112</v>
      </c>
      <c r="H211" s="474">
        <f>Ponuka!P147</f>
        <v>132.72</v>
      </c>
      <c r="I211" s="329">
        <v>0</v>
      </c>
      <c r="J211" s="450">
        <f t="shared" si="20"/>
        <v>0</v>
      </c>
      <c r="K211" s="451"/>
      <c r="L211" s="364"/>
      <c r="M211" s="452" t="s">
        <v>171</v>
      </c>
      <c r="N211" s="415" t="s">
        <v>185</v>
      </c>
      <c r="O211" s="453">
        <v>0</v>
      </c>
      <c r="P211" s="453">
        <f t="shared" si="21"/>
        <v>0</v>
      </c>
      <c r="Q211" s="453">
        <v>0</v>
      </c>
      <c r="R211" s="453">
        <f t="shared" si="22"/>
        <v>0</v>
      </c>
      <c r="S211" s="453">
        <v>0</v>
      </c>
      <c r="T211" s="454">
        <f t="shared" si="23"/>
        <v>0</v>
      </c>
      <c r="AR211" s="455" t="s">
        <v>110</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110</v>
      </c>
      <c r="BM211" s="455" t="s">
        <v>2871</v>
      </c>
    </row>
    <row r="212" spans="2:65" s="365" customFormat="1" ht="66.75" customHeight="1" x14ac:dyDescent="0.25">
      <c r="B212" s="364"/>
      <c r="C212" s="445" t="s">
        <v>907</v>
      </c>
      <c r="D212" s="445" t="s">
        <v>218</v>
      </c>
      <c r="E212" s="446" t="s">
        <v>638</v>
      </c>
      <c r="F212" s="447" t="s">
        <v>3169</v>
      </c>
      <c r="G212" s="448" t="s">
        <v>112</v>
      </c>
      <c r="H212" s="449">
        <f>Ponuka!R147</f>
        <v>424.75999999999993</v>
      </c>
      <c r="I212" s="329">
        <v>0</v>
      </c>
      <c r="J212" s="450">
        <f t="shared" si="20"/>
        <v>0</v>
      </c>
      <c r="K212" s="451"/>
      <c r="L212" s="364"/>
      <c r="M212" s="452" t="s">
        <v>171</v>
      </c>
      <c r="N212" s="415" t="s">
        <v>185</v>
      </c>
      <c r="O212" s="453">
        <v>0</v>
      </c>
      <c r="P212" s="453">
        <f t="shared" si="21"/>
        <v>0</v>
      </c>
      <c r="Q212" s="453">
        <v>0</v>
      </c>
      <c r="R212" s="453">
        <f t="shared" si="22"/>
        <v>0</v>
      </c>
      <c r="S212" s="453">
        <v>0</v>
      </c>
      <c r="T212" s="454">
        <f t="shared" si="23"/>
        <v>0</v>
      </c>
      <c r="AR212" s="455" t="s">
        <v>110</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110</v>
      </c>
      <c r="BM212" s="455" t="s">
        <v>2872</v>
      </c>
    </row>
    <row r="213" spans="2:65" s="365" customFormat="1" ht="24.2" customHeight="1" x14ac:dyDescent="0.25">
      <c r="B213" s="364"/>
      <c r="C213" s="445" t="s">
        <v>911</v>
      </c>
      <c r="D213" s="445" t="s">
        <v>218</v>
      </c>
      <c r="E213" s="446" t="s">
        <v>641</v>
      </c>
      <c r="F213" s="447" t="s">
        <v>642</v>
      </c>
      <c r="G213" s="448" t="s">
        <v>112</v>
      </c>
      <c r="H213" s="449">
        <f>H218</f>
        <v>341.84700000000009</v>
      </c>
      <c r="I213" s="329">
        <v>0</v>
      </c>
      <c r="J213" s="450">
        <f t="shared" si="20"/>
        <v>0</v>
      </c>
      <c r="K213" s="451"/>
      <c r="L213" s="364"/>
      <c r="M213" s="452" t="s">
        <v>171</v>
      </c>
      <c r="N213" s="415" t="s">
        <v>185</v>
      </c>
      <c r="O213" s="453">
        <v>6.0000000000000001E-3</v>
      </c>
      <c r="P213" s="453">
        <f t="shared" si="21"/>
        <v>2.0510820000000005</v>
      </c>
      <c r="Q213" s="453">
        <v>0</v>
      </c>
      <c r="R213" s="453">
        <f t="shared" si="22"/>
        <v>0</v>
      </c>
      <c r="S213" s="453">
        <v>0</v>
      </c>
      <c r="T213" s="454">
        <f t="shared" si="23"/>
        <v>0</v>
      </c>
      <c r="AR213" s="455" t="s">
        <v>110</v>
      </c>
      <c r="AT213" s="455" t="s">
        <v>218</v>
      </c>
      <c r="AU213" s="455" t="s">
        <v>108</v>
      </c>
      <c r="AY213" s="357" t="s">
        <v>217</v>
      </c>
      <c r="BE213" s="456">
        <f t="shared" si="24"/>
        <v>0</v>
      </c>
      <c r="BF213" s="456">
        <f t="shared" si="25"/>
        <v>0</v>
      </c>
      <c r="BG213" s="456">
        <f t="shared" si="26"/>
        <v>0</v>
      </c>
      <c r="BH213" s="456">
        <f t="shared" si="27"/>
        <v>0</v>
      </c>
      <c r="BI213" s="456">
        <f t="shared" si="28"/>
        <v>0</v>
      </c>
      <c r="BJ213" s="357" t="s">
        <v>108</v>
      </c>
      <c r="BK213" s="456">
        <f t="shared" si="29"/>
        <v>0</v>
      </c>
      <c r="BL213" s="357" t="s">
        <v>110</v>
      </c>
      <c r="BM213" s="455" t="s">
        <v>2873</v>
      </c>
    </row>
    <row r="214" spans="2:65" s="434" customFormat="1" ht="22.9" customHeight="1" x14ac:dyDescent="0.2">
      <c r="B214" s="433"/>
      <c r="D214" s="435" t="s">
        <v>216</v>
      </c>
      <c r="E214" s="443" t="s">
        <v>649</v>
      </c>
      <c r="F214" s="443" t="s">
        <v>650</v>
      </c>
      <c r="I214" s="331"/>
      <c r="J214" s="444">
        <f>BK214</f>
        <v>0</v>
      </c>
      <c r="L214" s="433"/>
      <c r="M214" s="438"/>
      <c r="P214" s="439">
        <f>SUM(P215:P219)</f>
        <v>398.78230400000007</v>
      </c>
      <c r="R214" s="439">
        <f>SUM(R215:R219)</f>
        <v>0</v>
      </c>
      <c r="T214" s="440">
        <f>SUM(T215:T219)</f>
        <v>0</v>
      </c>
      <c r="AR214" s="435" t="s">
        <v>109</v>
      </c>
      <c r="AT214" s="441" t="s">
        <v>216</v>
      </c>
      <c r="AU214" s="441" t="s">
        <v>109</v>
      </c>
      <c r="AY214" s="435" t="s">
        <v>217</v>
      </c>
      <c r="BK214" s="442">
        <f>SUM(BK215:BK219)</f>
        <v>0</v>
      </c>
    </row>
    <row r="215" spans="2:65" s="365" customFormat="1" ht="24.2" customHeight="1" x14ac:dyDescent="0.25">
      <c r="B215" s="364"/>
      <c r="C215" s="445" t="s">
        <v>915</v>
      </c>
      <c r="D215" s="445" t="s">
        <v>218</v>
      </c>
      <c r="E215" s="446" t="s">
        <v>946</v>
      </c>
      <c r="F215" s="447" t="s">
        <v>3170</v>
      </c>
      <c r="G215" s="448" t="s">
        <v>112</v>
      </c>
      <c r="H215" s="449">
        <f>Ponuka!M147</f>
        <v>72.342000000000013</v>
      </c>
      <c r="I215" s="329">
        <v>0</v>
      </c>
      <c r="J215" s="450">
        <f>ROUND(I215*H215,2)</f>
        <v>0</v>
      </c>
      <c r="K215" s="451"/>
      <c r="L215" s="364"/>
      <c r="M215" s="452" t="s">
        <v>171</v>
      </c>
      <c r="N215" s="415" t="s">
        <v>185</v>
      </c>
      <c r="O215" s="453">
        <v>0</v>
      </c>
      <c r="P215" s="453">
        <f>O215*H215</f>
        <v>0</v>
      </c>
      <c r="Q215" s="453">
        <v>0</v>
      </c>
      <c r="R215" s="453">
        <f>Q215*H215</f>
        <v>0</v>
      </c>
      <c r="S215" s="453">
        <v>0</v>
      </c>
      <c r="T215" s="454">
        <f>S215*H215</f>
        <v>0</v>
      </c>
      <c r="AR215" s="455" t="s">
        <v>110</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110</v>
      </c>
      <c r="BM215" s="455" t="s">
        <v>2874</v>
      </c>
    </row>
    <row r="216" spans="2:65" s="365" customFormat="1" ht="24.2" customHeight="1" x14ac:dyDescent="0.25">
      <c r="B216" s="364"/>
      <c r="C216" s="445" t="s">
        <v>919</v>
      </c>
      <c r="D216" s="445" t="s">
        <v>218</v>
      </c>
      <c r="E216" s="446" t="s">
        <v>949</v>
      </c>
      <c r="F216" s="447" t="s">
        <v>2875</v>
      </c>
      <c r="G216" s="448" t="s">
        <v>112</v>
      </c>
      <c r="H216" s="449">
        <f>Ponuka!O147</f>
        <v>212.62500000000006</v>
      </c>
      <c r="I216" s="329">
        <v>0</v>
      </c>
      <c r="J216" s="450">
        <f>ROUND(I216*H216,2)</f>
        <v>0</v>
      </c>
      <c r="K216" s="451"/>
      <c r="L216" s="364"/>
      <c r="M216" s="452" t="s">
        <v>171</v>
      </c>
      <c r="N216" s="415" t="s">
        <v>185</v>
      </c>
      <c r="O216" s="453">
        <v>0</v>
      </c>
      <c r="P216" s="453">
        <f>O216*H216</f>
        <v>0</v>
      </c>
      <c r="Q216" s="453">
        <v>0</v>
      </c>
      <c r="R216" s="453">
        <f>Q216*H216</f>
        <v>0</v>
      </c>
      <c r="S216" s="453">
        <v>0</v>
      </c>
      <c r="T216" s="454">
        <f>S216*H216</f>
        <v>0</v>
      </c>
      <c r="AR216" s="455" t="s">
        <v>110</v>
      </c>
      <c r="AT216" s="455" t="s">
        <v>218</v>
      </c>
      <c r="AU216" s="455" t="s">
        <v>108</v>
      </c>
      <c r="AY216" s="357" t="s">
        <v>217</v>
      </c>
      <c r="BE216" s="456">
        <f>IF(N216="základná",J216,0)</f>
        <v>0</v>
      </c>
      <c r="BF216" s="456">
        <f>IF(N216="znížená",J216,0)</f>
        <v>0</v>
      </c>
      <c r="BG216" s="456">
        <f>IF(N216="zákl. prenesená",J216,0)</f>
        <v>0</v>
      </c>
      <c r="BH216" s="456">
        <f>IF(N216="zníž. prenesená",J216,0)</f>
        <v>0</v>
      </c>
      <c r="BI216" s="456">
        <f>IF(N216="nulová",J216,0)</f>
        <v>0</v>
      </c>
      <c r="BJ216" s="357" t="s">
        <v>108</v>
      </c>
      <c r="BK216" s="456">
        <f>ROUND(I216*H216,2)</f>
        <v>0</v>
      </c>
      <c r="BL216" s="357" t="s">
        <v>110</v>
      </c>
      <c r="BM216" s="455" t="s">
        <v>2876</v>
      </c>
    </row>
    <row r="217" spans="2:65" s="365" customFormat="1" ht="24.2" customHeight="1" x14ac:dyDescent="0.25">
      <c r="B217" s="364"/>
      <c r="C217" s="445" t="s">
        <v>923</v>
      </c>
      <c r="D217" s="445" t="s">
        <v>218</v>
      </c>
      <c r="E217" s="446" t="s">
        <v>665</v>
      </c>
      <c r="F217" s="447" t="s">
        <v>936</v>
      </c>
      <c r="G217" s="448" t="s">
        <v>112</v>
      </c>
      <c r="H217" s="449">
        <v>3542.8339999999998</v>
      </c>
      <c r="I217" s="329">
        <v>0</v>
      </c>
      <c r="J217" s="450">
        <f>ROUND(I217*H217,2)</f>
        <v>0</v>
      </c>
      <c r="K217" s="451"/>
      <c r="L217" s="364"/>
      <c r="M217" s="452" t="s">
        <v>171</v>
      </c>
      <c r="N217" s="415" t="s">
        <v>185</v>
      </c>
      <c r="O217" s="453">
        <v>0.04</v>
      </c>
      <c r="P217" s="453">
        <f>O217*H217</f>
        <v>141.71335999999999</v>
      </c>
      <c r="Q217" s="453">
        <v>0</v>
      </c>
      <c r="R217" s="453">
        <f>Q217*H217</f>
        <v>0</v>
      </c>
      <c r="S217" s="453">
        <v>0</v>
      </c>
      <c r="T217" s="454">
        <f>S217*H217</f>
        <v>0</v>
      </c>
      <c r="AR217" s="455" t="s">
        <v>110</v>
      </c>
      <c r="AT217" s="455" t="s">
        <v>218</v>
      </c>
      <c r="AU217" s="455" t="s">
        <v>108</v>
      </c>
      <c r="AY217" s="357" t="s">
        <v>217</v>
      </c>
      <c r="BE217" s="456">
        <f>IF(N217="základná",J217,0)</f>
        <v>0</v>
      </c>
      <c r="BF217" s="456">
        <f>IF(N217="znížená",J217,0)</f>
        <v>0</v>
      </c>
      <c r="BG217" s="456">
        <f>IF(N217="zákl. prenesená",J217,0)</f>
        <v>0</v>
      </c>
      <c r="BH217" s="456">
        <f>IF(N217="zníž. prenesená",J217,0)</f>
        <v>0</v>
      </c>
      <c r="BI217" s="456">
        <f>IF(N217="nulová",J217,0)</f>
        <v>0</v>
      </c>
      <c r="BJ217" s="357" t="s">
        <v>108</v>
      </c>
      <c r="BK217" s="456">
        <f>ROUND(I217*H217,2)</f>
        <v>0</v>
      </c>
      <c r="BL217" s="357" t="s">
        <v>110</v>
      </c>
      <c r="BM217" s="455" t="s">
        <v>937</v>
      </c>
    </row>
    <row r="218" spans="2:65" s="365" customFormat="1" ht="24.2" customHeight="1" x14ac:dyDescent="0.25">
      <c r="B218" s="364"/>
      <c r="C218" s="445" t="s">
        <v>925</v>
      </c>
      <c r="D218" s="445" t="s">
        <v>218</v>
      </c>
      <c r="E218" s="446" t="s">
        <v>652</v>
      </c>
      <c r="F218" s="447" t="s">
        <v>2877</v>
      </c>
      <c r="G218" s="448" t="s">
        <v>112</v>
      </c>
      <c r="H218" s="449">
        <f>H215+H216+Ponuka!Q147</f>
        <v>341.84700000000009</v>
      </c>
      <c r="I218" s="329">
        <v>0</v>
      </c>
      <c r="J218" s="450">
        <f>ROUND(I218*H218,2)</f>
        <v>0</v>
      </c>
      <c r="K218" s="451"/>
      <c r="L218" s="364"/>
      <c r="M218" s="452" t="s">
        <v>171</v>
      </c>
      <c r="N218" s="415" t="s">
        <v>185</v>
      </c>
      <c r="O218" s="453">
        <v>0.59799999999999998</v>
      </c>
      <c r="P218" s="453">
        <f>O218*H218</f>
        <v>204.42450600000004</v>
      </c>
      <c r="Q218" s="453">
        <v>0</v>
      </c>
      <c r="R218" s="453">
        <f>Q218*H218</f>
        <v>0</v>
      </c>
      <c r="S218" s="453">
        <v>0</v>
      </c>
      <c r="T218" s="454">
        <f>S218*H218</f>
        <v>0</v>
      </c>
      <c r="AR218" s="455" t="s">
        <v>110</v>
      </c>
      <c r="AT218" s="455" t="s">
        <v>218</v>
      </c>
      <c r="AU218" s="455" t="s">
        <v>108</v>
      </c>
      <c r="AY218" s="357" t="s">
        <v>217</v>
      </c>
      <c r="BE218" s="456">
        <f>IF(N218="základná",J218,0)</f>
        <v>0</v>
      </c>
      <c r="BF218" s="456">
        <f>IF(N218="znížená",J218,0)</f>
        <v>0</v>
      </c>
      <c r="BG218" s="456">
        <f>IF(N218="zákl. prenesená",J218,0)</f>
        <v>0</v>
      </c>
      <c r="BH218" s="456">
        <f>IF(N218="zníž. prenesená",J218,0)</f>
        <v>0</v>
      </c>
      <c r="BI218" s="456">
        <f>IF(N218="nulová",J218,0)</f>
        <v>0</v>
      </c>
      <c r="BJ218" s="357" t="s">
        <v>108</v>
      </c>
      <c r="BK218" s="456">
        <f>ROUND(I218*H218,2)</f>
        <v>0</v>
      </c>
      <c r="BL218" s="357" t="s">
        <v>110</v>
      </c>
      <c r="BM218" s="455" t="s">
        <v>940</v>
      </c>
    </row>
    <row r="219" spans="2:65" s="365" customFormat="1" ht="24.2" customHeight="1" x14ac:dyDescent="0.25">
      <c r="B219" s="364"/>
      <c r="C219" s="445" t="s">
        <v>928</v>
      </c>
      <c r="D219" s="445" t="s">
        <v>218</v>
      </c>
      <c r="E219" s="446" t="s">
        <v>942</v>
      </c>
      <c r="F219" s="447" t="s">
        <v>2878</v>
      </c>
      <c r="G219" s="448" t="s">
        <v>112</v>
      </c>
      <c r="H219" s="449">
        <f>H218*22</f>
        <v>7520.6340000000018</v>
      </c>
      <c r="I219" s="329">
        <v>0</v>
      </c>
      <c r="J219" s="450">
        <f>ROUND(I219*H219,2)</f>
        <v>0</v>
      </c>
      <c r="K219" s="451"/>
      <c r="L219" s="364"/>
      <c r="M219" s="452" t="s">
        <v>171</v>
      </c>
      <c r="N219" s="415" t="s">
        <v>185</v>
      </c>
      <c r="O219" s="453">
        <v>7.0000000000000001E-3</v>
      </c>
      <c r="P219" s="453">
        <f>O219*H219</f>
        <v>52.644438000000015</v>
      </c>
      <c r="Q219" s="453">
        <v>0</v>
      </c>
      <c r="R219" s="453">
        <f>Q219*H219</f>
        <v>0</v>
      </c>
      <c r="S219" s="453">
        <v>0</v>
      </c>
      <c r="T219" s="454">
        <f>S219*H219</f>
        <v>0</v>
      </c>
      <c r="AR219" s="455" t="s">
        <v>110</v>
      </c>
      <c r="AT219" s="455" t="s">
        <v>218</v>
      </c>
      <c r="AU219" s="455" t="s">
        <v>108</v>
      </c>
      <c r="AY219" s="357" t="s">
        <v>217</v>
      </c>
      <c r="BE219" s="456">
        <f>IF(N219="základná",J219,0)</f>
        <v>0</v>
      </c>
      <c r="BF219" s="456">
        <f>IF(N219="znížená",J219,0)</f>
        <v>0</v>
      </c>
      <c r="BG219" s="456">
        <f>IF(N219="zákl. prenesená",J219,0)</f>
        <v>0</v>
      </c>
      <c r="BH219" s="456">
        <f>IF(N219="zníž. prenesená",J219,0)</f>
        <v>0</v>
      </c>
      <c r="BI219" s="456">
        <f>IF(N219="nulová",J219,0)</f>
        <v>0</v>
      </c>
      <c r="BJ219" s="357" t="s">
        <v>108</v>
      </c>
      <c r="BK219" s="456">
        <f>ROUND(I219*H219,2)</f>
        <v>0</v>
      </c>
      <c r="BL219" s="357" t="s">
        <v>110</v>
      </c>
      <c r="BM219" s="455" t="s">
        <v>944</v>
      </c>
    </row>
    <row r="220" spans="2:65" s="434" customFormat="1" ht="25.9" customHeight="1" x14ac:dyDescent="0.2">
      <c r="B220" s="433"/>
      <c r="D220" s="435" t="s">
        <v>216</v>
      </c>
      <c r="E220" s="436" t="s">
        <v>662</v>
      </c>
      <c r="F220" s="436" t="s">
        <v>663</v>
      </c>
      <c r="J220" s="437">
        <f>BK220</f>
        <v>0</v>
      </c>
      <c r="L220" s="433"/>
      <c r="M220" s="475"/>
      <c r="N220" s="476"/>
      <c r="O220" s="476"/>
      <c r="P220" s="477">
        <v>0</v>
      </c>
      <c r="Q220" s="476"/>
      <c r="R220" s="477">
        <v>0</v>
      </c>
      <c r="S220" s="476"/>
      <c r="T220" s="478">
        <v>0</v>
      </c>
      <c r="AR220" s="435" t="s">
        <v>108</v>
      </c>
      <c r="AT220" s="441" t="s">
        <v>216</v>
      </c>
      <c r="AU220" s="441" t="s">
        <v>165</v>
      </c>
      <c r="AY220" s="435" t="s">
        <v>217</v>
      </c>
      <c r="BK220" s="442">
        <v>0</v>
      </c>
    </row>
    <row r="221" spans="2:65" s="365" customFormat="1" ht="6.95" customHeight="1" x14ac:dyDescent="0.25">
      <c r="B221" s="397"/>
      <c r="C221" s="398"/>
      <c r="D221" s="398"/>
      <c r="E221" s="398"/>
      <c r="F221" s="398"/>
      <c r="G221" s="398"/>
      <c r="H221" s="398"/>
      <c r="I221" s="398"/>
      <c r="J221" s="398"/>
      <c r="K221" s="398"/>
      <c r="L221" s="364"/>
    </row>
  </sheetData>
  <sheetProtection algorithmName="SHA-512" hashValue="5kC1N713SDX12vDfK1OLXEX7ZIBaon24Zy9Xs5U0ThH/uk6wNFz5yevq9LpInTkH7iSw/kDDycYzwkPUcIyz8g==" saltValue="jattR0/w8CcgPuhTIhfQ5Q==" spinCount="100000" sheet="1" objects="1" scenarios="1" selectLockedCells="1"/>
  <autoFilter ref="C126:K220" xr:uid="{00000000-0009-0000-0000-000001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F88E-0DC8-4571-9A3C-E8992D44CA81}">
  <sheetPr codeName="Hárok34">
    <pageSetUpPr fitToPage="1"/>
  </sheetPr>
  <dimension ref="B2:BM146"/>
  <sheetViews>
    <sheetView topLeftCell="A129" workbookViewId="0">
      <selection activeCell="I144" activeCellId="8" sqref="I131 I133 I135 I137 I138 I140 I141 I143 I144"/>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2817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 ÚSEK F '!K6</f>
        <v>Cyklotrasa - Devín_F</v>
      </c>
      <c r="F7" s="860"/>
      <c r="G7" s="860"/>
      <c r="H7" s="860"/>
      <c r="L7" s="360"/>
    </row>
    <row r="8" spans="2:46" s="365" customFormat="1" ht="12" customHeight="1" x14ac:dyDescent="0.25">
      <c r="B8" s="364"/>
      <c r="D8" s="363" t="s">
        <v>408</v>
      </c>
      <c r="L8" s="364"/>
    </row>
    <row r="9" spans="2:46" s="365" customFormat="1" ht="16.5" customHeight="1" x14ac:dyDescent="0.25">
      <c r="B9" s="364"/>
      <c r="E9" s="857" t="s">
        <v>2879</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63" t="str">
        <f>'Rekapitulácia stavby - ÚSEK F '!E14</f>
        <v>Údaj sa automaticky zobrazí aj vo Výkaze výmer</v>
      </c>
      <c r="F18" s="863"/>
      <c r="G18" s="863"/>
      <c r="H18" s="863"/>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Devín_F</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023 - VRN - úsek F</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1325</v>
      </c>
      <c r="E97" s="407"/>
      <c r="F97" s="407"/>
      <c r="G97" s="407"/>
      <c r="H97" s="407"/>
      <c r="I97" s="407"/>
      <c r="J97" s="408">
        <f>J129</f>
        <v>0</v>
      </c>
      <c r="L97" s="404"/>
    </row>
    <row r="98" spans="2:14" s="410" customFormat="1" ht="19.899999999999999" customHeight="1" x14ac:dyDescent="0.25">
      <c r="B98" s="409"/>
      <c r="D98" s="411" t="s">
        <v>1326</v>
      </c>
      <c r="E98" s="412"/>
      <c r="F98" s="412"/>
      <c r="G98" s="412"/>
      <c r="H98" s="412"/>
      <c r="I98" s="412"/>
      <c r="J98" s="413">
        <f>J130</f>
        <v>0</v>
      </c>
      <c r="L98" s="409"/>
    </row>
    <row r="99" spans="2:14" s="410" customFormat="1" ht="19.899999999999999" customHeight="1" x14ac:dyDescent="0.25">
      <c r="B99" s="409"/>
      <c r="D99" s="411" t="s">
        <v>1327</v>
      </c>
      <c r="E99" s="412"/>
      <c r="F99" s="412"/>
      <c r="G99" s="412"/>
      <c r="H99" s="412"/>
      <c r="I99" s="412"/>
      <c r="J99" s="413">
        <f>J132</f>
        <v>0</v>
      </c>
      <c r="L99" s="409"/>
    </row>
    <row r="100" spans="2:14" s="410" customFormat="1" ht="19.899999999999999" customHeight="1" x14ac:dyDescent="0.25">
      <c r="B100" s="409"/>
      <c r="D100" s="411" t="s">
        <v>1328</v>
      </c>
      <c r="E100" s="412"/>
      <c r="F100" s="412"/>
      <c r="G100" s="412"/>
      <c r="H100" s="412"/>
      <c r="I100" s="412"/>
      <c r="J100" s="413">
        <f>J134</f>
        <v>0</v>
      </c>
      <c r="L100" s="409"/>
    </row>
    <row r="101" spans="2:14" s="410" customFormat="1" ht="19.899999999999999" customHeight="1" x14ac:dyDescent="0.25">
      <c r="B101" s="409"/>
      <c r="D101" s="411" t="s">
        <v>1329</v>
      </c>
      <c r="E101" s="412"/>
      <c r="F101" s="412"/>
      <c r="G101" s="412"/>
      <c r="H101" s="412"/>
      <c r="I101" s="412"/>
      <c r="J101" s="413">
        <f>J136</f>
        <v>0</v>
      </c>
      <c r="L101" s="409"/>
    </row>
    <row r="102" spans="2:14" s="410" customFormat="1" ht="19.899999999999999" customHeight="1" x14ac:dyDescent="0.25">
      <c r="B102" s="409"/>
      <c r="D102" s="411" t="s">
        <v>1330</v>
      </c>
      <c r="E102" s="412"/>
      <c r="F102" s="412"/>
      <c r="G102" s="412"/>
      <c r="H102" s="412"/>
      <c r="I102" s="412"/>
      <c r="J102" s="413">
        <f>J139</f>
        <v>0</v>
      </c>
      <c r="L102" s="409"/>
    </row>
    <row r="103" spans="2:14" s="410" customFormat="1" ht="19.899999999999999" customHeight="1" x14ac:dyDescent="0.25">
      <c r="B103" s="409"/>
      <c r="D103" s="411" t="s">
        <v>1331</v>
      </c>
      <c r="E103" s="412"/>
      <c r="F103" s="412"/>
      <c r="G103" s="412"/>
      <c r="H103" s="412"/>
      <c r="I103" s="412"/>
      <c r="J103" s="413">
        <f>J142</f>
        <v>0</v>
      </c>
      <c r="L103" s="409"/>
    </row>
    <row r="104" spans="2:14" s="410" customFormat="1" ht="19.899999999999999" customHeight="1" x14ac:dyDescent="0.25">
      <c r="B104" s="409"/>
      <c r="D104" s="411" t="s">
        <v>1332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Devín_F</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023 - VRN - úsek F</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1333</v>
      </c>
      <c r="F129" s="436" t="s">
        <v>1334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1335</v>
      </c>
      <c r="F130" s="443" t="s">
        <v>1336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1337</v>
      </c>
      <c r="F131" s="447" t="s">
        <v>1338</v>
      </c>
      <c r="G131" s="448" t="s">
        <v>3188</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1339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1339</v>
      </c>
      <c r="BM131" s="455" t="s">
        <v>1340</v>
      </c>
    </row>
    <row r="132" spans="2:65" s="434" customFormat="1" ht="22.9" customHeight="1" x14ac:dyDescent="0.2">
      <c r="B132" s="433"/>
      <c r="D132" s="435" t="s">
        <v>216</v>
      </c>
      <c r="E132" s="443" t="s">
        <v>1341</v>
      </c>
      <c r="F132" s="443" t="s">
        <v>1342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1343</v>
      </c>
      <c r="F133" s="447" t="s">
        <v>1344</v>
      </c>
      <c r="G133" s="448" t="s">
        <v>3188</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1339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1339</v>
      </c>
      <c r="BM133" s="455" t="s">
        <v>1345</v>
      </c>
    </row>
    <row r="134" spans="2:65" s="434" customFormat="1" ht="22.9" customHeight="1" x14ac:dyDescent="0.2">
      <c r="B134" s="433"/>
      <c r="D134" s="435" t="s">
        <v>216</v>
      </c>
      <c r="E134" s="443" t="s">
        <v>1346</v>
      </c>
      <c r="F134" s="443" t="s">
        <v>1347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1348</v>
      </c>
      <c r="F135" s="447" t="s">
        <v>1378</v>
      </c>
      <c r="G135" s="448" t="s">
        <v>3188</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1339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1339</v>
      </c>
      <c r="BM135" s="455" t="s">
        <v>1350</v>
      </c>
    </row>
    <row r="136" spans="2:65" s="434" customFormat="1" ht="22.9" customHeight="1" x14ac:dyDescent="0.2">
      <c r="B136" s="433"/>
      <c r="D136" s="435" t="s">
        <v>216</v>
      </c>
      <c r="E136" s="443" t="s">
        <v>1351</v>
      </c>
      <c r="F136" s="443" t="s">
        <v>1352</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1353</v>
      </c>
      <c r="F137" s="447" t="s">
        <v>1354</v>
      </c>
      <c r="G137" s="448" t="s">
        <v>3188</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1339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1339</v>
      </c>
      <c r="BM137" s="455" t="s">
        <v>1355</v>
      </c>
    </row>
    <row r="138" spans="2:65" s="365" customFormat="1" ht="33" customHeight="1" x14ac:dyDescent="0.25">
      <c r="B138" s="364"/>
      <c r="C138" s="445" t="s">
        <v>118</v>
      </c>
      <c r="D138" s="445" t="s">
        <v>218</v>
      </c>
      <c r="E138" s="446" t="s">
        <v>1356</v>
      </c>
      <c r="F138" s="447" t="s">
        <v>1357</v>
      </c>
      <c r="G138" s="448" t="s">
        <v>3188</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1339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1339</v>
      </c>
      <c r="BM138" s="455" t="s">
        <v>1358</v>
      </c>
    </row>
    <row r="139" spans="2:65" s="434" customFormat="1" ht="22.9" customHeight="1" x14ac:dyDescent="0.2">
      <c r="B139" s="433"/>
      <c r="D139" s="435" t="s">
        <v>216</v>
      </c>
      <c r="E139" s="443" t="s">
        <v>1359</v>
      </c>
      <c r="F139" s="443" t="s">
        <v>1360</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1361</v>
      </c>
      <c r="F140" s="447" t="s">
        <v>1362</v>
      </c>
      <c r="G140" s="448" t="s">
        <v>3188</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1339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1339</v>
      </c>
      <c r="BM140" s="455" t="s">
        <v>2880</v>
      </c>
    </row>
    <row r="141" spans="2:65" s="365" customFormat="1" ht="24.2" customHeight="1" x14ac:dyDescent="0.25">
      <c r="B141" s="364"/>
      <c r="C141" s="445" t="s">
        <v>162</v>
      </c>
      <c r="D141" s="445" t="s">
        <v>218</v>
      </c>
      <c r="E141" s="446" t="s">
        <v>1364</v>
      </c>
      <c r="F141" s="447" t="s">
        <v>1365</v>
      </c>
      <c r="G141" s="448" t="s">
        <v>3188</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1339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1339</v>
      </c>
      <c r="BM141" s="455" t="s">
        <v>2881</v>
      </c>
    </row>
    <row r="142" spans="2:65" s="434" customFormat="1" ht="22.9" customHeight="1" x14ac:dyDescent="0.2">
      <c r="B142" s="433"/>
      <c r="D142" s="435" t="s">
        <v>216</v>
      </c>
      <c r="E142" s="443" t="s">
        <v>1367</v>
      </c>
      <c r="F142" s="443" t="s">
        <v>1368</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1369</v>
      </c>
      <c r="F143" s="447" t="s">
        <v>1370</v>
      </c>
      <c r="G143" s="448" t="s">
        <v>3188</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1339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1339</v>
      </c>
      <c r="BM143" s="455" t="s">
        <v>1371</v>
      </c>
    </row>
    <row r="144" spans="2:65" s="365" customFormat="1" ht="21.75" customHeight="1" x14ac:dyDescent="0.25">
      <c r="B144" s="364"/>
      <c r="C144" s="445" t="s">
        <v>116</v>
      </c>
      <c r="D144" s="445" t="s">
        <v>218</v>
      </c>
      <c r="E144" s="446" t="s">
        <v>1372</v>
      </c>
      <c r="F144" s="447" t="s">
        <v>1373</v>
      </c>
      <c r="G144" s="448" t="s">
        <v>3188</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1339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1339</v>
      </c>
      <c r="BM144" s="455" t="s">
        <v>1374</v>
      </c>
    </row>
    <row r="145" spans="2:63" s="434" customFormat="1" ht="22.9" customHeight="1" x14ac:dyDescent="0.2">
      <c r="B145" s="433"/>
      <c r="D145" s="435" t="s">
        <v>216</v>
      </c>
      <c r="E145" s="443" t="s">
        <v>1375</v>
      </c>
      <c r="F145" s="443" t="s">
        <v>1376</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Mrvs2RsiiP7uIa7H8bItyYUtFlFmVD5i0x3TE988RlYxLTHM/xkwZ2zIZ73ObTopIssoJk8cDj6qEc4MjagX9A==" saltValue="13dzPovHCB91DVMdahRHow==" spinCount="100000" sheet="1" objects="1" scenarios="1"/>
  <autoFilter ref="C127:K145" xr:uid="{00000000-0009-0000-0000-000002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771B-06CF-4751-BD01-2A0354F20F73}">
  <sheetPr codeName="Hárok35">
    <pageSetUpPr fitToPage="1"/>
  </sheetPr>
  <dimension ref="B2:BM201"/>
  <sheetViews>
    <sheetView topLeftCell="A195" workbookViewId="0">
      <selection activeCell="I131" activeCellId="6" sqref="I198:I200 I196 I192:I194 I187:I190 I161:I185 I149:I159 I131:I147"/>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2820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 ÚSEK F '!K6</f>
        <v>Cyklotrasa - Devín_F</v>
      </c>
      <c r="F7" s="860"/>
      <c r="G7" s="860"/>
      <c r="H7" s="860"/>
      <c r="L7" s="360"/>
    </row>
    <row r="8" spans="2:46" s="365" customFormat="1" ht="12" customHeight="1" x14ac:dyDescent="0.25">
      <c r="B8" s="364"/>
      <c r="D8" s="363" t="s">
        <v>408</v>
      </c>
      <c r="L8" s="364"/>
    </row>
    <row r="9" spans="2:46" s="365" customFormat="1" ht="16.5" customHeight="1" x14ac:dyDescent="0.25">
      <c r="B9" s="364"/>
      <c r="E9" s="857" t="s">
        <v>2882</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63" t="str">
        <f>'Rekapitulácia stavby - ÚSEK F '!E14</f>
        <v>Údaj sa automaticky zobrazí aj vo Výkaze výmer</v>
      </c>
      <c r="F18" s="863"/>
      <c r="G18" s="863"/>
      <c r="H18" s="863"/>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SUM(BE128:BE200)),  2)</f>
        <v>0</v>
      </c>
      <c r="G35" s="380"/>
      <c r="H35" s="380"/>
      <c r="I35" s="381">
        <v>0.23</v>
      </c>
      <c r="J35" s="379">
        <f>ROUND(((SUM(BE107:BE108) + SUM(BE128:BE200))*I35),  2)</f>
        <v>0</v>
      </c>
      <c r="L35" s="364"/>
    </row>
    <row r="36" spans="2:12" s="365" customFormat="1" ht="14.45" customHeight="1" x14ac:dyDescent="0.25">
      <c r="B36" s="364"/>
      <c r="E36" s="378" t="s">
        <v>185</v>
      </c>
      <c r="F36" s="382">
        <f>ROUND((SUM(BF107:BF108) + SUM(BF128:BF200)),  2)</f>
        <v>0</v>
      </c>
      <c r="I36" s="383">
        <v>0.23</v>
      </c>
      <c r="J36" s="382">
        <f>ROUND(((SUM(BF107:BF108) + SUM(BF128:BF200))*I36),  2)</f>
        <v>0</v>
      </c>
      <c r="L36" s="364"/>
    </row>
    <row r="37" spans="2:12" s="365" customFormat="1" ht="14.45" hidden="1" customHeight="1" x14ac:dyDescent="0.25">
      <c r="B37" s="364"/>
      <c r="E37" s="363" t="s">
        <v>186</v>
      </c>
      <c r="F37" s="382">
        <f>ROUND((SUM(BG107:BG108) + SUM(BG128:BG200)),  2)</f>
        <v>0</v>
      </c>
      <c r="I37" s="383">
        <v>0.23</v>
      </c>
      <c r="J37" s="382">
        <f>0</f>
        <v>0</v>
      </c>
      <c r="L37" s="364"/>
    </row>
    <row r="38" spans="2:12" s="365" customFormat="1" ht="14.45" hidden="1" customHeight="1" x14ac:dyDescent="0.25">
      <c r="B38" s="364"/>
      <c r="E38" s="363" t="s">
        <v>187</v>
      </c>
      <c r="F38" s="382">
        <f>ROUND((SUM(BH107:BH108) + SUM(BH128:BH200)),  2)</f>
        <v>0</v>
      </c>
      <c r="I38" s="383">
        <v>0.23</v>
      </c>
      <c r="J38" s="382">
        <f>0</f>
        <v>0</v>
      </c>
      <c r="L38" s="364"/>
    </row>
    <row r="39" spans="2:12" s="365" customFormat="1" ht="14.45" hidden="1" customHeight="1" x14ac:dyDescent="0.25">
      <c r="B39" s="364"/>
      <c r="E39" s="378" t="s">
        <v>188</v>
      </c>
      <c r="F39" s="379">
        <f>ROUND((SUM(BI107:BI108) + SUM(BI128:BI200)),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Devín_F</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102.5 - SO 102.5 OM - úsek F</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J160</f>
        <v>0</v>
      </c>
      <c r="L100" s="409"/>
    </row>
    <row r="101" spans="2:14" s="410" customFormat="1" ht="19.899999999999999" customHeight="1" x14ac:dyDescent="0.25">
      <c r="B101" s="409"/>
      <c r="D101" s="411" t="s">
        <v>414</v>
      </c>
      <c r="E101" s="412"/>
      <c r="F101" s="412"/>
      <c r="G101" s="412"/>
      <c r="H101" s="412"/>
      <c r="I101" s="412"/>
      <c r="J101" s="413">
        <f>J186</f>
        <v>0</v>
      </c>
      <c r="L101" s="409"/>
    </row>
    <row r="102" spans="2:14" s="410" customFormat="1" ht="19.899999999999999" customHeight="1" x14ac:dyDescent="0.25">
      <c r="B102" s="409"/>
      <c r="D102" s="411" t="s">
        <v>415</v>
      </c>
      <c r="E102" s="412"/>
      <c r="F102" s="412"/>
      <c r="G102" s="412"/>
      <c r="H102" s="412"/>
      <c r="I102" s="412"/>
      <c r="J102" s="413">
        <f>J191</f>
        <v>0</v>
      </c>
      <c r="L102" s="409"/>
    </row>
    <row r="103" spans="2:14" s="405" customFormat="1" ht="24.95" customHeight="1" x14ac:dyDescent="0.25">
      <c r="B103" s="404"/>
      <c r="D103" s="406" t="s">
        <v>416</v>
      </c>
      <c r="E103" s="407"/>
      <c r="F103" s="407"/>
      <c r="G103" s="407"/>
      <c r="H103" s="407"/>
      <c r="I103" s="407"/>
      <c r="J103" s="408">
        <f>J195</f>
        <v>0</v>
      </c>
      <c r="L103" s="404"/>
    </row>
    <row r="104" spans="2:14" s="410" customFormat="1" ht="19.899999999999999" customHeight="1" x14ac:dyDescent="0.25">
      <c r="B104" s="409"/>
      <c r="D104" s="411" t="s">
        <v>417</v>
      </c>
      <c r="E104" s="412"/>
      <c r="F104" s="412"/>
      <c r="G104" s="412"/>
      <c r="H104" s="412"/>
      <c r="I104" s="412"/>
      <c r="J104" s="413">
        <f>J197</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3066</v>
      </c>
      <c r="J107" s="414">
        <v>0</v>
      </c>
      <c r="L107" s="364"/>
      <c r="N107" s="415" t="s">
        <v>183</v>
      </c>
    </row>
    <row r="108" spans="2:14" s="365" customFormat="1" ht="18" customHeight="1" x14ac:dyDescent="0.25">
      <c r="B108" s="364"/>
      <c r="L108" s="364"/>
    </row>
    <row r="109" spans="2:14" s="365" customFormat="1" ht="29.25" customHeight="1" x14ac:dyDescent="0.25">
      <c r="B109" s="364"/>
      <c r="C109" s="416" t="s">
        <v>3063</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59" t="str">
        <f>E7</f>
        <v>Cyklotrasa - Devín_F</v>
      </c>
      <c r="F118" s="860"/>
      <c r="G118" s="860"/>
      <c r="H118" s="860"/>
      <c r="L118" s="364"/>
    </row>
    <row r="119" spans="2:63" s="365" customFormat="1" ht="12" customHeight="1" x14ac:dyDescent="0.25">
      <c r="B119" s="364"/>
      <c r="C119" s="363" t="s">
        <v>408</v>
      </c>
      <c r="L119" s="364"/>
    </row>
    <row r="120" spans="2:63" s="365" customFormat="1" ht="16.5" customHeight="1" x14ac:dyDescent="0.25">
      <c r="B120" s="364"/>
      <c r="E120" s="857" t="str">
        <f>E9</f>
        <v>102.5 - SO 102.5 OM - úsek F</v>
      </c>
      <c r="F120" s="858"/>
      <c r="G120" s="858"/>
      <c r="H120" s="858"/>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P129+P195</f>
        <v>27435.718141460002</v>
      </c>
      <c r="Q128" s="371"/>
      <c r="R128" s="430">
        <f>R129+R195</f>
        <v>6578.0464758304806</v>
      </c>
      <c r="S128" s="371"/>
      <c r="T128" s="431">
        <f>T129+T195</f>
        <v>36.150000000000006</v>
      </c>
      <c r="AT128" s="357" t="s">
        <v>216</v>
      </c>
      <c r="AU128" s="357" t="s">
        <v>202</v>
      </c>
      <c r="BK128" s="432">
        <f>BK129+BK195</f>
        <v>0</v>
      </c>
    </row>
    <row r="129" spans="2:65" s="434" customFormat="1" ht="25.9" customHeight="1" x14ac:dyDescent="0.2">
      <c r="B129" s="433"/>
      <c r="D129" s="435" t="s">
        <v>216</v>
      </c>
      <c r="E129" s="436" t="s">
        <v>418</v>
      </c>
      <c r="F129" s="436" t="s">
        <v>419</v>
      </c>
      <c r="J129" s="437">
        <f>BK129</f>
        <v>0</v>
      </c>
      <c r="L129" s="433"/>
      <c r="M129" s="438"/>
      <c r="P129" s="439">
        <f>P130+P148+P160+P186+P191</f>
        <v>26836.218001460002</v>
      </c>
      <c r="R129" s="439">
        <f>R130+R148+R160+R186+R191</f>
        <v>6577.4268142704805</v>
      </c>
      <c r="T129" s="440">
        <f>T130+T148+T160+T186+T191</f>
        <v>36.150000000000006</v>
      </c>
      <c r="AR129" s="435" t="s">
        <v>109</v>
      </c>
      <c r="AT129" s="441" t="s">
        <v>216</v>
      </c>
      <c r="AU129" s="441" t="s">
        <v>165</v>
      </c>
      <c r="AY129" s="435" t="s">
        <v>217</v>
      </c>
      <c r="BK129" s="442">
        <f>BK130+BK148+BK160+BK186+BK191</f>
        <v>0</v>
      </c>
    </row>
    <row r="130" spans="2:65" s="434" customFormat="1" ht="22.9" customHeight="1" x14ac:dyDescent="0.2">
      <c r="B130" s="433"/>
      <c r="D130" s="435" t="s">
        <v>216</v>
      </c>
      <c r="E130" s="443" t="s">
        <v>109</v>
      </c>
      <c r="F130" s="443" t="s">
        <v>220</v>
      </c>
      <c r="J130" s="444">
        <f>BK130</f>
        <v>0</v>
      </c>
      <c r="L130" s="433"/>
      <c r="M130" s="438"/>
      <c r="P130" s="439">
        <f>SUM(P131:P147)</f>
        <v>7350.5473399999992</v>
      </c>
      <c r="R130" s="439">
        <f>SUM(R131:R147)</f>
        <v>4809.5982810000005</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3623</v>
      </c>
      <c r="I131" s="329">
        <v>0</v>
      </c>
      <c r="J131" s="450">
        <f t="shared" ref="J131:J147" si="0">ROUND(I131*H131,2)</f>
        <v>0</v>
      </c>
      <c r="K131" s="451"/>
      <c r="L131" s="364"/>
      <c r="M131" s="452" t="s">
        <v>171</v>
      </c>
      <c r="N131" s="415" t="s">
        <v>185</v>
      </c>
      <c r="O131" s="453">
        <v>5.2500000000000003E-3</v>
      </c>
      <c r="P131" s="453">
        <f t="shared" ref="P131:P147" si="1">O131*H131</f>
        <v>19.02075</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543.45000000000005</v>
      </c>
      <c r="I132" s="329">
        <v>0</v>
      </c>
      <c r="J132" s="450">
        <f t="shared" si="0"/>
        <v>0</v>
      </c>
      <c r="K132" s="451"/>
      <c r="L132" s="364"/>
      <c r="M132" s="452" t="s">
        <v>171</v>
      </c>
      <c r="N132" s="415" t="s">
        <v>185</v>
      </c>
      <c r="O132" s="453">
        <v>0.16300000000000001</v>
      </c>
      <c r="P132" s="453">
        <f t="shared" si="1"/>
        <v>88.582350000000005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3623</v>
      </c>
      <c r="I133" s="329">
        <v>0</v>
      </c>
      <c r="J133" s="450">
        <f t="shared" si="0"/>
        <v>0</v>
      </c>
      <c r="K133" s="451"/>
      <c r="L133" s="364"/>
      <c r="M133" s="452" t="s">
        <v>171</v>
      </c>
      <c r="N133" s="415" t="s">
        <v>185</v>
      </c>
      <c r="O133" s="453">
        <v>6.6000000000000003E-2</v>
      </c>
      <c r="P133" s="453">
        <f t="shared" si="1"/>
        <v>239.11800000000002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3650</v>
      </c>
      <c r="I134" s="329">
        <v>0</v>
      </c>
      <c r="J134" s="450">
        <f t="shared" si="0"/>
        <v>0</v>
      </c>
      <c r="K134" s="451"/>
      <c r="L134" s="364"/>
      <c r="M134" s="452" t="s">
        <v>171</v>
      </c>
      <c r="N134" s="415" t="s">
        <v>185</v>
      </c>
      <c r="O134" s="453">
        <v>0.15</v>
      </c>
      <c r="P134" s="453">
        <f t="shared" si="1"/>
        <v>547.5</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3650</v>
      </c>
      <c r="I135" s="329">
        <v>0</v>
      </c>
      <c r="J135" s="450">
        <f t="shared" si="0"/>
        <v>0</v>
      </c>
      <c r="K135" s="451"/>
      <c r="L135" s="364"/>
      <c r="M135" s="452" t="s">
        <v>171</v>
      </c>
      <c r="N135" s="415" t="s">
        <v>185</v>
      </c>
      <c r="O135" s="453">
        <v>7.6999999999999999E-2</v>
      </c>
      <c r="P135" s="453">
        <f t="shared" si="1"/>
        <v>281.05</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v>984.6</v>
      </c>
      <c r="I136" s="329">
        <v>0</v>
      </c>
      <c r="J136" s="450">
        <f t="shared" si="0"/>
        <v>0</v>
      </c>
      <c r="K136" s="451"/>
      <c r="L136" s="364"/>
      <c r="M136" s="452" t="s">
        <v>171</v>
      </c>
      <c r="N136" s="415" t="s">
        <v>185</v>
      </c>
      <c r="O136" s="453">
        <v>8.6999999999999994E-2</v>
      </c>
      <c r="P136" s="453">
        <f t="shared" si="1"/>
        <v>85.660199999999989</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2883</v>
      </c>
      <c r="G137" s="448" t="s">
        <v>114</v>
      </c>
      <c r="H137" s="449">
        <v>984.6</v>
      </c>
      <c r="I137" s="329">
        <v>0</v>
      </c>
      <c r="J137" s="450">
        <f t="shared" si="0"/>
        <v>0</v>
      </c>
      <c r="K137" s="451"/>
      <c r="L137" s="364"/>
      <c r="M137" s="452" t="s">
        <v>171</v>
      </c>
      <c r="N137" s="415" t="s">
        <v>185</v>
      </c>
      <c r="O137" s="453">
        <v>4.4499999999999998E-2</v>
      </c>
      <c r="P137" s="453">
        <f t="shared" si="1"/>
        <v>43.814700000000002</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46" t="s">
        <v>441</v>
      </c>
      <c r="F138" s="447" t="s">
        <v>2884</v>
      </c>
      <c r="G138" s="448" t="s">
        <v>114</v>
      </c>
      <c r="H138" s="449">
        <v>21661.200000000001</v>
      </c>
      <c r="I138" s="329">
        <v>0</v>
      </c>
      <c r="J138" s="450">
        <f t="shared" si="0"/>
        <v>0</v>
      </c>
      <c r="K138" s="451"/>
      <c r="L138" s="364"/>
      <c r="M138" s="452" t="s">
        <v>171</v>
      </c>
      <c r="N138" s="415" t="s">
        <v>185</v>
      </c>
      <c r="O138" s="453">
        <v>5.1999999999999998E-3</v>
      </c>
      <c r="P138" s="453">
        <f t="shared" si="1"/>
        <v>112.63824</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3171</v>
      </c>
      <c r="G139" s="448" t="s">
        <v>112</v>
      </c>
      <c r="H139" s="449">
        <f>Ponuka!S148</f>
        <v>1772.4000000000005</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368</v>
      </c>
      <c r="I140" s="329">
        <v>0</v>
      </c>
      <c r="J140" s="450">
        <f t="shared" si="0"/>
        <v>0</v>
      </c>
      <c r="K140" s="451"/>
      <c r="L140" s="364"/>
      <c r="M140" s="452" t="s">
        <v>171</v>
      </c>
      <c r="N140" s="415" t="s">
        <v>185</v>
      </c>
      <c r="O140" s="453">
        <v>0.22900000000000001</v>
      </c>
      <c r="P140" s="453">
        <f t="shared" si="1"/>
        <v>84.272000000000006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2168</v>
      </c>
      <c r="I141" s="329">
        <v>0</v>
      </c>
      <c r="J141" s="450">
        <f t="shared" si="0"/>
        <v>0</v>
      </c>
      <c r="K141" s="451"/>
      <c r="L141" s="364"/>
      <c r="M141" s="452" t="s">
        <v>171</v>
      </c>
      <c r="N141" s="415" t="s">
        <v>185</v>
      </c>
      <c r="O141" s="453">
        <v>0.216</v>
      </c>
      <c r="P141" s="453">
        <f t="shared" si="1"/>
        <v>468.28800000000001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3902.4</v>
      </c>
      <c r="I142" s="330">
        <v>0</v>
      </c>
      <c r="J142" s="462">
        <f t="shared" si="0"/>
        <v>0</v>
      </c>
      <c r="K142" s="463"/>
      <c r="L142" s="464"/>
      <c r="M142" s="465" t="s">
        <v>171</v>
      </c>
      <c r="N142" s="466" t="s">
        <v>185</v>
      </c>
      <c r="O142" s="453">
        <v>0</v>
      </c>
      <c r="P142" s="453">
        <f t="shared" si="1"/>
        <v>0</v>
      </c>
      <c r="Q142" s="453">
        <v>1</v>
      </c>
      <c r="R142" s="453">
        <f t="shared" si="2"/>
        <v>3902.4</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3921.5</v>
      </c>
      <c r="I143" s="329">
        <v>0</v>
      </c>
      <c r="J143" s="450">
        <f t="shared" si="0"/>
        <v>0</v>
      </c>
      <c r="K143" s="451"/>
      <c r="L143" s="364"/>
      <c r="M143" s="452" t="s">
        <v>171</v>
      </c>
      <c r="N143" s="415" t="s">
        <v>185</v>
      </c>
      <c r="O143" s="453">
        <v>1.7000000000000001E-2</v>
      </c>
      <c r="P143" s="453">
        <f t="shared" si="1"/>
        <v>66.665500000000009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2448.1999999999998</v>
      </c>
      <c r="I144" s="329">
        <v>0</v>
      </c>
      <c r="J144" s="450">
        <f t="shared" si="0"/>
        <v>0</v>
      </c>
      <c r="K144" s="451"/>
      <c r="L144" s="364"/>
      <c r="M144" s="452" t="s">
        <v>171</v>
      </c>
      <c r="N144" s="415" t="s">
        <v>185</v>
      </c>
      <c r="O144" s="453">
        <v>9.8000000000000004E-2</v>
      </c>
      <c r="P144" s="453">
        <f t="shared" si="1"/>
        <v>239.92359999999999</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2693.02</v>
      </c>
      <c r="I145" s="330">
        <v>0</v>
      </c>
      <c r="J145" s="462">
        <f t="shared" si="0"/>
        <v>0</v>
      </c>
      <c r="K145" s="463"/>
      <c r="L145" s="464"/>
      <c r="M145" s="465" t="s">
        <v>171</v>
      </c>
      <c r="N145" s="466" t="s">
        <v>185</v>
      </c>
      <c r="O145" s="453">
        <v>0</v>
      </c>
      <c r="P145" s="453">
        <f t="shared" si="1"/>
        <v>0</v>
      </c>
      <c r="Q145" s="453">
        <v>8.9999999999999998E-4</v>
      </c>
      <c r="R145" s="453">
        <f t="shared" si="2"/>
        <v>2.423718</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2448.1999999999998</v>
      </c>
      <c r="I146" s="329">
        <v>0</v>
      </c>
      <c r="J146" s="450">
        <f t="shared" si="0"/>
        <v>0</v>
      </c>
      <c r="K146" s="451"/>
      <c r="L146" s="364"/>
      <c r="M146" s="452" t="s">
        <v>171</v>
      </c>
      <c r="N146" s="415" t="s">
        <v>185</v>
      </c>
      <c r="O146" s="453">
        <v>1.77</v>
      </c>
      <c r="P146" s="453">
        <f t="shared" si="1"/>
        <v>4333.3139999999994</v>
      </c>
      <c r="Q146" s="453">
        <v>1.2149999999999999E-3</v>
      </c>
      <c r="R146" s="453">
        <f t="shared" si="2"/>
        <v>2.9745629999999994</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450</v>
      </c>
      <c r="I147" s="329">
        <v>0</v>
      </c>
      <c r="J147" s="450">
        <f t="shared" si="0"/>
        <v>0</v>
      </c>
      <c r="K147" s="451"/>
      <c r="L147" s="364"/>
      <c r="M147" s="452" t="s">
        <v>171</v>
      </c>
      <c r="N147" s="415" t="s">
        <v>185</v>
      </c>
      <c r="O147" s="453">
        <v>1.6459999999999999</v>
      </c>
      <c r="P147" s="453">
        <f t="shared" si="1"/>
        <v>740.69999999999993</v>
      </c>
      <c r="Q147" s="453">
        <v>2.004</v>
      </c>
      <c r="R147" s="453">
        <f t="shared" si="2"/>
        <v>901.8</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SUM(P149:P159)</f>
        <v>12292.243850000003</v>
      </c>
      <c r="R148" s="439">
        <f>SUM(R149:R159)</f>
        <v>1479.77134447</v>
      </c>
      <c r="T148" s="440">
        <f>SUM(T149:T159)</f>
        <v>0</v>
      </c>
      <c r="AR148" s="435" t="s">
        <v>109</v>
      </c>
      <c r="AT148" s="441" t="s">
        <v>216</v>
      </c>
      <c r="AU148" s="441" t="s">
        <v>109</v>
      </c>
      <c r="AY148" s="435" t="s">
        <v>217</v>
      </c>
      <c r="BK148" s="442">
        <f>SUM(BK149:BK159)</f>
        <v>0</v>
      </c>
    </row>
    <row r="149" spans="2:65" s="365" customFormat="1" ht="33" customHeight="1" x14ac:dyDescent="0.25">
      <c r="B149" s="364"/>
      <c r="C149" s="445" t="s">
        <v>231</v>
      </c>
      <c r="D149" s="445" t="s">
        <v>218</v>
      </c>
      <c r="E149" s="446" t="s">
        <v>470</v>
      </c>
      <c r="F149" s="447" t="s">
        <v>471</v>
      </c>
      <c r="G149" s="448" t="s">
        <v>111</v>
      </c>
      <c r="H149" s="449">
        <v>1841.5</v>
      </c>
      <c r="I149" s="329">
        <v>0</v>
      </c>
      <c r="J149" s="450">
        <f t="shared" ref="J149:J159" si="10">ROUND(I149*H149,2)</f>
        <v>0</v>
      </c>
      <c r="K149" s="451"/>
      <c r="L149" s="364"/>
      <c r="M149" s="452" t="s">
        <v>171</v>
      </c>
      <c r="N149" s="415" t="s">
        <v>185</v>
      </c>
      <c r="O149" s="453">
        <v>4.0000000000000001E-3</v>
      </c>
      <c r="P149" s="453">
        <f t="shared" ref="P149:P159" si="11">O149*H149</f>
        <v>7.3660000000000005</v>
      </c>
      <c r="Q149" s="453">
        <v>0</v>
      </c>
      <c r="R149" s="453">
        <f t="shared" ref="R149:R159" si="12">Q149*H149</f>
        <v>0</v>
      </c>
      <c r="S149" s="453">
        <v>0</v>
      </c>
      <c r="T149" s="454">
        <f t="shared" ref="T149:T159" si="13">S149*H149</f>
        <v>0</v>
      </c>
      <c r="AR149" s="455" t="s">
        <v>110</v>
      </c>
      <c r="AT149" s="455" t="s">
        <v>218</v>
      </c>
      <c r="AU149" s="455" t="s">
        <v>108</v>
      </c>
      <c r="AY149" s="357" t="s">
        <v>217</v>
      </c>
      <c r="BE149" s="456">
        <f t="shared" ref="BE149:BE159" si="14">IF(N149="základná",J149,0)</f>
        <v>0</v>
      </c>
      <c r="BF149" s="456">
        <f t="shared" ref="BF149:BF159" si="15">IF(N149="znížená",J149,0)</f>
        <v>0</v>
      </c>
      <c r="BG149" s="456">
        <f t="shared" ref="BG149:BG159" si="16">IF(N149="zákl. prenesená",J149,0)</f>
        <v>0</v>
      </c>
      <c r="BH149" s="456">
        <f t="shared" ref="BH149:BH159" si="17">IF(N149="zníž. prenesená",J149,0)</f>
        <v>0</v>
      </c>
      <c r="BI149" s="456">
        <f t="shared" ref="BI149:BI159" si="18">IF(N149="nulová",J149,0)</f>
        <v>0</v>
      </c>
      <c r="BJ149" s="357" t="s">
        <v>108</v>
      </c>
      <c r="BK149" s="456">
        <f t="shared" ref="BK149:BK159"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6107</v>
      </c>
      <c r="I150" s="329">
        <v>0</v>
      </c>
      <c r="J150" s="450">
        <f t="shared" si="10"/>
        <v>0</v>
      </c>
      <c r="K150" s="451"/>
      <c r="L150" s="364"/>
      <c r="M150" s="452" t="s">
        <v>171</v>
      </c>
      <c r="N150" s="415" t="s">
        <v>185</v>
      </c>
      <c r="O150" s="453">
        <v>0.105</v>
      </c>
      <c r="P150" s="453">
        <f t="shared" si="11"/>
        <v>641.23500000000001</v>
      </c>
      <c r="Q150" s="453">
        <v>3.1981000000000002E-4</v>
      </c>
      <c r="R150" s="453">
        <f t="shared" si="12"/>
        <v>1.9530796700000002</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6717.7</v>
      </c>
      <c r="I151" s="330">
        <v>0</v>
      </c>
      <c r="J151" s="462">
        <f t="shared" si="10"/>
        <v>0</v>
      </c>
      <c r="K151" s="463"/>
      <c r="L151" s="464"/>
      <c r="M151" s="465" t="s">
        <v>171</v>
      </c>
      <c r="N151" s="466" t="s">
        <v>185</v>
      </c>
      <c r="O151" s="453">
        <v>0</v>
      </c>
      <c r="P151" s="453">
        <f t="shared" si="11"/>
        <v>0</v>
      </c>
      <c r="Q151" s="453">
        <v>2.7999999999999998E-4</v>
      </c>
      <c r="R151" s="453">
        <f t="shared" si="12"/>
        <v>1.8809559999999999</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685</v>
      </c>
      <c r="I152" s="329">
        <v>0</v>
      </c>
      <c r="J152" s="450">
        <f t="shared" si="10"/>
        <v>0</v>
      </c>
      <c r="K152" s="451"/>
      <c r="L152" s="364"/>
      <c r="M152" s="452" t="s">
        <v>171</v>
      </c>
      <c r="N152" s="415" t="s">
        <v>185</v>
      </c>
      <c r="O152" s="453">
        <v>6.6000000000000003E-2</v>
      </c>
      <c r="P152" s="453">
        <f t="shared" si="11"/>
        <v>45.21</v>
      </c>
      <c r="Q152" s="453">
        <v>1.7979999999999999E-2</v>
      </c>
      <c r="R152" s="453">
        <f t="shared" si="12"/>
        <v>12.3163</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685</v>
      </c>
      <c r="I153" s="329">
        <v>0</v>
      </c>
      <c r="J153" s="450">
        <f t="shared" si="10"/>
        <v>0</v>
      </c>
      <c r="K153" s="451"/>
      <c r="L153" s="364"/>
      <c r="M153" s="452" t="s">
        <v>171</v>
      </c>
      <c r="N153" s="415" t="s">
        <v>185</v>
      </c>
      <c r="O153" s="453">
        <v>3.9600000000000003E-2</v>
      </c>
      <c r="P153" s="453">
        <f t="shared" si="11"/>
        <v>27.126000000000001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685</v>
      </c>
      <c r="I154" s="330">
        <v>0</v>
      </c>
      <c r="J154" s="462">
        <f t="shared" si="10"/>
        <v>0</v>
      </c>
      <c r="K154" s="463"/>
      <c r="L154" s="464"/>
      <c r="M154" s="465" t="s">
        <v>171</v>
      </c>
      <c r="N154" s="466" t="s">
        <v>185</v>
      </c>
      <c r="O154" s="453">
        <v>0</v>
      </c>
      <c r="P154" s="453">
        <f t="shared" si="11"/>
        <v>0</v>
      </c>
      <c r="Q154" s="453">
        <v>1E-3</v>
      </c>
      <c r="R154" s="453">
        <f t="shared" si="12"/>
        <v>0.68500000000000005</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685</v>
      </c>
      <c r="I155" s="329">
        <v>0</v>
      </c>
      <c r="J155" s="450">
        <f t="shared" si="10"/>
        <v>0</v>
      </c>
      <c r="K155" s="451"/>
      <c r="L155" s="364"/>
      <c r="M155" s="452" t="s">
        <v>171</v>
      </c>
      <c r="N155" s="415" t="s">
        <v>185</v>
      </c>
      <c r="O155" s="453">
        <v>5.2010000000000001E-2</v>
      </c>
      <c r="P155" s="453">
        <f t="shared" si="11"/>
        <v>35.626849999999997</v>
      </c>
      <c r="Q155" s="453">
        <v>1.584E-4</v>
      </c>
      <c r="R155" s="453">
        <f t="shared" si="12"/>
        <v>0.108504</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6638</v>
      </c>
      <c r="I156" s="329">
        <v>0</v>
      </c>
      <c r="J156" s="450">
        <f t="shared" si="10"/>
        <v>0</v>
      </c>
      <c r="K156" s="451"/>
      <c r="L156" s="364"/>
      <c r="M156" s="452" t="s">
        <v>171</v>
      </c>
      <c r="N156" s="415" t="s">
        <v>185</v>
      </c>
      <c r="O156" s="453">
        <v>0.18</v>
      </c>
      <c r="P156" s="453">
        <f t="shared" si="11"/>
        <v>1194.8399999999999</v>
      </c>
      <c r="Q156" s="453">
        <v>2.4139999999999999E-3</v>
      </c>
      <c r="R156" s="453">
        <f t="shared" si="12"/>
        <v>16.024131999999998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1600</v>
      </c>
      <c r="I157" s="329">
        <v>0</v>
      </c>
      <c r="J157" s="450">
        <f t="shared" si="10"/>
        <v>0</v>
      </c>
      <c r="K157" s="451"/>
      <c r="L157" s="364"/>
      <c r="M157" s="452" t="s">
        <v>171</v>
      </c>
      <c r="N157" s="415" t="s">
        <v>185</v>
      </c>
      <c r="O157" s="453">
        <v>1.1359999999999999</v>
      </c>
      <c r="P157" s="453">
        <f t="shared" si="11"/>
        <v>1817.6</v>
      </c>
      <c r="Q157" s="453">
        <v>1.7139999999999999E-2</v>
      </c>
      <c r="R157" s="453">
        <f t="shared" si="12"/>
        <v>27.423999999999999</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796</v>
      </c>
      <c r="I158" s="329">
        <v>0</v>
      </c>
      <c r="J158" s="450">
        <f t="shared" si="10"/>
        <v>0</v>
      </c>
      <c r="K158" s="451"/>
      <c r="L158" s="364"/>
      <c r="M158" s="452" t="s">
        <v>171</v>
      </c>
      <c r="N158" s="415" t="s">
        <v>185</v>
      </c>
      <c r="O158" s="453">
        <v>8.5020000000000007</v>
      </c>
      <c r="P158" s="453">
        <f t="shared" si="11"/>
        <v>6767.5920000000006</v>
      </c>
      <c r="Q158" s="453">
        <v>1.7816399999999999</v>
      </c>
      <c r="R158" s="453">
        <f t="shared" si="12"/>
        <v>1418.18544</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46080</v>
      </c>
      <c r="I159" s="329">
        <v>0</v>
      </c>
      <c r="J159" s="450">
        <f t="shared" si="10"/>
        <v>0</v>
      </c>
      <c r="K159" s="451"/>
      <c r="L159" s="364"/>
      <c r="M159" s="452" t="s">
        <v>171</v>
      </c>
      <c r="N159" s="415" t="s">
        <v>185</v>
      </c>
      <c r="O159" s="453">
        <v>3.8100000000000002E-2</v>
      </c>
      <c r="P159" s="453">
        <f t="shared" si="11"/>
        <v>1755.6480000000001</v>
      </c>
      <c r="Q159" s="453">
        <v>2.5910000000000001E-5</v>
      </c>
      <c r="R159" s="453">
        <f t="shared" si="12"/>
        <v>1.1939328</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434" customFormat="1" ht="22.9" customHeight="1" x14ac:dyDescent="0.2">
      <c r="B160" s="433"/>
      <c r="D160" s="435" t="s">
        <v>216</v>
      </c>
      <c r="E160" s="443" t="s">
        <v>119</v>
      </c>
      <c r="F160" s="443" t="s">
        <v>541</v>
      </c>
      <c r="I160" s="467"/>
      <c r="J160" s="444">
        <f>BK160</f>
        <v>0</v>
      </c>
      <c r="L160" s="433"/>
      <c r="M160" s="438"/>
      <c r="P160" s="439">
        <f>SUM(P161:P185)</f>
        <v>7011.0322114600003</v>
      </c>
      <c r="R160" s="439">
        <f>SUM(R161:R185)</f>
        <v>287.95621120047997</v>
      </c>
      <c r="T160" s="440">
        <f>SUM(T161:T185)</f>
        <v>0</v>
      </c>
      <c r="AR160" s="435" t="s">
        <v>109</v>
      </c>
      <c r="AT160" s="441" t="s">
        <v>216</v>
      </c>
      <c r="AU160" s="441" t="s">
        <v>109</v>
      </c>
      <c r="AY160" s="435" t="s">
        <v>217</v>
      </c>
      <c r="BK160" s="442">
        <f>SUM(BK161:BK185)</f>
        <v>0</v>
      </c>
    </row>
    <row r="161" spans="2:65" s="365" customFormat="1" ht="24.2" customHeight="1" x14ac:dyDescent="0.25">
      <c r="B161" s="364"/>
      <c r="C161" s="445" t="s">
        <v>243</v>
      </c>
      <c r="D161" s="445" t="s">
        <v>218</v>
      </c>
      <c r="E161" s="446" t="s">
        <v>542</v>
      </c>
      <c r="F161" s="447" t="s">
        <v>543</v>
      </c>
      <c r="G161" s="448" t="s">
        <v>114</v>
      </c>
      <c r="H161" s="449">
        <v>85.86</v>
      </c>
      <c r="I161" s="329">
        <v>0</v>
      </c>
      <c r="J161" s="450">
        <f t="shared" ref="J161:J185" si="20">ROUND(I161*H161,2)</f>
        <v>0</v>
      </c>
      <c r="K161" s="451"/>
      <c r="L161" s="364"/>
      <c r="M161" s="452" t="s">
        <v>171</v>
      </c>
      <c r="N161" s="415" t="s">
        <v>185</v>
      </c>
      <c r="O161" s="453">
        <v>1.54986</v>
      </c>
      <c r="P161" s="453">
        <f t="shared" ref="P161:P185" si="21">O161*H161</f>
        <v>133.07097959999999</v>
      </c>
      <c r="Q161" s="453">
        <v>2.3618923500000002</v>
      </c>
      <c r="R161" s="453">
        <f t="shared" ref="R161:R185" si="22">Q161*H161</f>
        <v>202.79207717100002</v>
      </c>
      <c r="S161" s="453">
        <v>0</v>
      </c>
      <c r="T161" s="454">
        <f t="shared" ref="T161:T185" si="23">S161*H161</f>
        <v>0</v>
      </c>
      <c r="AR161" s="455" t="s">
        <v>110</v>
      </c>
      <c r="AT161" s="455" t="s">
        <v>218</v>
      </c>
      <c r="AU161" s="455" t="s">
        <v>108</v>
      </c>
      <c r="AY161" s="357" t="s">
        <v>217</v>
      </c>
      <c r="BE161" s="456">
        <f t="shared" ref="BE161:BE185" si="24">IF(N161="základná",J161,0)</f>
        <v>0</v>
      </c>
      <c r="BF161" s="456">
        <f t="shared" ref="BF161:BF185" si="25">IF(N161="znížená",J161,0)</f>
        <v>0</v>
      </c>
      <c r="BG161" s="456">
        <f t="shared" ref="BG161:BG185" si="26">IF(N161="zákl. prenesená",J161,0)</f>
        <v>0</v>
      </c>
      <c r="BH161" s="456">
        <f t="shared" ref="BH161:BH185" si="27">IF(N161="zníž. prenesená",J161,0)</f>
        <v>0</v>
      </c>
      <c r="BI161" s="456">
        <f t="shared" ref="BI161:BI185" si="28">IF(N161="nulová",J161,0)</f>
        <v>0</v>
      </c>
      <c r="BJ161" s="357" t="s">
        <v>108</v>
      </c>
      <c r="BK161" s="456">
        <f t="shared" ref="BK161:BK185" si="29">ROUND(I161*H161,2)</f>
        <v>0</v>
      </c>
      <c r="BL161" s="357" t="s">
        <v>110</v>
      </c>
      <c r="BM161" s="455" t="s">
        <v>544</v>
      </c>
    </row>
    <row r="162" spans="2:65" s="365" customFormat="1" ht="16.5" customHeight="1" x14ac:dyDescent="0.25">
      <c r="B162" s="364"/>
      <c r="C162" s="457" t="s">
        <v>244</v>
      </c>
      <c r="D162" s="457" t="s">
        <v>259</v>
      </c>
      <c r="E162" s="458" t="s">
        <v>545</v>
      </c>
      <c r="F162" s="459" t="s">
        <v>546</v>
      </c>
      <c r="G162" s="460" t="s">
        <v>547</v>
      </c>
      <c r="H162" s="461">
        <v>104.473</v>
      </c>
      <c r="I162" s="330">
        <v>0</v>
      </c>
      <c r="J162" s="462">
        <f t="shared" si="20"/>
        <v>0</v>
      </c>
      <c r="K162" s="463"/>
      <c r="L162" s="464"/>
      <c r="M162" s="465" t="s">
        <v>171</v>
      </c>
      <c r="N162" s="466" t="s">
        <v>185</v>
      </c>
      <c r="O162" s="453">
        <v>0</v>
      </c>
      <c r="P162" s="453">
        <f t="shared" si="21"/>
        <v>0</v>
      </c>
      <c r="Q162" s="453">
        <v>7.5000000000000002E-4</v>
      </c>
      <c r="R162" s="453">
        <f t="shared" si="22"/>
        <v>7.8354750000000001E-2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548</v>
      </c>
    </row>
    <row r="163" spans="2:65" s="365" customFormat="1" ht="24.2" customHeight="1" x14ac:dyDescent="0.25">
      <c r="B163" s="364"/>
      <c r="C163" s="445" t="s">
        <v>245</v>
      </c>
      <c r="D163" s="445" t="s">
        <v>218</v>
      </c>
      <c r="E163" s="446" t="s">
        <v>549</v>
      </c>
      <c r="F163" s="447" t="s">
        <v>550</v>
      </c>
      <c r="G163" s="448" t="s">
        <v>111</v>
      </c>
      <c r="H163" s="449">
        <v>275.60000000000002</v>
      </c>
      <c r="I163" s="329">
        <v>0</v>
      </c>
      <c r="J163" s="450">
        <f t="shared" si="20"/>
        <v>0</v>
      </c>
      <c r="K163" s="451"/>
      <c r="L163" s="364"/>
      <c r="M163" s="452" t="s">
        <v>171</v>
      </c>
      <c r="N163" s="415" t="s">
        <v>185</v>
      </c>
      <c r="O163" s="453">
        <v>1.42767</v>
      </c>
      <c r="P163" s="453">
        <f t="shared" si="21"/>
        <v>393.46585200000004</v>
      </c>
      <c r="Q163" s="453">
        <v>7.6370300000000004E-3</v>
      </c>
      <c r="R163" s="453">
        <f t="shared" si="22"/>
        <v>2.1047654680000001</v>
      </c>
      <c r="S163" s="453">
        <v>0</v>
      </c>
      <c r="T163" s="454">
        <f t="shared" si="23"/>
        <v>0</v>
      </c>
      <c r="AR163" s="455" t="s">
        <v>110</v>
      </c>
      <c r="AT163" s="455" t="s">
        <v>218</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551</v>
      </c>
    </row>
    <row r="164" spans="2:65" s="365" customFormat="1" ht="24.2" customHeight="1" x14ac:dyDescent="0.25">
      <c r="B164" s="364"/>
      <c r="C164" s="445" t="s">
        <v>246</v>
      </c>
      <c r="D164" s="445" t="s">
        <v>218</v>
      </c>
      <c r="E164" s="446" t="s">
        <v>552</v>
      </c>
      <c r="F164" s="447" t="s">
        <v>553</v>
      </c>
      <c r="G164" s="448" t="s">
        <v>111</v>
      </c>
      <c r="H164" s="449">
        <v>275.60000000000002</v>
      </c>
      <c r="I164" s="329">
        <v>0</v>
      </c>
      <c r="J164" s="450">
        <f t="shared" si="20"/>
        <v>0</v>
      </c>
      <c r="K164" s="451"/>
      <c r="L164" s="364"/>
      <c r="M164" s="452" t="s">
        <v>171</v>
      </c>
      <c r="N164" s="415" t="s">
        <v>185</v>
      </c>
      <c r="O164" s="453">
        <v>0.49</v>
      </c>
      <c r="P164" s="453">
        <f t="shared" si="21"/>
        <v>135.04400000000001</v>
      </c>
      <c r="Q164" s="453">
        <v>0</v>
      </c>
      <c r="R164" s="453">
        <f t="shared" si="22"/>
        <v>0</v>
      </c>
      <c r="S164" s="453">
        <v>0</v>
      </c>
      <c r="T164" s="454">
        <f t="shared" si="23"/>
        <v>0</v>
      </c>
      <c r="AR164" s="455" t="s">
        <v>110</v>
      </c>
      <c r="AT164" s="455" t="s">
        <v>218</v>
      </c>
      <c r="AU164" s="455" t="s">
        <v>108</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554</v>
      </c>
    </row>
    <row r="165" spans="2:65" s="365" customFormat="1" ht="16.5" customHeight="1" x14ac:dyDescent="0.25">
      <c r="B165" s="364"/>
      <c r="C165" s="445" t="s">
        <v>247</v>
      </c>
      <c r="D165" s="445" t="s">
        <v>218</v>
      </c>
      <c r="E165" s="446" t="s">
        <v>555</v>
      </c>
      <c r="F165" s="447" t="s">
        <v>556</v>
      </c>
      <c r="G165" s="448" t="s">
        <v>112</v>
      </c>
      <c r="H165" s="449">
        <v>11.676</v>
      </c>
      <c r="I165" s="329">
        <v>0</v>
      </c>
      <c r="J165" s="450">
        <f t="shared" si="20"/>
        <v>0</v>
      </c>
      <c r="K165" s="451"/>
      <c r="L165" s="364"/>
      <c r="M165" s="452" t="s">
        <v>171</v>
      </c>
      <c r="N165" s="415" t="s">
        <v>185</v>
      </c>
      <c r="O165" s="453">
        <v>34.718159999999997</v>
      </c>
      <c r="P165" s="453">
        <f t="shared" si="21"/>
        <v>405.36923615999996</v>
      </c>
      <c r="Q165" s="453">
        <v>1.01144973</v>
      </c>
      <c r="R165" s="453">
        <f t="shared" si="22"/>
        <v>11.809687047480001</v>
      </c>
      <c r="S165" s="453">
        <v>0</v>
      </c>
      <c r="T165" s="454">
        <f t="shared" si="23"/>
        <v>0</v>
      </c>
      <c r="AR165" s="455" t="s">
        <v>110</v>
      </c>
      <c r="AT165" s="455" t="s">
        <v>218</v>
      </c>
      <c r="AU165" s="455" t="s">
        <v>108</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557</v>
      </c>
    </row>
    <row r="166" spans="2:65" s="365" customFormat="1" ht="16.5" customHeight="1" x14ac:dyDescent="0.25">
      <c r="B166" s="364"/>
      <c r="C166" s="445" t="s">
        <v>248</v>
      </c>
      <c r="D166" s="445" t="s">
        <v>218</v>
      </c>
      <c r="E166" s="446" t="s">
        <v>558</v>
      </c>
      <c r="F166" s="447" t="s">
        <v>559</v>
      </c>
      <c r="G166" s="448" t="s">
        <v>111</v>
      </c>
      <c r="H166" s="449">
        <v>572.4</v>
      </c>
      <c r="I166" s="329">
        <v>0</v>
      </c>
      <c r="J166" s="450">
        <f t="shared" si="20"/>
        <v>0</v>
      </c>
      <c r="K166" s="451"/>
      <c r="L166" s="364"/>
      <c r="M166" s="452" t="s">
        <v>171</v>
      </c>
      <c r="N166" s="415" t="s">
        <v>185</v>
      </c>
      <c r="O166" s="453">
        <v>0.14938000000000001</v>
      </c>
      <c r="P166" s="453">
        <f t="shared" si="21"/>
        <v>85.505111999999997</v>
      </c>
      <c r="Q166" s="453">
        <v>2.9999999999999997E-4</v>
      </c>
      <c r="R166" s="453">
        <f t="shared" si="22"/>
        <v>0.17171999999999998</v>
      </c>
      <c r="S166" s="453">
        <v>0</v>
      </c>
      <c r="T166" s="454">
        <f t="shared" si="23"/>
        <v>0</v>
      </c>
      <c r="AR166" s="455" t="s">
        <v>110</v>
      </c>
      <c r="AT166" s="455" t="s">
        <v>218</v>
      </c>
      <c r="AU166" s="455" t="s">
        <v>108</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560</v>
      </c>
    </row>
    <row r="167" spans="2:65" s="365" customFormat="1" ht="24.2" customHeight="1" x14ac:dyDescent="0.25">
      <c r="B167" s="364"/>
      <c r="C167" s="445" t="s">
        <v>249</v>
      </c>
      <c r="D167" s="445" t="s">
        <v>218</v>
      </c>
      <c r="E167" s="446" t="s">
        <v>561</v>
      </c>
      <c r="F167" s="447" t="s">
        <v>562</v>
      </c>
      <c r="G167" s="448" t="s">
        <v>113</v>
      </c>
      <c r="H167" s="449">
        <v>636</v>
      </c>
      <c r="I167" s="329">
        <v>0</v>
      </c>
      <c r="J167" s="450">
        <f t="shared" si="20"/>
        <v>0</v>
      </c>
      <c r="K167" s="451"/>
      <c r="L167" s="364"/>
      <c r="M167" s="452" t="s">
        <v>171</v>
      </c>
      <c r="N167" s="415" t="s">
        <v>185</v>
      </c>
      <c r="O167" s="453">
        <v>1.36602</v>
      </c>
      <c r="P167" s="453">
        <f t="shared" si="21"/>
        <v>868.78872000000001</v>
      </c>
      <c r="Q167" s="453">
        <v>3.3E-4</v>
      </c>
      <c r="R167" s="453">
        <f t="shared" si="22"/>
        <v>0.20988000000000001</v>
      </c>
      <c r="S167" s="453">
        <v>0</v>
      </c>
      <c r="T167" s="454">
        <f t="shared" si="23"/>
        <v>0</v>
      </c>
      <c r="AR167" s="455" t="s">
        <v>110</v>
      </c>
      <c r="AT167" s="455" t="s">
        <v>218</v>
      </c>
      <c r="AU167" s="455" t="s">
        <v>108</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563</v>
      </c>
    </row>
    <row r="168" spans="2:65" s="365" customFormat="1" ht="24.2" customHeight="1" x14ac:dyDescent="0.25">
      <c r="B168" s="364"/>
      <c r="C168" s="445" t="s">
        <v>250</v>
      </c>
      <c r="D168" s="445" t="s">
        <v>218</v>
      </c>
      <c r="E168" s="446" t="s">
        <v>564</v>
      </c>
      <c r="F168" s="447" t="s">
        <v>565</v>
      </c>
      <c r="G168" s="448" t="s">
        <v>111</v>
      </c>
      <c r="H168" s="449">
        <v>28.71</v>
      </c>
      <c r="I168" s="329">
        <v>0</v>
      </c>
      <c r="J168" s="450">
        <f t="shared" si="20"/>
        <v>0</v>
      </c>
      <c r="K168" s="451"/>
      <c r="L168" s="364"/>
      <c r="M168" s="452" t="s">
        <v>171</v>
      </c>
      <c r="N168" s="415" t="s">
        <v>185</v>
      </c>
      <c r="O168" s="453">
        <v>0.26107000000000002</v>
      </c>
      <c r="P168" s="453">
        <f t="shared" si="21"/>
        <v>7.4953197000000014</v>
      </c>
      <c r="Q168" s="453">
        <v>2.2655000000000002E-2</v>
      </c>
      <c r="R168" s="453">
        <f t="shared" si="22"/>
        <v>0.65042505000000006</v>
      </c>
      <c r="S168" s="453">
        <v>0</v>
      </c>
      <c r="T168" s="454">
        <f t="shared" si="23"/>
        <v>0</v>
      </c>
      <c r="AR168" s="455" t="s">
        <v>110</v>
      </c>
      <c r="AT168" s="455" t="s">
        <v>218</v>
      </c>
      <c r="AU168" s="455" t="s">
        <v>108</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566</v>
      </c>
    </row>
    <row r="169" spans="2:65" s="365" customFormat="1" ht="24.2" customHeight="1" x14ac:dyDescent="0.25">
      <c r="B169" s="364"/>
      <c r="C169" s="445" t="s">
        <v>251</v>
      </c>
      <c r="D169" s="445" t="s">
        <v>218</v>
      </c>
      <c r="E169" s="446" t="s">
        <v>567</v>
      </c>
      <c r="F169" s="447" t="s">
        <v>568</v>
      </c>
      <c r="G169" s="448" t="s">
        <v>536</v>
      </c>
      <c r="H169" s="449">
        <v>27868.400000000001</v>
      </c>
      <c r="I169" s="329">
        <v>0</v>
      </c>
      <c r="J169" s="450">
        <f t="shared" si="20"/>
        <v>0</v>
      </c>
      <c r="K169" s="451"/>
      <c r="L169" s="364"/>
      <c r="M169" s="452" t="s">
        <v>171</v>
      </c>
      <c r="N169" s="415" t="s">
        <v>185</v>
      </c>
      <c r="O169" s="453">
        <v>0.125</v>
      </c>
      <c r="P169" s="453">
        <f t="shared" si="21"/>
        <v>3483.55</v>
      </c>
      <c r="Q169" s="453">
        <v>0</v>
      </c>
      <c r="R169" s="453">
        <f t="shared" si="22"/>
        <v>0</v>
      </c>
      <c r="S169" s="453">
        <v>0</v>
      </c>
      <c r="T169" s="454">
        <f t="shared" si="23"/>
        <v>0</v>
      </c>
      <c r="AR169" s="455" t="s">
        <v>110</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569</v>
      </c>
    </row>
    <row r="170" spans="2:65" s="365" customFormat="1" ht="16.5" customHeight="1" x14ac:dyDescent="0.25">
      <c r="B170" s="364"/>
      <c r="C170" s="457" t="s">
        <v>252</v>
      </c>
      <c r="D170" s="457" t="s">
        <v>259</v>
      </c>
      <c r="E170" s="458" t="s">
        <v>570</v>
      </c>
      <c r="F170" s="459" t="s">
        <v>571</v>
      </c>
      <c r="G170" s="460" t="s">
        <v>112</v>
      </c>
      <c r="H170" s="461">
        <v>12.12</v>
      </c>
      <c r="I170" s="330">
        <v>0</v>
      </c>
      <c r="J170" s="462">
        <f t="shared" si="20"/>
        <v>0</v>
      </c>
      <c r="K170" s="463"/>
      <c r="L170" s="464"/>
      <c r="M170" s="465" t="s">
        <v>171</v>
      </c>
      <c r="N170" s="466" t="s">
        <v>185</v>
      </c>
      <c r="O170" s="453">
        <v>0</v>
      </c>
      <c r="P170" s="453">
        <f t="shared" si="21"/>
        <v>0</v>
      </c>
      <c r="Q170" s="453">
        <v>1</v>
      </c>
      <c r="R170" s="453">
        <f t="shared" si="22"/>
        <v>12.12</v>
      </c>
      <c r="S170" s="453">
        <v>0</v>
      </c>
      <c r="T170" s="454">
        <f t="shared" si="23"/>
        <v>0</v>
      </c>
      <c r="AR170" s="455" t="s">
        <v>115</v>
      </c>
      <c r="AT170" s="455" t="s">
        <v>259</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572</v>
      </c>
    </row>
    <row r="171" spans="2:65" s="365" customFormat="1" ht="16.5" customHeight="1" x14ac:dyDescent="0.25">
      <c r="B171" s="364"/>
      <c r="C171" s="457" t="s">
        <v>253</v>
      </c>
      <c r="D171" s="457" t="s">
        <v>259</v>
      </c>
      <c r="E171" s="458" t="s">
        <v>574</v>
      </c>
      <c r="F171" s="459" t="s">
        <v>575</v>
      </c>
      <c r="G171" s="460" t="s">
        <v>114</v>
      </c>
      <c r="H171" s="461">
        <v>26.1</v>
      </c>
      <c r="I171" s="330">
        <v>0</v>
      </c>
      <c r="J171" s="462">
        <f t="shared" si="20"/>
        <v>0</v>
      </c>
      <c r="K171" s="463"/>
      <c r="L171" s="464"/>
      <c r="M171" s="465" t="s">
        <v>171</v>
      </c>
      <c r="N171" s="466" t="s">
        <v>185</v>
      </c>
      <c r="O171" s="453">
        <v>0</v>
      </c>
      <c r="P171" s="453">
        <f t="shared" si="21"/>
        <v>0</v>
      </c>
      <c r="Q171" s="453">
        <v>0.65</v>
      </c>
      <c r="R171" s="453">
        <f t="shared" si="22"/>
        <v>16.965</v>
      </c>
      <c r="S171" s="453">
        <v>0</v>
      </c>
      <c r="T171" s="454">
        <f t="shared" si="23"/>
        <v>0</v>
      </c>
      <c r="AR171" s="455" t="s">
        <v>115</v>
      </c>
      <c r="AT171" s="455" t="s">
        <v>259</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576</v>
      </c>
    </row>
    <row r="172" spans="2:65" s="365" customFormat="1" ht="24.2" customHeight="1" x14ac:dyDescent="0.25">
      <c r="B172" s="364"/>
      <c r="C172" s="445" t="s">
        <v>254</v>
      </c>
      <c r="D172" s="445" t="s">
        <v>218</v>
      </c>
      <c r="E172" s="446" t="s">
        <v>578</v>
      </c>
      <c r="F172" s="447" t="s">
        <v>579</v>
      </c>
      <c r="G172" s="448" t="s">
        <v>123</v>
      </c>
      <c r="H172" s="449">
        <v>2552</v>
      </c>
      <c r="I172" s="329">
        <v>0</v>
      </c>
      <c r="J172" s="450">
        <f t="shared" si="20"/>
        <v>0</v>
      </c>
      <c r="K172" s="451"/>
      <c r="L172" s="364"/>
      <c r="M172" s="452" t="s">
        <v>171</v>
      </c>
      <c r="N172" s="415" t="s">
        <v>185</v>
      </c>
      <c r="O172" s="453">
        <v>0.25</v>
      </c>
      <c r="P172" s="453">
        <f t="shared" si="21"/>
        <v>638</v>
      </c>
      <c r="Q172" s="453">
        <v>0</v>
      </c>
      <c r="R172" s="453">
        <f t="shared" si="22"/>
        <v>0</v>
      </c>
      <c r="S172" s="453">
        <v>0</v>
      </c>
      <c r="T172" s="454">
        <f t="shared" si="23"/>
        <v>0</v>
      </c>
      <c r="AR172" s="455" t="s">
        <v>110</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580</v>
      </c>
    </row>
    <row r="173" spans="2:65" s="365" customFormat="1" ht="24.2" customHeight="1" x14ac:dyDescent="0.25">
      <c r="B173" s="364"/>
      <c r="C173" s="457" t="s">
        <v>255</v>
      </c>
      <c r="D173" s="457" t="s">
        <v>259</v>
      </c>
      <c r="E173" s="458" t="s">
        <v>582</v>
      </c>
      <c r="F173" s="459" t="s">
        <v>583</v>
      </c>
      <c r="G173" s="460" t="s">
        <v>123</v>
      </c>
      <c r="H173" s="461">
        <v>2552</v>
      </c>
      <c r="I173" s="330">
        <v>0</v>
      </c>
      <c r="J173" s="462">
        <f t="shared" si="20"/>
        <v>0</v>
      </c>
      <c r="K173" s="463"/>
      <c r="L173" s="464"/>
      <c r="M173" s="465" t="s">
        <v>171</v>
      </c>
      <c r="N173" s="466" t="s">
        <v>185</v>
      </c>
      <c r="O173" s="453">
        <v>0</v>
      </c>
      <c r="P173" s="453">
        <f t="shared" si="21"/>
        <v>0</v>
      </c>
      <c r="Q173" s="453">
        <v>1.3999999999999999E-4</v>
      </c>
      <c r="R173" s="453">
        <f t="shared" si="22"/>
        <v>0.35727999999999999</v>
      </c>
      <c r="S173" s="453">
        <v>0</v>
      </c>
      <c r="T173" s="454">
        <f t="shared" si="23"/>
        <v>0</v>
      </c>
      <c r="AR173" s="455" t="s">
        <v>115</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584</v>
      </c>
    </row>
    <row r="174" spans="2:65" s="365" customFormat="1" ht="24.2" customHeight="1" x14ac:dyDescent="0.25">
      <c r="B174" s="364"/>
      <c r="C174" s="445" t="s">
        <v>256</v>
      </c>
      <c r="D174" s="445" t="s">
        <v>218</v>
      </c>
      <c r="E174" s="446" t="s">
        <v>586</v>
      </c>
      <c r="F174" s="447" t="s">
        <v>587</v>
      </c>
      <c r="G174" s="448" t="s">
        <v>123</v>
      </c>
      <c r="H174" s="449">
        <v>2552</v>
      </c>
      <c r="I174" s="329">
        <v>0</v>
      </c>
      <c r="J174" s="450">
        <f t="shared" si="20"/>
        <v>0</v>
      </c>
      <c r="K174" s="451"/>
      <c r="L174" s="364"/>
      <c r="M174" s="452" t="s">
        <v>171</v>
      </c>
      <c r="N174" s="415" t="s">
        <v>185</v>
      </c>
      <c r="O174" s="453">
        <v>0.27005000000000001</v>
      </c>
      <c r="P174" s="453">
        <f t="shared" si="21"/>
        <v>689.16759999999999</v>
      </c>
      <c r="Q174" s="453">
        <v>4.4350000000000001E-5</v>
      </c>
      <c r="R174" s="453">
        <f t="shared" si="22"/>
        <v>0.1131812</v>
      </c>
      <c r="S174" s="453">
        <v>0</v>
      </c>
      <c r="T174" s="454">
        <f t="shared" si="23"/>
        <v>0</v>
      </c>
      <c r="AR174" s="455" t="s">
        <v>110</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588</v>
      </c>
    </row>
    <row r="175" spans="2:65" s="365" customFormat="1" ht="24.2" customHeight="1" x14ac:dyDescent="0.25">
      <c r="B175" s="364"/>
      <c r="C175" s="445" t="s">
        <v>257</v>
      </c>
      <c r="D175" s="445" t="s">
        <v>218</v>
      </c>
      <c r="E175" s="446" t="s">
        <v>590</v>
      </c>
      <c r="F175" s="447" t="s">
        <v>591</v>
      </c>
      <c r="G175" s="448" t="s">
        <v>113</v>
      </c>
      <c r="H175" s="449">
        <v>445.2</v>
      </c>
      <c r="I175" s="329">
        <v>0</v>
      </c>
      <c r="J175" s="450">
        <f t="shared" si="20"/>
        <v>0</v>
      </c>
      <c r="K175" s="451"/>
      <c r="L175" s="364"/>
      <c r="M175" s="452" t="s">
        <v>171</v>
      </c>
      <c r="N175" s="415" t="s">
        <v>185</v>
      </c>
      <c r="O175" s="453">
        <v>5.5E-2</v>
      </c>
      <c r="P175" s="453">
        <f t="shared" si="21"/>
        <v>24.486000000000001</v>
      </c>
      <c r="Q175" s="453">
        <v>1.5400000000000002E-5</v>
      </c>
      <c r="R175" s="453">
        <f t="shared" si="22"/>
        <v>6.8560800000000005E-3</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592</v>
      </c>
    </row>
    <row r="176" spans="2:65" s="365" customFormat="1" ht="16.5" customHeight="1" x14ac:dyDescent="0.25">
      <c r="B176" s="364"/>
      <c r="C176" s="457" t="s">
        <v>258</v>
      </c>
      <c r="D176" s="457" t="s">
        <v>259</v>
      </c>
      <c r="E176" s="458" t="s">
        <v>594</v>
      </c>
      <c r="F176" s="459" t="s">
        <v>595</v>
      </c>
      <c r="G176" s="460" t="s">
        <v>123</v>
      </c>
      <c r="H176" s="461">
        <v>445.2</v>
      </c>
      <c r="I176" s="330">
        <v>0</v>
      </c>
      <c r="J176" s="462">
        <f t="shared" si="20"/>
        <v>0</v>
      </c>
      <c r="K176" s="463"/>
      <c r="L176" s="464"/>
      <c r="M176" s="465" t="s">
        <v>171</v>
      </c>
      <c r="N176" s="466" t="s">
        <v>185</v>
      </c>
      <c r="O176" s="453">
        <v>0</v>
      </c>
      <c r="P176" s="453">
        <f t="shared" si="21"/>
        <v>0</v>
      </c>
      <c r="Q176" s="453">
        <v>6.62E-3</v>
      </c>
      <c r="R176" s="453">
        <f t="shared" si="22"/>
        <v>2.9472239999999998</v>
      </c>
      <c r="S176" s="453">
        <v>0</v>
      </c>
      <c r="T176" s="454">
        <f t="shared" si="23"/>
        <v>0</v>
      </c>
      <c r="AR176" s="455" t="s">
        <v>115</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596</v>
      </c>
    </row>
    <row r="177" spans="2:65" s="365" customFormat="1" ht="24.2" customHeight="1" x14ac:dyDescent="0.25">
      <c r="B177" s="364"/>
      <c r="C177" s="445" t="s">
        <v>260</v>
      </c>
      <c r="D177" s="445" t="s">
        <v>218</v>
      </c>
      <c r="E177" s="446" t="s">
        <v>598</v>
      </c>
      <c r="F177" s="447" t="s">
        <v>599</v>
      </c>
      <c r="G177" s="448" t="s">
        <v>111</v>
      </c>
      <c r="H177" s="449">
        <v>11</v>
      </c>
      <c r="I177" s="329">
        <v>0</v>
      </c>
      <c r="J177" s="450">
        <f t="shared" si="20"/>
        <v>0</v>
      </c>
      <c r="K177" s="451"/>
      <c r="L177" s="364"/>
      <c r="M177" s="452" t="s">
        <v>171</v>
      </c>
      <c r="N177" s="415" t="s">
        <v>185</v>
      </c>
      <c r="O177" s="453">
        <v>0.19703000000000001</v>
      </c>
      <c r="P177" s="453">
        <f t="shared" si="21"/>
        <v>2.1673300000000002</v>
      </c>
      <c r="Q177" s="453">
        <v>6.3000000000000003E-4</v>
      </c>
      <c r="R177" s="453">
        <f t="shared" si="22"/>
        <v>6.9300000000000004E-3</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600</v>
      </c>
    </row>
    <row r="178" spans="2:65" s="365" customFormat="1" ht="24.2" customHeight="1" x14ac:dyDescent="0.25">
      <c r="B178" s="364"/>
      <c r="C178" s="445" t="s">
        <v>262</v>
      </c>
      <c r="D178" s="445" t="s">
        <v>218</v>
      </c>
      <c r="E178" s="446" t="s">
        <v>602</v>
      </c>
      <c r="F178" s="447" t="s">
        <v>603</v>
      </c>
      <c r="G178" s="448" t="s">
        <v>113</v>
      </c>
      <c r="H178" s="449">
        <v>98.1</v>
      </c>
      <c r="I178" s="329">
        <v>0</v>
      </c>
      <c r="J178" s="450">
        <f t="shared" si="20"/>
        <v>0</v>
      </c>
      <c r="K178" s="451"/>
      <c r="L178" s="364"/>
      <c r="M178" s="452" t="s">
        <v>171</v>
      </c>
      <c r="N178" s="415" t="s">
        <v>185</v>
      </c>
      <c r="O178" s="453">
        <v>0.48901</v>
      </c>
      <c r="P178" s="453">
        <f t="shared" si="21"/>
        <v>47.971880999999996</v>
      </c>
      <c r="Q178" s="453">
        <v>2.7999999999999998E-4</v>
      </c>
      <c r="R178" s="453">
        <f t="shared" si="22"/>
        <v>2.7467999999999996E-2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604</v>
      </c>
    </row>
    <row r="179" spans="2:65" s="365" customFormat="1" ht="24.2" customHeight="1" x14ac:dyDescent="0.25">
      <c r="B179" s="364"/>
      <c r="C179" s="445" t="s">
        <v>263</v>
      </c>
      <c r="D179" s="445" t="s">
        <v>218</v>
      </c>
      <c r="E179" s="446" t="s">
        <v>606</v>
      </c>
      <c r="F179" s="447" t="s">
        <v>607</v>
      </c>
      <c r="G179" s="448" t="s">
        <v>113</v>
      </c>
      <c r="H179" s="449">
        <v>98.1</v>
      </c>
      <c r="I179" s="329">
        <v>0</v>
      </c>
      <c r="J179" s="450">
        <f t="shared" si="20"/>
        <v>0</v>
      </c>
      <c r="K179" s="451"/>
      <c r="L179" s="364"/>
      <c r="M179" s="452" t="s">
        <v>171</v>
      </c>
      <c r="N179" s="415" t="s">
        <v>185</v>
      </c>
      <c r="O179" s="453">
        <v>0.23601</v>
      </c>
      <c r="P179" s="453">
        <f t="shared" si="21"/>
        <v>23.152580999999998</v>
      </c>
      <c r="Q179" s="453">
        <v>1.818E-4</v>
      </c>
      <c r="R179" s="453">
        <f t="shared" si="22"/>
        <v>1.7834579999999999E-2</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608</v>
      </c>
    </row>
    <row r="180" spans="2:65" s="365" customFormat="1" ht="21.75" customHeight="1" x14ac:dyDescent="0.25">
      <c r="B180" s="364"/>
      <c r="C180" s="445" t="s">
        <v>264</v>
      </c>
      <c r="D180" s="445" t="s">
        <v>218</v>
      </c>
      <c r="E180" s="446" t="s">
        <v>610</v>
      </c>
      <c r="F180" s="447" t="s">
        <v>611</v>
      </c>
      <c r="G180" s="448" t="s">
        <v>114</v>
      </c>
      <c r="H180" s="449">
        <v>15</v>
      </c>
      <c r="I180" s="329">
        <v>0</v>
      </c>
      <c r="J180" s="450">
        <f t="shared" si="20"/>
        <v>0</v>
      </c>
      <c r="K180" s="451"/>
      <c r="L180" s="364"/>
      <c r="M180" s="452" t="s">
        <v>171</v>
      </c>
      <c r="N180" s="415" t="s">
        <v>185</v>
      </c>
      <c r="O180" s="453">
        <v>0.58055999999999996</v>
      </c>
      <c r="P180" s="453">
        <f t="shared" si="21"/>
        <v>8.7083999999999993</v>
      </c>
      <c r="Q180" s="453">
        <v>2.4157202</v>
      </c>
      <c r="R180" s="453">
        <f t="shared" si="22"/>
        <v>36.235802999999997</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612</v>
      </c>
    </row>
    <row r="181" spans="2:65" s="365" customFormat="1" ht="16.5" customHeight="1" x14ac:dyDescent="0.25">
      <c r="B181" s="364"/>
      <c r="C181" s="445" t="s">
        <v>265</v>
      </c>
      <c r="D181" s="445" t="s">
        <v>218</v>
      </c>
      <c r="E181" s="446" t="s">
        <v>614</v>
      </c>
      <c r="F181" s="447" t="s">
        <v>615</v>
      </c>
      <c r="G181" s="448" t="s">
        <v>112</v>
      </c>
      <c r="H181" s="449">
        <v>0.85</v>
      </c>
      <c r="I181" s="329">
        <v>0</v>
      </c>
      <c r="J181" s="450">
        <f t="shared" si="20"/>
        <v>0</v>
      </c>
      <c r="K181" s="451"/>
      <c r="L181" s="364"/>
      <c r="M181" s="452" t="s">
        <v>171</v>
      </c>
      <c r="N181" s="415" t="s">
        <v>185</v>
      </c>
      <c r="O181" s="453">
        <v>15.24</v>
      </c>
      <c r="P181" s="453">
        <f t="shared" si="21"/>
        <v>12.954000000000001</v>
      </c>
      <c r="Q181" s="453">
        <v>1.2029614</v>
      </c>
      <c r="R181" s="453">
        <f t="shared" si="22"/>
        <v>1.0225171899999999</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616</v>
      </c>
    </row>
    <row r="182" spans="2:65" s="365" customFormat="1" ht="21.75" customHeight="1" x14ac:dyDescent="0.25">
      <c r="B182" s="364"/>
      <c r="C182" s="445" t="s">
        <v>266</v>
      </c>
      <c r="D182" s="445" t="s">
        <v>218</v>
      </c>
      <c r="E182" s="446" t="s">
        <v>618</v>
      </c>
      <c r="F182" s="447" t="s">
        <v>619</v>
      </c>
      <c r="G182" s="448" t="s">
        <v>111</v>
      </c>
      <c r="H182" s="449">
        <v>93.6</v>
      </c>
      <c r="I182" s="329">
        <v>0</v>
      </c>
      <c r="J182" s="450">
        <f t="shared" si="20"/>
        <v>0</v>
      </c>
      <c r="K182" s="451"/>
      <c r="L182" s="364"/>
      <c r="M182" s="452" t="s">
        <v>171</v>
      </c>
      <c r="N182" s="415" t="s">
        <v>185</v>
      </c>
      <c r="O182" s="453">
        <v>0.35799999999999998</v>
      </c>
      <c r="P182" s="453">
        <f t="shared" si="21"/>
        <v>33.508799999999994</v>
      </c>
      <c r="Q182" s="453">
        <v>1.5947400000000001E-3</v>
      </c>
      <c r="R182" s="453">
        <f t="shared" si="22"/>
        <v>0.14926766399999999</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620</v>
      </c>
    </row>
    <row r="183" spans="2:65" s="365" customFormat="1" ht="21.75" customHeight="1" x14ac:dyDescent="0.25">
      <c r="B183" s="364"/>
      <c r="C183" s="445" t="s">
        <v>573</v>
      </c>
      <c r="D183" s="445" t="s">
        <v>218</v>
      </c>
      <c r="E183" s="446" t="s">
        <v>622</v>
      </c>
      <c r="F183" s="447" t="s">
        <v>623</v>
      </c>
      <c r="G183" s="448" t="s">
        <v>111</v>
      </c>
      <c r="H183" s="449">
        <v>93.6</v>
      </c>
      <c r="I183" s="329">
        <v>0</v>
      </c>
      <c r="J183" s="450">
        <f t="shared" si="20"/>
        <v>0</v>
      </c>
      <c r="K183" s="451"/>
      <c r="L183" s="364"/>
      <c r="M183" s="452" t="s">
        <v>171</v>
      </c>
      <c r="N183" s="415" t="s">
        <v>185</v>
      </c>
      <c r="O183" s="453">
        <v>0.19900000000000001</v>
      </c>
      <c r="P183" s="453">
        <f t="shared" si="21"/>
        <v>18.6264</v>
      </c>
      <c r="Q183" s="453">
        <v>0</v>
      </c>
      <c r="R183" s="453">
        <f t="shared" si="22"/>
        <v>0</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624</v>
      </c>
    </row>
    <row r="184" spans="2:65" s="365" customFormat="1" ht="16.5" customHeight="1" x14ac:dyDescent="0.25">
      <c r="B184" s="364"/>
      <c r="C184" s="457" t="s">
        <v>577</v>
      </c>
      <c r="D184" s="457" t="s">
        <v>259</v>
      </c>
      <c r="E184" s="458" t="s">
        <v>626</v>
      </c>
      <c r="F184" s="459" t="s">
        <v>627</v>
      </c>
      <c r="G184" s="460" t="s">
        <v>113</v>
      </c>
      <c r="H184" s="461">
        <v>70</v>
      </c>
      <c r="I184" s="330">
        <v>0</v>
      </c>
      <c r="J184" s="462">
        <f t="shared" si="20"/>
        <v>0</v>
      </c>
      <c r="K184" s="463"/>
      <c r="L184" s="464"/>
      <c r="M184" s="465" t="s">
        <v>171</v>
      </c>
      <c r="N184" s="466" t="s">
        <v>185</v>
      </c>
      <c r="O184" s="453">
        <v>0</v>
      </c>
      <c r="P184" s="453">
        <f t="shared" si="21"/>
        <v>0</v>
      </c>
      <c r="Q184" s="453">
        <v>3.6999999999999999E-4</v>
      </c>
      <c r="R184" s="453">
        <f t="shared" si="22"/>
        <v>2.5899999999999999E-2</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628</v>
      </c>
    </row>
    <row r="185" spans="2:65" s="365" customFormat="1" ht="16.5" customHeight="1" x14ac:dyDescent="0.25">
      <c r="B185" s="364"/>
      <c r="C185" s="457" t="s">
        <v>581</v>
      </c>
      <c r="D185" s="457" t="s">
        <v>259</v>
      </c>
      <c r="E185" s="458" t="s">
        <v>630</v>
      </c>
      <c r="F185" s="459" t="s">
        <v>631</v>
      </c>
      <c r="G185" s="460" t="s">
        <v>123</v>
      </c>
      <c r="H185" s="461">
        <v>26</v>
      </c>
      <c r="I185" s="330">
        <v>0</v>
      </c>
      <c r="J185" s="462">
        <f t="shared" si="20"/>
        <v>0</v>
      </c>
      <c r="K185" s="463"/>
      <c r="L185" s="464"/>
      <c r="M185" s="465" t="s">
        <v>171</v>
      </c>
      <c r="N185" s="466" t="s">
        <v>185</v>
      </c>
      <c r="O185" s="453">
        <v>0</v>
      </c>
      <c r="P185" s="453">
        <f t="shared" si="21"/>
        <v>0</v>
      </c>
      <c r="Q185" s="453">
        <v>5.5399999999999998E-3</v>
      </c>
      <c r="R185" s="453">
        <f t="shared" si="22"/>
        <v>0.14404</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632</v>
      </c>
    </row>
    <row r="186" spans="2:65" s="434" customFormat="1" ht="22.9" customHeight="1" x14ac:dyDescent="0.2">
      <c r="B186" s="433"/>
      <c r="D186" s="435" t="s">
        <v>216</v>
      </c>
      <c r="E186" s="443" t="s">
        <v>162</v>
      </c>
      <c r="F186" s="443" t="s">
        <v>633</v>
      </c>
      <c r="I186" s="467"/>
      <c r="J186" s="444">
        <f>BK186</f>
        <v>0</v>
      </c>
      <c r="L186" s="433"/>
      <c r="M186" s="438"/>
      <c r="P186" s="439">
        <f>SUM(P187:P190)</f>
        <v>174.273</v>
      </c>
      <c r="R186" s="439">
        <f>SUM(R187:R190)</f>
        <v>0.1009776</v>
      </c>
      <c r="T186" s="440">
        <f>SUM(T187:T190)</f>
        <v>36.150000000000006</v>
      </c>
      <c r="AR186" s="435" t="s">
        <v>109</v>
      </c>
      <c r="AT186" s="441" t="s">
        <v>216</v>
      </c>
      <c r="AU186" s="441" t="s">
        <v>109</v>
      </c>
      <c r="AY186" s="435" t="s">
        <v>217</v>
      </c>
      <c r="BK186" s="442">
        <f>SUM(BK187:BK190)</f>
        <v>0</v>
      </c>
    </row>
    <row r="187" spans="2:65" s="365" customFormat="1" ht="62.65" customHeight="1" x14ac:dyDescent="0.25">
      <c r="B187" s="364"/>
      <c r="C187" s="445" t="s">
        <v>585</v>
      </c>
      <c r="D187" s="445" t="s">
        <v>218</v>
      </c>
      <c r="E187" s="446" t="s">
        <v>635</v>
      </c>
      <c r="F187" s="447" t="s">
        <v>3172</v>
      </c>
      <c r="G187" s="448" t="s">
        <v>112</v>
      </c>
      <c r="H187" s="449">
        <f>Ponuka!L148</f>
        <v>25.2</v>
      </c>
      <c r="I187" s="329">
        <v>0</v>
      </c>
      <c r="J187" s="450">
        <f>ROUND(I187*H187,2)</f>
        <v>0</v>
      </c>
      <c r="K187" s="451"/>
      <c r="L187" s="364"/>
      <c r="M187" s="452" t="s">
        <v>171</v>
      </c>
      <c r="N187" s="415" t="s">
        <v>185</v>
      </c>
      <c r="O187" s="453">
        <v>0</v>
      </c>
      <c r="P187" s="453">
        <f>O187*H187</f>
        <v>0</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636</v>
      </c>
    </row>
    <row r="188" spans="2:65" s="365" customFormat="1" ht="66.75" customHeight="1" x14ac:dyDescent="0.25">
      <c r="B188" s="364"/>
      <c r="C188" s="445" t="s">
        <v>589</v>
      </c>
      <c r="D188" s="445" t="s">
        <v>218</v>
      </c>
      <c r="E188" s="446" t="s">
        <v>638</v>
      </c>
      <c r="F188" s="447" t="s">
        <v>3173</v>
      </c>
      <c r="G188" s="448" t="s">
        <v>112</v>
      </c>
      <c r="H188" s="449">
        <f>Ponuka!R148</f>
        <v>4135.5999999999995</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639</v>
      </c>
    </row>
    <row r="189" spans="2:65" s="365" customFormat="1" ht="24.2" customHeight="1" x14ac:dyDescent="0.25">
      <c r="B189" s="364"/>
      <c r="C189" s="445" t="s">
        <v>593</v>
      </c>
      <c r="D189" s="445" t="s">
        <v>218</v>
      </c>
      <c r="E189" s="446" t="s">
        <v>641</v>
      </c>
      <c r="F189" s="447" t="s">
        <v>642</v>
      </c>
      <c r="G189" s="448" t="s">
        <v>112</v>
      </c>
      <c r="H189" s="449">
        <f>H192</f>
        <v>10.8</v>
      </c>
      <c r="I189" s="329">
        <v>0</v>
      </c>
      <c r="J189" s="450">
        <f>ROUND(I189*H189,2)</f>
        <v>0</v>
      </c>
      <c r="K189" s="451"/>
      <c r="L189" s="364"/>
      <c r="M189" s="452" t="s">
        <v>171</v>
      </c>
      <c r="N189" s="415" t="s">
        <v>185</v>
      </c>
      <c r="O189" s="453">
        <v>6.0000000000000001E-3</v>
      </c>
      <c r="P189" s="453">
        <f>O189*H189</f>
        <v>6.480000000000001E-2</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643</v>
      </c>
    </row>
    <row r="190" spans="2:65" s="365" customFormat="1" ht="33" customHeight="1" x14ac:dyDescent="0.25">
      <c r="B190" s="364"/>
      <c r="C190" s="445" t="s">
        <v>601</v>
      </c>
      <c r="D190" s="445" t="s">
        <v>218</v>
      </c>
      <c r="E190" s="446" t="s">
        <v>646</v>
      </c>
      <c r="F190" s="447" t="s">
        <v>647</v>
      </c>
      <c r="G190" s="448" t="s">
        <v>114</v>
      </c>
      <c r="H190" s="449">
        <v>15</v>
      </c>
      <c r="I190" s="329">
        <v>0</v>
      </c>
      <c r="J190" s="450">
        <f>ROUND(I190*H190,2)</f>
        <v>0</v>
      </c>
      <c r="K190" s="451"/>
      <c r="L190" s="364"/>
      <c r="M190" s="452" t="s">
        <v>171</v>
      </c>
      <c r="N190" s="415" t="s">
        <v>185</v>
      </c>
      <c r="O190" s="453">
        <v>11.61388</v>
      </c>
      <c r="P190" s="453">
        <f>O190*H190</f>
        <v>174.20820000000001</v>
      </c>
      <c r="Q190" s="453">
        <v>6.7318400000000002E-3</v>
      </c>
      <c r="R190" s="453">
        <f>Q190*H190</f>
        <v>0.1009776</v>
      </c>
      <c r="S190" s="453">
        <v>2.41</v>
      </c>
      <c r="T190" s="454">
        <f>S190*H190</f>
        <v>36.150000000000006</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648</v>
      </c>
    </row>
    <row r="191" spans="2:65" s="434" customFormat="1" ht="22.9" customHeight="1" x14ac:dyDescent="0.2">
      <c r="B191" s="433"/>
      <c r="D191" s="435" t="s">
        <v>216</v>
      </c>
      <c r="E191" s="443" t="s">
        <v>649</v>
      </c>
      <c r="F191" s="443" t="s">
        <v>650</v>
      </c>
      <c r="I191" s="467"/>
      <c r="J191" s="444">
        <f>BK191</f>
        <v>0</v>
      </c>
      <c r="L191" s="433"/>
      <c r="M191" s="438"/>
      <c r="P191" s="439">
        <f>SUM(P192:P194)</f>
        <v>8.1216000000000008</v>
      </c>
      <c r="R191" s="439">
        <f>SUM(R192:R194)</f>
        <v>0</v>
      </c>
      <c r="T191" s="440">
        <f>SUM(T192:T194)</f>
        <v>0</v>
      </c>
      <c r="AR191" s="435" t="s">
        <v>109</v>
      </c>
      <c r="AT191" s="441" t="s">
        <v>216</v>
      </c>
      <c r="AU191" s="441" t="s">
        <v>109</v>
      </c>
      <c r="AY191" s="435" t="s">
        <v>217</v>
      </c>
      <c r="BK191" s="442">
        <f>SUM(BK192:BK194)</f>
        <v>0</v>
      </c>
    </row>
    <row r="192" spans="2:65" s="365" customFormat="1" ht="24.2" customHeight="1" x14ac:dyDescent="0.25">
      <c r="B192" s="364"/>
      <c r="C192" s="445" t="s">
        <v>605</v>
      </c>
      <c r="D192" s="445" t="s">
        <v>218</v>
      </c>
      <c r="E192" s="446" t="s">
        <v>652</v>
      </c>
      <c r="F192" s="447" t="s">
        <v>653</v>
      </c>
      <c r="G192" s="448" t="s">
        <v>112</v>
      </c>
      <c r="H192" s="449">
        <f>H194</f>
        <v>10.8</v>
      </c>
      <c r="I192" s="329">
        <v>0</v>
      </c>
      <c r="J192" s="450">
        <f>ROUND(I192*H192,2)</f>
        <v>0</v>
      </c>
      <c r="K192" s="451"/>
      <c r="L192" s="364"/>
      <c r="M192" s="452" t="s">
        <v>171</v>
      </c>
      <c r="N192" s="415" t="s">
        <v>185</v>
      </c>
      <c r="O192" s="453">
        <v>0.59799999999999998</v>
      </c>
      <c r="P192" s="453">
        <f>O192*H192</f>
        <v>6.4584000000000001</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654</v>
      </c>
    </row>
    <row r="193" spans="2:65" s="365" customFormat="1" ht="24.2" customHeight="1" x14ac:dyDescent="0.25">
      <c r="B193" s="364"/>
      <c r="C193" s="445" t="s">
        <v>609</v>
      </c>
      <c r="D193" s="445" t="s">
        <v>218</v>
      </c>
      <c r="E193" s="446" t="s">
        <v>656</v>
      </c>
      <c r="F193" s="447" t="s">
        <v>657</v>
      </c>
      <c r="G193" s="448" t="s">
        <v>112</v>
      </c>
      <c r="H193" s="449">
        <f>H192*22</f>
        <v>237.60000000000002</v>
      </c>
      <c r="I193" s="329">
        <v>0</v>
      </c>
      <c r="J193" s="450">
        <f>ROUND(I193*H193,2)</f>
        <v>0</v>
      </c>
      <c r="K193" s="451"/>
      <c r="L193" s="364"/>
      <c r="M193" s="452" t="s">
        <v>171</v>
      </c>
      <c r="N193" s="415" t="s">
        <v>185</v>
      </c>
      <c r="O193" s="453">
        <v>7.0000000000000001E-3</v>
      </c>
      <c r="P193" s="453">
        <f>O193*H193</f>
        <v>1.6632000000000002</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658</v>
      </c>
    </row>
    <row r="194" spans="2:65" s="365" customFormat="1" ht="16.5" customHeight="1" x14ac:dyDescent="0.25">
      <c r="B194" s="364"/>
      <c r="C194" s="445" t="s">
        <v>613</v>
      </c>
      <c r="D194" s="445" t="s">
        <v>218</v>
      </c>
      <c r="E194" s="446" t="s">
        <v>660</v>
      </c>
      <c r="F194" s="447" t="s">
        <v>3174</v>
      </c>
      <c r="G194" s="448" t="s">
        <v>112</v>
      </c>
      <c r="H194" s="449">
        <f>Ponuka!M148</f>
        <v>10.8</v>
      </c>
      <c r="I194" s="329">
        <v>0</v>
      </c>
      <c r="J194" s="450">
        <f>ROUND(I194*H194,2)</f>
        <v>0</v>
      </c>
      <c r="K194" s="451"/>
      <c r="L194" s="364"/>
      <c r="M194" s="452" t="s">
        <v>171</v>
      </c>
      <c r="N194" s="415" t="s">
        <v>185</v>
      </c>
      <c r="O194" s="453">
        <v>0</v>
      </c>
      <c r="P194" s="453">
        <f>O194*H194</f>
        <v>0</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661</v>
      </c>
    </row>
    <row r="195" spans="2:65" s="434" customFormat="1" ht="25.9" customHeight="1" x14ac:dyDescent="0.2">
      <c r="B195" s="433"/>
      <c r="D195" s="435" t="s">
        <v>216</v>
      </c>
      <c r="E195" s="436" t="s">
        <v>662</v>
      </c>
      <c r="F195" s="436" t="s">
        <v>663</v>
      </c>
      <c r="I195" s="467"/>
      <c r="J195" s="437">
        <f>BK195</f>
        <v>0</v>
      </c>
      <c r="L195" s="433"/>
      <c r="M195" s="438"/>
      <c r="P195" s="439">
        <f>P196+P197</f>
        <v>599.50013999999999</v>
      </c>
      <c r="R195" s="439">
        <f>R196+R197</f>
        <v>0.61966155999999994</v>
      </c>
      <c r="T195" s="440">
        <f>T196+T197</f>
        <v>0</v>
      </c>
      <c r="AR195" s="435" t="s">
        <v>108</v>
      </c>
      <c r="AT195" s="441" t="s">
        <v>216</v>
      </c>
      <c r="AU195" s="441" t="s">
        <v>165</v>
      </c>
      <c r="AY195" s="435" t="s">
        <v>217</v>
      </c>
      <c r="BK195" s="442">
        <f>BK196+BK197</f>
        <v>0</v>
      </c>
    </row>
    <row r="196" spans="2:65" s="365" customFormat="1" ht="33" customHeight="1" x14ac:dyDescent="0.25">
      <c r="B196" s="364"/>
      <c r="C196" s="445" t="s">
        <v>617</v>
      </c>
      <c r="D196" s="445" t="s">
        <v>218</v>
      </c>
      <c r="E196" s="446" t="s">
        <v>665</v>
      </c>
      <c r="F196" s="447" t="s">
        <v>666</v>
      </c>
      <c r="G196" s="448" t="s">
        <v>112</v>
      </c>
      <c r="H196" s="449">
        <v>6577.4269999999997</v>
      </c>
      <c r="I196" s="329">
        <v>0</v>
      </c>
      <c r="J196" s="450">
        <f>ROUND(I196*H196,2)</f>
        <v>0</v>
      </c>
      <c r="K196" s="451"/>
      <c r="L196" s="364"/>
      <c r="M196" s="452" t="s">
        <v>171</v>
      </c>
      <c r="N196" s="415" t="s">
        <v>185</v>
      </c>
      <c r="O196" s="453">
        <v>0.04</v>
      </c>
      <c r="P196" s="453">
        <f>O196*H196</f>
        <v>263.09708000000001</v>
      </c>
      <c r="Q196" s="453">
        <v>0</v>
      </c>
      <c r="R196" s="453">
        <f>Q196*H196</f>
        <v>0</v>
      </c>
      <c r="S196" s="453">
        <v>0</v>
      </c>
      <c r="T196" s="454">
        <f>S196*H196</f>
        <v>0</v>
      </c>
      <c r="AR196" s="455" t="s">
        <v>228</v>
      </c>
      <c r="AT196" s="455" t="s">
        <v>218</v>
      </c>
      <c r="AU196" s="455" t="s">
        <v>109</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228</v>
      </c>
      <c r="BM196" s="455" t="s">
        <v>667</v>
      </c>
    </row>
    <row r="197" spans="2:65" s="434" customFormat="1" ht="22.9" customHeight="1" x14ac:dyDescent="0.2">
      <c r="B197" s="433"/>
      <c r="D197" s="435" t="s">
        <v>216</v>
      </c>
      <c r="E197" s="443" t="s">
        <v>668</v>
      </c>
      <c r="F197" s="443" t="s">
        <v>669</v>
      </c>
      <c r="I197" s="467"/>
      <c r="J197" s="444">
        <f>BK197</f>
        <v>0</v>
      </c>
      <c r="L197" s="433"/>
      <c r="M197" s="438"/>
      <c r="P197" s="439">
        <f>SUM(P198:P200)</f>
        <v>336.40305999999998</v>
      </c>
      <c r="R197" s="439">
        <f>SUM(R198:R200)</f>
        <v>0.61966155999999994</v>
      </c>
      <c r="T197" s="440">
        <f>SUM(T198:T200)</f>
        <v>0</v>
      </c>
      <c r="AR197" s="435" t="s">
        <v>108</v>
      </c>
      <c r="AT197" s="441" t="s">
        <v>216</v>
      </c>
      <c r="AU197" s="441" t="s">
        <v>109</v>
      </c>
      <c r="AY197" s="435" t="s">
        <v>217</v>
      </c>
      <c r="BK197" s="442">
        <f>SUM(BK198:BK200)</f>
        <v>0</v>
      </c>
    </row>
    <row r="198" spans="2:65" s="365" customFormat="1" ht="16.5" customHeight="1" x14ac:dyDescent="0.25">
      <c r="B198" s="364"/>
      <c r="C198" s="445" t="s">
        <v>621</v>
      </c>
      <c r="D198" s="445" t="s">
        <v>218</v>
      </c>
      <c r="E198" s="446" t="s">
        <v>671</v>
      </c>
      <c r="F198" s="447" t="s">
        <v>672</v>
      </c>
      <c r="G198" s="448" t="s">
        <v>111</v>
      </c>
      <c r="H198" s="449">
        <v>266</v>
      </c>
      <c r="I198" s="329">
        <v>0</v>
      </c>
      <c r="J198" s="450">
        <f>ROUND(I198*H198,2)</f>
        <v>0</v>
      </c>
      <c r="K198" s="451"/>
      <c r="L198" s="364"/>
      <c r="M198" s="452" t="s">
        <v>171</v>
      </c>
      <c r="N198" s="415" t="s">
        <v>185</v>
      </c>
      <c r="O198" s="453">
        <v>0.16008</v>
      </c>
      <c r="P198" s="453">
        <f>O198*H198</f>
        <v>42.58128</v>
      </c>
      <c r="Q198" s="453">
        <v>5.9716000000000001E-4</v>
      </c>
      <c r="R198" s="453">
        <f>Q198*H198</f>
        <v>0.15884456</v>
      </c>
      <c r="S198" s="453">
        <v>0</v>
      </c>
      <c r="T198" s="454">
        <f>S198*H198</f>
        <v>0</v>
      </c>
      <c r="AR198" s="455" t="s">
        <v>228</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228</v>
      </c>
      <c r="BM198" s="455" t="s">
        <v>673</v>
      </c>
    </row>
    <row r="199" spans="2:65" s="365" customFormat="1" ht="24.2" customHeight="1" x14ac:dyDescent="0.25">
      <c r="B199" s="364"/>
      <c r="C199" s="445" t="s">
        <v>625</v>
      </c>
      <c r="D199" s="445" t="s">
        <v>218</v>
      </c>
      <c r="E199" s="446" t="s">
        <v>675</v>
      </c>
      <c r="F199" s="447" t="s">
        <v>676</v>
      </c>
      <c r="G199" s="448" t="s">
        <v>111</v>
      </c>
      <c r="H199" s="449">
        <v>266</v>
      </c>
      <c r="I199" s="329">
        <v>0</v>
      </c>
      <c r="J199" s="450">
        <f>ROUND(I199*H199,2)</f>
        <v>0</v>
      </c>
      <c r="K199" s="451"/>
      <c r="L199" s="364"/>
      <c r="M199" s="452" t="s">
        <v>171</v>
      </c>
      <c r="N199" s="415" t="s">
        <v>185</v>
      </c>
      <c r="O199" s="453">
        <v>0.29932999999999998</v>
      </c>
      <c r="P199" s="453">
        <f>O199*H199</f>
        <v>79.621780000000001</v>
      </c>
      <c r="Q199" s="453">
        <v>1.2895000000000001E-3</v>
      </c>
      <c r="R199" s="453">
        <f>Q199*H199</f>
        <v>0.34300700000000001</v>
      </c>
      <c r="S199" s="453">
        <v>0</v>
      </c>
      <c r="T199" s="454">
        <f>S199*H199</f>
        <v>0</v>
      </c>
      <c r="AR199" s="455" t="s">
        <v>228</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228</v>
      </c>
      <c r="BM199" s="455" t="s">
        <v>677</v>
      </c>
    </row>
    <row r="200" spans="2:65" s="365" customFormat="1" ht="24.2" customHeight="1" x14ac:dyDescent="0.25">
      <c r="B200" s="364"/>
      <c r="C200" s="445" t="s">
        <v>629</v>
      </c>
      <c r="D200" s="445" t="s">
        <v>218</v>
      </c>
      <c r="E200" s="446" t="s">
        <v>679</v>
      </c>
      <c r="F200" s="447" t="s">
        <v>680</v>
      </c>
      <c r="G200" s="448" t="s">
        <v>111</v>
      </c>
      <c r="H200" s="449">
        <v>1071</v>
      </c>
      <c r="I200" s="329">
        <v>0</v>
      </c>
      <c r="J200" s="450">
        <f>ROUND(I200*H200,2)</f>
        <v>0</v>
      </c>
      <c r="K200" s="451"/>
      <c r="L200" s="364"/>
      <c r="M200" s="468" t="s">
        <v>171</v>
      </c>
      <c r="N200" s="469" t="s">
        <v>185</v>
      </c>
      <c r="O200" s="470">
        <v>0.2</v>
      </c>
      <c r="P200" s="470">
        <f>O200*H200</f>
        <v>214.20000000000002</v>
      </c>
      <c r="Q200" s="470">
        <v>1.1E-4</v>
      </c>
      <c r="R200" s="470">
        <f>Q200*H200</f>
        <v>0.11781</v>
      </c>
      <c r="S200" s="470">
        <v>0</v>
      </c>
      <c r="T200" s="471">
        <f>S200*H200</f>
        <v>0</v>
      </c>
      <c r="AR200" s="455" t="s">
        <v>228</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228</v>
      </c>
      <c r="BM200" s="455" t="s">
        <v>681</v>
      </c>
    </row>
    <row r="201" spans="2:65" s="365" customFormat="1" ht="6.95" customHeight="1" x14ac:dyDescent="0.25">
      <c r="B201" s="397"/>
      <c r="C201" s="398"/>
      <c r="D201" s="398"/>
      <c r="E201" s="398"/>
      <c r="F201" s="398"/>
      <c r="G201" s="398"/>
      <c r="H201" s="398"/>
      <c r="I201" s="398"/>
      <c r="J201" s="398"/>
      <c r="K201" s="398"/>
      <c r="L201" s="364"/>
    </row>
  </sheetData>
  <sheetProtection algorithmName="SHA-512" hashValue="3uxN/i33vohsfdyTcghLbihXqxgcSEkHUhXqEhiEL7ZsjvPRdfoXrgDi04AAHWNpkCZO40DlpHIvRip4C5n/ww==" saltValue="m+rmc92nD/Yw2w+uwp2UEw==" spinCount="100000" sheet="1" objects="1" scenarios="1"/>
  <autoFilter ref="C127:K200" xr:uid="{00000000-0009-0000-0000-000003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70AB4-494B-4716-9521-9ED9B6C3AF74}">
  <sheetPr codeName="Hárok36">
    <pageSetUpPr fitToPage="1"/>
  </sheetPr>
  <dimension ref="B2:BM227"/>
  <sheetViews>
    <sheetView tabSelected="1" topLeftCell="A126" workbookViewId="0">
      <selection activeCell="I140" sqref="I140"/>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2823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 ÚSEK F '!K6</f>
        <v>Cyklotrasa - Devín_F</v>
      </c>
      <c r="F7" s="860"/>
      <c r="G7" s="860"/>
      <c r="H7" s="860"/>
      <c r="L7" s="360"/>
    </row>
    <row r="8" spans="2:46" s="365" customFormat="1" ht="12" customHeight="1" x14ac:dyDescent="0.25">
      <c r="B8" s="364"/>
      <c r="D8" s="363" t="s">
        <v>408</v>
      </c>
      <c r="L8" s="364"/>
    </row>
    <row r="9" spans="2:46" s="365" customFormat="1" ht="16.5" customHeight="1" x14ac:dyDescent="0.25">
      <c r="B9" s="364"/>
      <c r="E9" s="857" t="s">
        <v>2885</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2154</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2155</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3193</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J113</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ROUND((SUM(BE113:BE114) + SUM(BE134:BE226)),  2)</f>
        <v>0</v>
      </c>
      <c r="G35" s="380"/>
      <c r="H35" s="380"/>
      <c r="I35" s="381">
        <v>0.23</v>
      </c>
      <c r="J35" s="379">
        <f>ROUND(((SUM(BE113:BE114) + SUM(BE134:BE226))*I35),  2)</f>
        <v>0</v>
      </c>
      <c r="L35" s="364"/>
    </row>
    <row r="36" spans="2:12" s="365" customFormat="1" ht="14.45" customHeight="1" x14ac:dyDescent="0.25">
      <c r="B36" s="364"/>
      <c r="E36" s="378" t="s">
        <v>185</v>
      </c>
      <c r="F36" s="382">
        <f>ROUND((SUM(BF113:BF114) + SUM(BF134:BF226)),  2)</f>
        <v>0</v>
      </c>
      <c r="I36" s="383">
        <v>0.23</v>
      </c>
      <c r="J36" s="382">
        <f>ROUND(((SUM(BF113:BF114) + SUM(BF134:BF226))*I36),  2)</f>
        <v>0</v>
      </c>
      <c r="L36" s="364"/>
    </row>
    <row r="37" spans="2:12" s="365" customFormat="1" ht="14.45" hidden="1" customHeight="1" x14ac:dyDescent="0.25">
      <c r="B37" s="364"/>
      <c r="E37" s="363" t="s">
        <v>186</v>
      </c>
      <c r="F37" s="382">
        <f>ROUND((SUM(BG113:BG114) + SUM(BG134:BG226)),  2)</f>
        <v>0</v>
      </c>
      <c r="I37" s="383">
        <v>0.23</v>
      </c>
      <c r="J37" s="382">
        <f>0</f>
        <v>0</v>
      </c>
      <c r="L37" s="364"/>
    </row>
    <row r="38" spans="2:12" s="365" customFormat="1" ht="14.45" hidden="1" customHeight="1" x14ac:dyDescent="0.25">
      <c r="B38" s="364"/>
      <c r="E38" s="363" t="s">
        <v>187</v>
      </c>
      <c r="F38" s="382">
        <f>ROUND((SUM(BH113:BH114) + SUM(BH134:BH226)),  2)</f>
        <v>0</v>
      </c>
      <c r="I38" s="383">
        <v>0.23</v>
      </c>
      <c r="J38" s="382">
        <f>0</f>
        <v>0</v>
      </c>
      <c r="L38" s="364"/>
    </row>
    <row r="39" spans="2:12" s="365" customFormat="1" ht="14.45" hidden="1" customHeight="1" x14ac:dyDescent="0.25">
      <c r="B39" s="364"/>
      <c r="E39" s="378" t="s">
        <v>188</v>
      </c>
      <c r="F39" s="379">
        <f>ROUND((SUM(BI113:BI114) + SUM(BI134:BI226)),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Devín_F</v>
      </c>
      <c r="F85" s="860"/>
      <c r="G85" s="860"/>
      <c r="H85" s="860"/>
      <c r="L85" s="364"/>
    </row>
    <row r="86" spans="2:47" s="365" customFormat="1" ht="12" customHeight="1" x14ac:dyDescent="0.25">
      <c r="B86" s="364"/>
      <c r="C86" s="363" t="s">
        <v>408</v>
      </c>
      <c r="L86" s="364"/>
    </row>
    <row r="87" spans="2:47" s="365" customFormat="1" ht="16.5" customHeight="1" x14ac:dyDescent="0.25">
      <c r="B87" s="364"/>
      <c r="E87" s="857" t="str">
        <f>E9</f>
        <v>200-SO 200.F - Verejné osvetlenie, úsek F</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J134</f>
        <v>0</v>
      </c>
      <c r="L96" s="364"/>
      <c r="AU96" s="357" t="s">
        <v>202</v>
      </c>
    </row>
    <row r="97" spans="2:12" s="405" customFormat="1" ht="24.95" customHeight="1" x14ac:dyDescent="0.25">
      <c r="B97" s="404"/>
      <c r="D97" s="406" t="s">
        <v>410</v>
      </c>
      <c r="E97" s="407"/>
      <c r="F97" s="407"/>
      <c r="G97" s="407"/>
      <c r="H97" s="407"/>
      <c r="I97" s="407"/>
      <c r="J97" s="408">
        <f>J135</f>
        <v>0</v>
      </c>
      <c r="L97" s="404"/>
    </row>
    <row r="98" spans="2:12" s="410" customFormat="1" ht="19.899999999999999" customHeight="1" x14ac:dyDescent="0.25">
      <c r="B98" s="409"/>
      <c r="D98" s="411" t="s">
        <v>411</v>
      </c>
      <c r="E98" s="412"/>
      <c r="F98" s="412"/>
      <c r="G98" s="412"/>
      <c r="H98" s="412"/>
      <c r="I98" s="412"/>
      <c r="J98" s="413">
        <f>J136</f>
        <v>0</v>
      </c>
      <c r="L98" s="409"/>
    </row>
    <row r="99" spans="2:12" s="410" customFormat="1" ht="19.899999999999999" customHeight="1" x14ac:dyDescent="0.25">
      <c r="B99" s="409"/>
      <c r="D99" s="411" t="s">
        <v>412</v>
      </c>
      <c r="E99" s="412"/>
      <c r="F99" s="412"/>
      <c r="G99" s="412"/>
      <c r="H99" s="412"/>
      <c r="I99" s="412"/>
      <c r="J99" s="413">
        <f>J143</f>
        <v>0</v>
      </c>
      <c r="L99" s="409"/>
    </row>
    <row r="100" spans="2:12" s="410" customFormat="1" ht="19.899999999999999" customHeight="1" x14ac:dyDescent="0.25">
      <c r="B100" s="409"/>
      <c r="D100" s="411" t="s">
        <v>413</v>
      </c>
      <c r="E100" s="412"/>
      <c r="F100" s="412"/>
      <c r="G100" s="412"/>
      <c r="H100" s="412"/>
      <c r="I100" s="412"/>
      <c r="J100" s="413">
        <f>J148</f>
        <v>0</v>
      </c>
      <c r="L100" s="409"/>
    </row>
    <row r="101" spans="2:12" s="410" customFormat="1" ht="19.899999999999999" customHeight="1" x14ac:dyDescent="0.25">
      <c r="B101" s="409"/>
      <c r="D101" s="411" t="s">
        <v>683</v>
      </c>
      <c r="E101" s="412"/>
      <c r="F101" s="412"/>
      <c r="G101" s="412"/>
      <c r="H101" s="412"/>
      <c r="I101" s="412"/>
      <c r="J101" s="413">
        <f>J159</f>
        <v>0</v>
      </c>
      <c r="L101" s="409"/>
    </row>
    <row r="102" spans="2:12" s="410" customFormat="1" ht="19.899999999999999" customHeight="1" x14ac:dyDescent="0.25">
      <c r="B102" s="409"/>
      <c r="D102" s="411" t="s">
        <v>953</v>
      </c>
      <c r="E102" s="412"/>
      <c r="F102" s="412"/>
      <c r="G102" s="412"/>
      <c r="H102" s="412"/>
      <c r="I102" s="412"/>
      <c r="J102" s="413">
        <f>J161</f>
        <v>0</v>
      </c>
      <c r="L102" s="409"/>
    </row>
    <row r="103" spans="2:12" s="410" customFormat="1" ht="19.899999999999999" customHeight="1" x14ac:dyDescent="0.25">
      <c r="B103" s="409"/>
      <c r="D103" s="411" t="s">
        <v>414</v>
      </c>
      <c r="E103" s="412"/>
      <c r="F103" s="412"/>
      <c r="G103" s="412"/>
      <c r="H103" s="412"/>
      <c r="I103" s="412"/>
      <c r="J103" s="413">
        <f>J165</f>
        <v>0</v>
      </c>
      <c r="L103" s="409"/>
    </row>
    <row r="104" spans="2:12" s="410" customFormat="1" ht="19.899999999999999" customHeight="1" x14ac:dyDescent="0.25">
      <c r="B104" s="409"/>
      <c r="D104" s="411" t="s">
        <v>415</v>
      </c>
      <c r="E104" s="412"/>
      <c r="F104" s="412"/>
      <c r="G104" s="412"/>
      <c r="H104" s="412"/>
      <c r="I104" s="412"/>
      <c r="J104" s="413">
        <f>J168</f>
        <v>0</v>
      </c>
      <c r="L104" s="409"/>
    </row>
    <row r="105" spans="2:12" s="405" customFormat="1" ht="24.95" customHeight="1" x14ac:dyDescent="0.25">
      <c r="B105" s="404"/>
      <c r="D105" s="406" t="s">
        <v>416</v>
      </c>
      <c r="E105" s="407"/>
      <c r="F105" s="407"/>
      <c r="G105" s="407"/>
      <c r="H105" s="407"/>
      <c r="I105" s="407"/>
      <c r="J105" s="408">
        <f>J173</f>
        <v>0</v>
      </c>
      <c r="L105" s="404"/>
    </row>
    <row r="106" spans="2:12" s="410" customFormat="1" ht="19.899999999999999" customHeight="1" x14ac:dyDescent="0.25">
      <c r="B106" s="409"/>
      <c r="D106" s="411" t="s">
        <v>417</v>
      </c>
      <c r="E106" s="412"/>
      <c r="F106" s="412"/>
      <c r="G106" s="412"/>
      <c r="H106" s="412"/>
      <c r="I106" s="412"/>
      <c r="J106" s="413">
        <f>J174</f>
        <v>0</v>
      </c>
      <c r="L106" s="409"/>
    </row>
    <row r="107" spans="2:12" s="405" customFormat="1" ht="24.95" customHeight="1" x14ac:dyDescent="0.25">
      <c r="B107" s="404"/>
      <c r="D107" s="406" t="s">
        <v>1616</v>
      </c>
      <c r="E107" s="407"/>
      <c r="F107" s="407"/>
      <c r="G107" s="407"/>
      <c r="H107" s="407"/>
      <c r="I107" s="407"/>
      <c r="J107" s="408">
        <f>J181</f>
        <v>0</v>
      </c>
      <c r="L107" s="404"/>
    </row>
    <row r="108" spans="2:12" s="410" customFormat="1" ht="19.899999999999999" customHeight="1" x14ac:dyDescent="0.25">
      <c r="B108" s="409"/>
      <c r="D108" s="411" t="s">
        <v>2156</v>
      </c>
      <c r="E108" s="412"/>
      <c r="F108" s="412"/>
      <c r="G108" s="412"/>
      <c r="H108" s="412"/>
      <c r="I108" s="412"/>
      <c r="J108" s="413">
        <f>J182</f>
        <v>0</v>
      </c>
      <c r="L108" s="409"/>
    </row>
    <row r="109" spans="2:12" s="410" customFormat="1" ht="19.899999999999999" customHeight="1" x14ac:dyDescent="0.25">
      <c r="B109" s="409"/>
      <c r="D109" s="411" t="s">
        <v>1618</v>
      </c>
      <c r="E109" s="412"/>
      <c r="F109" s="412"/>
      <c r="G109" s="412"/>
      <c r="H109" s="412"/>
      <c r="I109" s="412"/>
      <c r="J109" s="413">
        <f>J213</f>
        <v>0</v>
      </c>
      <c r="L109" s="409"/>
    </row>
    <row r="110" spans="2:12" s="405" customFormat="1" ht="24.95" customHeight="1" x14ac:dyDescent="0.25">
      <c r="B110" s="404"/>
      <c r="D110" s="406" t="s">
        <v>2157</v>
      </c>
      <c r="E110" s="407"/>
      <c r="F110" s="407"/>
      <c r="G110" s="407"/>
      <c r="H110" s="407"/>
      <c r="I110" s="407"/>
      <c r="J110" s="408">
        <f>J223</f>
        <v>0</v>
      </c>
      <c r="L110" s="404"/>
    </row>
    <row r="111" spans="2:12" s="365" customFormat="1" ht="21.75" customHeight="1" x14ac:dyDescent="0.25">
      <c r="B111" s="364"/>
      <c r="L111" s="364"/>
    </row>
    <row r="112" spans="2:12" s="365" customFormat="1" ht="6.95" customHeight="1" x14ac:dyDescent="0.25">
      <c r="B112" s="364"/>
      <c r="L112" s="364"/>
    </row>
    <row r="113" spans="2:14" s="365" customFormat="1" ht="29.25" customHeight="1" x14ac:dyDescent="0.25">
      <c r="B113" s="364"/>
      <c r="C113" s="403" t="s">
        <v>3066</v>
      </c>
      <c r="J113" s="414">
        <v>0</v>
      </c>
      <c r="L113" s="364"/>
      <c r="N113" s="415" t="s">
        <v>183</v>
      </c>
    </row>
    <row r="114" spans="2:14" s="365" customFormat="1" ht="18" customHeight="1" x14ac:dyDescent="0.25">
      <c r="B114" s="364"/>
      <c r="L114" s="364"/>
    </row>
    <row r="115" spans="2:14" s="365" customFormat="1" ht="29.25" customHeight="1" x14ac:dyDescent="0.25">
      <c r="B115" s="364"/>
      <c r="C115" s="416" t="s">
        <v>3063</v>
      </c>
      <c r="D115" s="384"/>
      <c r="E115" s="384"/>
      <c r="F115" s="384"/>
      <c r="G115" s="384"/>
      <c r="H115" s="384"/>
      <c r="I115" s="384"/>
      <c r="J115" s="417">
        <f>ROUND(J96+J113,2)</f>
        <v>0</v>
      </c>
      <c r="K115" s="384"/>
      <c r="L115" s="364"/>
    </row>
    <row r="116" spans="2:14" s="365" customFormat="1" ht="6.95" customHeight="1" x14ac:dyDescent="0.25">
      <c r="B116" s="397"/>
      <c r="C116" s="398"/>
      <c r="D116" s="398"/>
      <c r="E116" s="398"/>
      <c r="F116" s="398"/>
      <c r="G116" s="398"/>
      <c r="H116" s="398"/>
      <c r="I116" s="398"/>
      <c r="J116" s="398"/>
      <c r="K116" s="398"/>
      <c r="L116" s="364"/>
    </row>
    <row r="120" spans="2:14" s="365" customFormat="1" ht="6.95" customHeight="1" x14ac:dyDescent="0.25">
      <c r="B120" s="399"/>
      <c r="C120" s="400"/>
      <c r="D120" s="400"/>
      <c r="E120" s="400"/>
      <c r="F120" s="400"/>
      <c r="G120" s="400"/>
      <c r="H120" s="400"/>
      <c r="I120" s="400"/>
      <c r="J120" s="400"/>
      <c r="K120" s="400"/>
      <c r="L120" s="364"/>
    </row>
    <row r="121" spans="2:14" s="365" customFormat="1" ht="24.95" customHeight="1" x14ac:dyDescent="0.25">
      <c r="B121" s="364"/>
      <c r="C121" s="361" t="s">
        <v>203</v>
      </c>
      <c r="L121" s="364"/>
    </row>
    <row r="122" spans="2:14" s="365" customFormat="1" ht="6.95" customHeight="1" x14ac:dyDescent="0.25">
      <c r="B122" s="364"/>
      <c r="L122" s="364"/>
    </row>
    <row r="123" spans="2:14" s="365" customFormat="1" ht="12" customHeight="1" x14ac:dyDescent="0.25">
      <c r="B123" s="364"/>
      <c r="C123" s="363" t="s">
        <v>169</v>
      </c>
      <c r="L123" s="364"/>
    </row>
    <row r="124" spans="2:14" s="365" customFormat="1" ht="16.5" customHeight="1" x14ac:dyDescent="0.25">
      <c r="B124" s="364"/>
      <c r="E124" s="859" t="str">
        <f>E7</f>
        <v>Cyklotrasa - Devín_F</v>
      </c>
      <c r="F124" s="860"/>
      <c r="G124" s="860"/>
      <c r="H124" s="860"/>
      <c r="L124" s="364"/>
    </row>
    <row r="125" spans="2:14" s="365" customFormat="1" ht="12" customHeight="1" x14ac:dyDescent="0.25">
      <c r="B125" s="364"/>
      <c r="C125" s="363" t="s">
        <v>408</v>
      </c>
      <c r="L125" s="364"/>
    </row>
    <row r="126" spans="2:14" s="365" customFormat="1" ht="16.5" customHeight="1" x14ac:dyDescent="0.25">
      <c r="B126" s="364"/>
      <c r="E126" s="857" t="str">
        <f>E9</f>
        <v>200-SO 200.F - Verejné osvetlenie, úsek F</v>
      </c>
      <c r="F126" s="858"/>
      <c r="G126" s="858"/>
      <c r="H126" s="858"/>
      <c r="L126" s="364"/>
    </row>
    <row r="127" spans="2:14" s="365" customFormat="1" ht="6.95" customHeight="1" x14ac:dyDescent="0.25">
      <c r="B127" s="364"/>
      <c r="L127" s="364"/>
    </row>
    <row r="128" spans="2:14" s="365" customFormat="1" ht="12" customHeight="1" x14ac:dyDescent="0.25">
      <c r="B128" s="364"/>
      <c r="C128" s="363" t="s">
        <v>172</v>
      </c>
      <c r="F128" s="366" t="str">
        <f>F12</f>
        <v>Bratislava Devín</v>
      </c>
      <c r="I128" s="363" t="s">
        <v>174</v>
      </c>
      <c r="J128" s="367">
        <f>IF(J12="","",J12)</f>
        <v>45908</v>
      </c>
      <c r="L128" s="364"/>
    </row>
    <row r="129" spans="2:65" s="365" customFormat="1" ht="6.95" customHeight="1" x14ac:dyDescent="0.25">
      <c r="B129" s="364"/>
      <c r="L129" s="364"/>
    </row>
    <row r="130" spans="2:65" s="365" customFormat="1" ht="15.2" customHeight="1" x14ac:dyDescent="0.25">
      <c r="B130" s="364"/>
      <c r="C130" s="363" t="s">
        <v>122</v>
      </c>
      <c r="F130" s="366" t="str">
        <f>E15</f>
        <v>JTRE a. s.,Dvořákovo nábrežie 10,811 02 Bratislava</v>
      </c>
      <c r="I130" s="363" t="s">
        <v>176</v>
      </c>
      <c r="J130" s="370" t="str">
        <f>E21</f>
        <v>PROKOS, s.r.o.</v>
      </c>
      <c r="L130" s="364"/>
    </row>
    <row r="131" spans="2:65" s="365" customFormat="1" ht="15.2" customHeight="1" x14ac:dyDescent="0.25">
      <c r="B131" s="364"/>
      <c r="C131" s="363" t="s">
        <v>175</v>
      </c>
      <c r="F131" s="366" t="str">
        <f>IF(E18="","",E18)</f>
        <v>Hlavné mesto SR Bratislava</v>
      </c>
      <c r="I131" s="363" t="s">
        <v>177</v>
      </c>
      <c r="J131" s="370" t="str">
        <f>E24</f>
        <v>Ing. Ondrej Májek</v>
      </c>
      <c r="L131" s="364"/>
    </row>
    <row r="132" spans="2:65" s="365" customFormat="1" ht="10.35" customHeight="1" x14ac:dyDescent="0.25">
      <c r="B132" s="364"/>
      <c r="L132" s="364"/>
    </row>
    <row r="133" spans="2:65" s="426" customFormat="1" ht="29.25" customHeight="1" x14ac:dyDescent="0.25">
      <c r="B133" s="418"/>
      <c r="C133" s="419" t="s">
        <v>204</v>
      </c>
      <c r="D133" s="420" t="s">
        <v>205</v>
      </c>
      <c r="E133" s="420" t="s">
        <v>206</v>
      </c>
      <c r="F133" s="420" t="s">
        <v>121</v>
      </c>
      <c r="G133" s="420" t="s">
        <v>120</v>
      </c>
      <c r="H133" s="420" t="s">
        <v>207</v>
      </c>
      <c r="I133" s="420" t="s">
        <v>208</v>
      </c>
      <c r="J133" s="421" t="s">
        <v>200</v>
      </c>
      <c r="K133" s="422" t="s">
        <v>209</v>
      </c>
      <c r="L133" s="418"/>
      <c r="M133" s="423" t="s">
        <v>171</v>
      </c>
      <c r="N133" s="424" t="s">
        <v>183</v>
      </c>
      <c r="O133" s="424" t="s">
        <v>210</v>
      </c>
      <c r="P133" s="424" t="s">
        <v>211</v>
      </c>
      <c r="Q133" s="424" t="s">
        <v>212</v>
      </c>
      <c r="R133" s="424" t="s">
        <v>213</v>
      </c>
      <c r="S133" s="424" t="s">
        <v>214</v>
      </c>
      <c r="T133" s="425" t="s">
        <v>215</v>
      </c>
    </row>
    <row r="134" spans="2:65" s="365" customFormat="1" ht="22.9" customHeight="1" x14ac:dyDescent="0.25">
      <c r="B134" s="364"/>
      <c r="C134" s="427" t="s">
        <v>201</v>
      </c>
      <c r="J134" s="428">
        <f>BK134</f>
        <v>0</v>
      </c>
      <c r="L134" s="364"/>
      <c r="M134" s="429"/>
      <c r="N134" s="371"/>
      <c r="O134" s="371"/>
      <c r="P134" s="430">
        <f>P135+P173+P181+P223</f>
        <v>1801.10619286</v>
      </c>
      <c r="Q134" s="371"/>
      <c r="R134" s="430">
        <f>R135+R173+R181+R223</f>
        <v>59.140367705179997</v>
      </c>
      <c r="S134" s="371"/>
      <c r="T134" s="431">
        <f>T135+T173+T181+T223</f>
        <v>38.9846</v>
      </c>
      <c r="AT134" s="357" t="s">
        <v>216</v>
      </c>
      <c r="AU134" s="357" t="s">
        <v>202</v>
      </c>
      <c r="BK134" s="432">
        <f>BK135+BK173+BK181+BK223</f>
        <v>0</v>
      </c>
    </row>
    <row r="135" spans="2:65" s="434" customFormat="1" ht="25.9" customHeight="1" x14ac:dyDescent="0.2">
      <c r="B135" s="433"/>
      <c r="D135" s="435" t="s">
        <v>216</v>
      </c>
      <c r="E135" s="436" t="s">
        <v>418</v>
      </c>
      <c r="F135" s="436" t="s">
        <v>419</v>
      </c>
      <c r="J135" s="437">
        <f>BK135</f>
        <v>0</v>
      </c>
      <c r="L135" s="433"/>
      <c r="M135" s="438"/>
      <c r="P135" s="439">
        <f>P136+P143+P148+P159+P161+P165+P168</f>
        <v>176.01343157999997</v>
      </c>
      <c r="R135" s="439">
        <f>R136+R143+R148+R159+R161+R165+R168</f>
        <v>10.541389191520002</v>
      </c>
      <c r="T135" s="440">
        <f>T136+T143+T148+T159+T161+T165+T168</f>
        <v>38.9846</v>
      </c>
      <c r="AR135" s="435" t="s">
        <v>109</v>
      </c>
      <c r="AT135" s="441" t="s">
        <v>216</v>
      </c>
      <c r="AU135" s="441" t="s">
        <v>165</v>
      </c>
      <c r="AY135" s="435" t="s">
        <v>217</v>
      </c>
      <c r="BK135" s="442">
        <f>BK136+BK143+BK148+BK159+BK161+BK165+BK168</f>
        <v>0</v>
      </c>
    </row>
    <row r="136" spans="2:65" s="434" customFormat="1" ht="22.9" customHeight="1" x14ac:dyDescent="0.2">
      <c r="B136" s="433"/>
      <c r="D136" s="435" t="s">
        <v>216</v>
      </c>
      <c r="E136" s="443" t="s">
        <v>109</v>
      </c>
      <c r="F136" s="443" t="s">
        <v>220</v>
      </c>
      <c r="J136" s="444">
        <f>BK136</f>
        <v>0</v>
      </c>
      <c r="L136" s="433"/>
      <c r="M136" s="438"/>
      <c r="P136" s="439">
        <f>SUM(P137:P142)</f>
        <v>9.2368167799999998</v>
      </c>
      <c r="R136" s="439">
        <f>SUM(R137:R142)</f>
        <v>0</v>
      </c>
      <c r="T136" s="440">
        <f>SUM(T137:T142)</f>
        <v>2.4249999999999998</v>
      </c>
      <c r="AR136" s="435" t="s">
        <v>109</v>
      </c>
      <c r="AT136" s="441" t="s">
        <v>216</v>
      </c>
      <c r="AU136" s="441" t="s">
        <v>109</v>
      </c>
      <c r="AY136" s="435" t="s">
        <v>217</v>
      </c>
      <c r="BK136" s="442">
        <f>SUM(BK137:BK142)</f>
        <v>0</v>
      </c>
    </row>
    <row r="137" spans="2:65" s="365" customFormat="1" ht="24.2" customHeight="1" x14ac:dyDescent="0.25">
      <c r="B137" s="364"/>
      <c r="C137" s="445" t="s">
        <v>109</v>
      </c>
      <c r="D137" s="445" t="s">
        <v>218</v>
      </c>
      <c r="E137" s="446" t="s">
        <v>2886</v>
      </c>
      <c r="F137" s="447" t="s">
        <v>2887</v>
      </c>
      <c r="G137" s="448" t="s">
        <v>111</v>
      </c>
      <c r="H137" s="449">
        <v>5</v>
      </c>
      <c r="I137" s="329">
        <v>0</v>
      </c>
      <c r="J137" s="450">
        <f t="shared" ref="J137:J142" si="0">ROUND(I137*H137,2)</f>
        <v>0</v>
      </c>
      <c r="K137" s="451"/>
      <c r="L137" s="364"/>
      <c r="M137" s="452" t="s">
        <v>171</v>
      </c>
      <c r="N137" s="415" t="s">
        <v>185</v>
      </c>
      <c r="O137" s="453">
        <v>0.35499999999999998</v>
      </c>
      <c r="P137" s="453">
        <f t="shared" ref="P137:P142" si="1">O137*H137</f>
        <v>1.7749999999999999</v>
      </c>
      <c r="Q137" s="453">
        <v>0</v>
      </c>
      <c r="R137" s="453">
        <f t="shared" ref="R137:R142" si="2">Q137*H137</f>
        <v>0</v>
      </c>
      <c r="S137" s="453">
        <v>0.26</v>
      </c>
      <c r="T137" s="454">
        <f t="shared" ref="T137:T142" si="3">S137*H137</f>
        <v>1.3</v>
      </c>
      <c r="AR137" s="455" t="s">
        <v>110</v>
      </c>
      <c r="AT137" s="455" t="s">
        <v>218</v>
      </c>
      <c r="AU137" s="455" t="s">
        <v>108</v>
      </c>
      <c r="AY137" s="357" t="s">
        <v>217</v>
      </c>
      <c r="BE137" s="456">
        <f t="shared" ref="BE137:BE142" si="4">IF(N137="základná",J137,0)</f>
        <v>0</v>
      </c>
      <c r="BF137" s="456">
        <f t="shared" ref="BF137:BF142" si="5">IF(N137="znížená",J137,0)</f>
        <v>0</v>
      </c>
      <c r="BG137" s="456">
        <f t="shared" ref="BG137:BG142" si="6">IF(N137="zákl. prenesená",J137,0)</f>
        <v>0</v>
      </c>
      <c r="BH137" s="456">
        <f t="shared" ref="BH137:BH142" si="7">IF(N137="zníž. prenesená",J137,0)</f>
        <v>0</v>
      </c>
      <c r="BI137" s="456">
        <f t="shared" ref="BI137:BI142" si="8">IF(N137="nulová",J137,0)</f>
        <v>0</v>
      </c>
      <c r="BJ137" s="357" t="s">
        <v>108</v>
      </c>
      <c r="BK137" s="456">
        <f t="shared" ref="BK137:BK142" si="9">ROUND(I137*H137,2)</f>
        <v>0</v>
      </c>
      <c r="BL137" s="357" t="s">
        <v>110</v>
      </c>
      <c r="BM137" s="455" t="s">
        <v>2888</v>
      </c>
    </row>
    <row r="138" spans="2:65" s="365" customFormat="1" ht="33" customHeight="1" x14ac:dyDescent="0.25">
      <c r="B138" s="364"/>
      <c r="C138" s="445" t="s">
        <v>108</v>
      </c>
      <c r="D138" s="445" t="s">
        <v>218</v>
      </c>
      <c r="E138" s="446" t="s">
        <v>815</v>
      </c>
      <c r="F138" s="447" t="s">
        <v>2889</v>
      </c>
      <c r="G138" s="448" t="s">
        <v>111</v>
      </c>
      <c r="H138" s="449">
        <v>5</v>
      </c>
      <c r="I138" s="329">
        <v>0</v>
      </c>
      <c r="J138" s="450">
        <f t="shared" si="0"/>
        <v>0</v>
      </c>
      <c r="K138" s="451"/>
      <c r="L138" s="364"/>
      <c r="M138" s="452" t="s">
        <v>171</v>
      </c>
      <c r="N138" s="415" t="s">
        <v>185</v>
      </c>
      <c r="O138" s="453">
        <v>1.169</v>
      </c>
      <c r="P138" s="453">
        <f t="shared" si="1"/>
        <v>5.8450000000000006</v>
      </c>
      <c r="Q138" s="453">
        <v>0</v>
      </c>
      <c r="R138" s="453">
        <f t="shared" si="2"/>
        <v>0</v>
      </c>
      <c r="S138" s="453">
        <v>0.22500000000000001</v>
      </c>
      <c r="T138" s="454">
        <f t="shared" si="3"/>
        <v>1.125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2890</v>
      </c>
    </row>
    <row r="139" spans="2:65" s="365" customFormat="1" ht="37.9" customHeight="1" x14ac:dyDescent="0.25">
      <c r="B139" s="364"/>
      <c r="C139" s="445" t="s">
        <v>119</v>
      </c>
      <c r="D139" s="445" t="s">
        <v>218</v>
      </c>
      <c r="E139" s="446" t="s">
        <v>712</v>
      </c>
      <c r="F139" s="447" t="s">
        <v>2891</v>
      </c>
      <c r="G139" s="448" t="s">
        <v>114</v>
      </c>
      <c r="H139" s="449">
        <v>9.8170000000000002</v>
      </c>
      <c r="I139" s="329">
        <v>0</v>
      </c>
      <c r="J139" s="450">
        <f t="shared" si="0"/>
        <v>0</v>
      </c>
      <c r="K139" s="451"/>
      <c r="L139" s="364"/>
      <c r="M139" s="452" t="s">
        <v>171</v>
      </c>
      <c r="N139" s="415" t="s">
        <v>185</v>
      </c>
      <c r="O139" s="453">
        <v>4.8899999999999999E-2</v>
      </c>
      <c r="P139" s="453">
        <f t="shared" si="1"/>
        <v>0.48005130000000001</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2892</v>
      </c>
    </row>
    <row r="140" spans="2:65" s="365" customFormat="1" ht="44.25" customHeight="1" x14ac:dyDescent="0.25">
      <c r="B140" s="364"/>
      <c r="C140" s="445" t="s">
        <v>110</v>
      </c>
      <c r="D140" s="445" t="s">
        <v>218</v>
      </c>
      <c r="E140" s="446" t="s">
        <v>714</v>
      </c>
      <c r="F140" s="447" t="s">
        <v>2893</v>
      </c>
      <c r="G140" s="448" t="s">
        <v>114</v>
      </c>
      <c r="H140" s="449">
        <v>196.33199999999999</v>
      </c>
      <c r="I140" s="329">
        <v>0</v>
      </c>
      <c r="J140" s="450">
        <f t="shared" si="0"/>
        <v>0</v>
      </c>
      <c r="K140" s="451"/>
      <c r="L140" s="364"/>
      <c r="M140" s="452" t="s">
        <v>171</v>
      </c>
      <c r="N140" s="415" t="s">
        <v>185</v>
      </c>
      <c r="O140" s="453">
        <v>5.3899999999999998E-3</v>
      </c>
      <c r="P140" s="453">
        <f t="shared" si="1"/>
        <v>1.0582294799999998</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2894</v>
      </c>
    </row>
    <row r="141" spans="2:65" s="365" customFormat="1" ht="21.75" customHeight="1" x14ac:dyDescent="0.25">
      <c r="B141" s="364"/>
      <c r="C141" s="445" t="s">
        <v>118</v>
      </c>
      <c r="D141" s="445" t="s">
        <v>218</v>
      </c>
      <c r="E141" s="446" t="s">
        <v>717</v>
      </c>
      <c r="F141" s="447" t="s">
        <v>224</v>
      </c>
      <c r="G141" s="448" t="s">
        <v>114</v>
      </c>
      <c r="H141" s="449">
        <v>9.8170000000000002</v>
      </c>
      <c r="I141" s="329">
        <v>0</v>
      </c>
      <c r="J141" s="450">
        <f t="shared" si="0"/>
        <v>0</v>
      </c>
      <c r="K141" s="451"/>
      <c r="L141" s="364"/>
      <c r="M141" s="452" t="s">
        <v>171</v>
      </c>
      <c r="N141" s="415" t="s">
        <v>185</v>
      </c>
      <c r="O141" s="453">
        <v>8.0000000000000002E-3</v>
      </c>
      <c r="P141" s="453">
        <f t="shared" si="1"/>
        <v>7.8536000000000009E-2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2895</v>
      </c>
    </row>
    <row r="142" spans="2:65" s="365" customFormat="1" ht="24.2" customHeight="1" x14ac:dyDescent="0.25">
      <c r="B142" s="364"/>
      <c r="C142" s="445" t="s">
        <v>117</v>
      </c>
      <c r="D142" s="445" t="s">
        <v>218</v>
      </c>
      <c r="E142" s="446" t="s">
        <v>1101</v>
      </c>
      <c r="F142" s="447" t="s">
        <v>2896</v>
      </c>
      <c r="G142" s="448" t="s">
        <v>112</v>
      </c>
      <c r="H142" s="449">
        <f>Ponuka!S149</f>
        <v>15.705000000000005</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2897</v>
      </c>
    </row>
    <row r="143" spans="2:65" s="434" customFormat="1" ht="22.9" customHeight="1" x14ac:dyDescent="0.2">
      <c r="B143" s="433"/>
      <c r="D143" s="435" t="s">
        <v>216</v>
      </c>
      <c r="E143" s="443" t="s">
        <v>108</v>
      </c>
      <c r="F143" s="443" t="s">
        <v>469</v>
      </c>
      <c r="I143" s="467"/>
      <c r="J143" s="444">
        <f>BK143</f>
        <v>0</v>
      </c>
      <c r="L143" s="433"/>
      <c r="M143" s="438"/>
      <c r="P143" s="439">
        <f>SUM(P144:P147)</f>
        <v>17.9699028</v>
      </c>
      <c r="R143" s="439">
        <f>SUM(R144:R147)</f>
        <v>9.4868891915199995</v>
      </c>
      <c r="T143" s="440">
        <f>SUM(T144:T147)</f>
        <v>0</v>
      </c>
      <c r="AR143" s="435" t="s">
        <v>109</v>
      </c>
      <c r="AT143" s="441" t="s">
        <v>216</v>
      </c>
      <c r="AU143" s="441" t="s">
        <v>109</v>
      </c>
      <c r="AY143" s="435" t="s">
        <v>217</v>
      </c>
      <c r="BK143" s="442">
        <f>SUM(BK144:BK147)</f>
        <v>0</v>
      </c>
    </row>
    <row r="144" spans="2:65" s="365" customFormat="1" ht="16.5" customHeight="1" x14ac:dyDescent="0.25">
      <c r="B144" s="364"/>
      <c r="C144" s="445" t="s">
        <v>116</v>
      </c>
      <c r="D144" s="445" t="s">
        <v>218</v>
      </c>
      <c r="E144" s="446" t="s">
        <v>2179</v>
      </c>
      <c r="F144" s="447" t="s">
        <v>2180</v>
      </c>
      <c r="G144" s="448" t="s">
        <v>114</v>
      </c>
      <c r="H144" s="449">
        <v>2.0049999999999999</v>
      </c>
      <c r="I144" s="329">
        <v>0</v>
      </c>
      <c r="J144" s="450">
        <f>ROUND(I144*H144,2)</f>
        <v>0</v>
      </c>
      <c r="K144" s="451"/>
      <c r="L144" s="364"/>
      <c r="M144" s="452" t="s">
        <v>171</v>
      </c>
      <c r="N144" s="415" t="s">
        <v>185</v>
      </c>
      <c r="O144" s="453">
        <v>0.58055999999999996</v>
      </c>
      <c r="P144" s="453">
        <f>O144*H144</f>
        <v>1.1640227999999999</v>
      </c>
      <c r="Q144" s="453">
        <v>2.2375227039999999</v>
      </c>
      <c r="R144" s="453">
        <f>Q144*H144</f>
        <v>4.4862330215199995</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2898</v>
      </c>
    </row>
    <row r="145" spans="2:65" s="365" customFormat="1" ht="24.2" customHeight="1" x14ac:dyDescent="0.25">
      <c r="B145" s="364"/>
      <c r="C145" s="457" t="s">
        <v>115</v>
      </c>
      <c r="D145" s="457" t="s">
        <v>259</v>
      </c>
      <c r="E145" s="458" t="s">
        <v>2182</v>
      </c>
      <c r="F145" s="459" t="s">
        <v>2183</v>
      </c>
      <c r="G145" s="460" t="s">
        <v>114</v>
      </c>
      <c r="H145" s="461">
        <v>2.0049999999999999</v>
      </c>
      <c r="I145" s="330">
        <v>0</v>
      </c>
      <c r="J145" s="462">
        <f>ROUND(I145*H145,2)</f>
        <v>0</v>
      </c>
      <c r="K145" s="463"/>
      <c r="L145" s="464"/>
      <c r="M145" s="465" t="s">
        <v>171</v>
      </c>
      <c r="N145" s="466" t="s">
        <v>185</v>
      </c>
      <c r="O145" s="453">
        <v>0</v>
      </c>
      <c r="P145" s="453">
        <f>O145*H145</f>
        <v>0</v>
      </c>
      <c r="Q145" s="453">
        <v>2.1791999999999998</v>
      </c>
      <c r="R145" s="453">
        <f>Q145*H145</f>
        <v>4.3692959999999994</v>
      </c>
      <c r="S145" s="453">
        <v>0</v>
      </c>
      <c r="T145" s="454">
        <f>S145*H145</f>
        <v>0</v>
      </c>
      <c r="AR145" s="455" t="s">
        <v>115</v>
      </c>
      <c r="AT145" s="455" t="s">
        <v>259</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2899</v>
      </c>
    </row>
    <row r="146" spans="2:65" s="365" customFormat="1" ht="21.75" customHeight="1" x14ac:dyDescent="0.25">
      <c r="B146" s="364"/>
      <c r="C146" s="445" t="s">
        <v>162</v>
      </c>
      <c r="D146" s="445" t="s">
        <v>218</v>
      </c>
      <c r="E146" s="446" t="s">
        <v>2185</v>
      </c>
      <c r="F146" s="447" t="s">
        <v>2186</v>
      </c>
      <c r="G146" s="448" t="s">
        <v>111</v>
      </c>
      <c r="H146" s="449">
        <v>11.34</v>
      </c>
      <c r="I146" s="329">
        <v>0</v>
      </c>
      <c r="J146" s="450">
        <f>ROUND(I146*H146,2)</f>
        <v>0</v>
      </c>
      <c r="K146" s="451"/>
      <c r="L146" s="364"/>
      <c r="M146" s="452" t="s">
        <v>171</v>
      </c>
      <c r="N146" s="415" t="s">
        <v>185</v>
      </c>
      <c r="O146" s="453">
        <v>1.052</v>
      </c>
      <c r="P146" s="453">
        <f>O146*H146</f>
        <v>11.929680000000001</v>
      </c>
      <c r="Q146" s="453">
        <v>5.5675500000000003E-2</v>
      </c>
      <c r="R146" s="453">
        <f>Q146*H146</f>
        <v>0.63136017</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2900</v>
      </c>
    </row>
    <row r="147" spans="2:65" s="365" customFormat="1" ht="24.2" customHeight="1" x14ac:dyDescent="0.25">
      <c r="B147" s="364"/>
      <c r="C147" s="445" t="s">
        <v>221</v>
      </c>
      <c r="D147" s="445" t="s">
        <v>218</v>
      </c>
      <c r="E147" s="446" t="s">
        <v>2188</v>
      </c>
      <c r="F147" s="447" t="s">
        <v>2189</v>
      </c>
      <c r="G147" s="448" t="s">
        <v>111</v>
      </c>
      <c r="H147" s="449">
        <v>11.34</v>
      </c>
      <c r="I147" s="329">
        <v>0</v>
      </c>
      <c r="J147" s="450">
        <f>ROUND(I147*H147,2)</f>
        <v>0</v>
      </c>
      <c r="K147" s="451"/>
      <c r="L147" s="364"/>
      <c r="M147" s="452" t="s">
        <v>171</v>
      </c>
      <c r="N147" s="415" t="s">
        <v>185</v>
      </c>
      <c r="O147" s="453">
        <v>0.43</v>
      </c>
      <c r="P147" s="453">
        <f>O147*H147</f>
        <v>4.8761999999999999</v>
      </c>
      <c r="Q147" s="453">
        <v>0</v>
      </c>
      <c r="R147" s="453">
        <f>Q147*H147</f>
        <v>0</v>
      </c>
      <c r="S147" s="453">
        <v>0</v>
      </c>
      <c r="T147" s="454">
        <f>S147*H147</f>
        <v>0</v>
      </c>
      <c r="AR147" s="455" t="s">
        <v>110</v>
      </c>
      <c r="AT147" s="455" t="s">
        <v>218</v>
      </c>
      <c r="AU147" s="455" t="s">
        <v>108</v>
      </c>
      <c r="AY147" s="357" t="s">
        <v>217</v>
      </c>
      <c r="BE147" s="456">
        <f>IF(N147="základná",J147,0)</f>
        <v>0</v>
      </c>
      <c r="BF147" s="456">
        <f>IF(N147="znížená",J147,0)</f>
        <v>0</v>
      </c>
      <c r="BG147" s="456">
        <f>IF(N147="zákl. prenesená",J147,0)</f>
        <v>0</v>
      </c>
      <c r="BH147" s="456">
        <f>IF(N147="zníž. prenesená",J147,0)</f>
        <v>0</v>
      </c>
      <c r="BI147" s="456">
        <f>IF(N147="nulová",J147,0)</f>
        <v>0</v>
      </c>
      <c r="BJ147" s="357" t="s">
        <v>108</v>
      </c>
      <c r="BK147" s="456">
        <f>ROUND(I147*H147,2)</f>
        <v>0</v>
      </c>
      <c r="BL147" s="357" t="s">
        <v>110</v>
      </c>
      <c r="BM147" s="455" t="s">
        <v>2901</v>
      </c>
    </row>
    <row r="148" spans="2:65" s="434" customFormat="1" ht="22.9" customHeight="1" x14ac:dyDescent="0.2">
      <c r="B148" s="433"/>
      <c r="D148" s="435" t="s">
        <v>216</v>
      </c>
      <c r="E148" s="443" t="s">
        <v>119</v>
      </c>
      <c r="F148" s="443" t="s">
        <v>541</v>
      </c>
      <c r="I148" s="467"/>
      <c r="J148" s="444">
        <f>BK148</f>
        <v>0</v>
      </c>
      <c r="L148" s="433"/>
      <c r="M148" s="438"/>
      <c r="P148" s="439">
        <f>SUM(P149:P158)</f>
        <v>35.233999999999995</v>
      </c>
      <c r="R148" s="439">
        <f>SUM(R149:R158)</f>
        <v>0.2920000000000012</v>
      </c>
      <c r="T148" s="440">
        <f>SUM(T149:T158)</f>
        <v>0</v>
      </c>
      <c r="AR148" s="435" t="s">
        <v>109</v>
      </c>
      <c r="AT148" s="441" t="s">
        <v>216</v>
      </c>
      <c r="AU148" s="441" t="s">
        <v>109</v>
      </c>
      <c r="AY148" s="435" t="s">
        <v>217</v>
      </c>
      <c r="BK148" s="442">
        <f>SUM(BK149:BK158)</f>
        <v>0</v>
      </c>
    </row>
    <row r="149" spans="2:65" s="365" customFormat="1" ht="16.5" customHeight="1" x14ac:dyDescent="0.25">
      <c r="B149" s="364"/>
      <c r="C149" s="445" t="s">
        <v>222</v>
      </c>
      <c r="D149" s="445" t="s">
        <v>218</v>
      </c>
      <c r="E149" s="446" t="s">
        <v>2197</v>
      </c>
      <c r="F149" s="447" t="s">
        <v>2198</v>
      </c>
      <c r="G149" s="448" t="s">
        <v>2199</v>
      </c>
      <c r="H149" s="449">
        <v>5</v>
      </c>
      <c r="I149" s="329">
        <v>0</v>
      </c>
      <c r="J149" s="450">
        <f t="shared" ref="J149:J158" si="10">ROUND(I149*H149,2)</f>
        <v>0</v>
      </c>
      <c r="K149" s="451"/>
      <c r="L149" s="364"/>
      <c r="M149" s="452" t="s">
        <v>171</v>
      </c>
      <c r="N149" s="415" t="s">
        <v>185</v>
      </c>
      <c r="O149" s="453">
        <v>4.8000000000000001E-2</v>
      </c>
      <c r="P149" s="453">
        <f t="shared" ref="P149:P158" si="11">O149*H149</f>
        <v>0.24</v>
      </c>
      <c r="Q149" s="453">
        <v>0</v>
      </c>
      <c r="R149" s="453">
        <f t="shared" ref="R149:R158" si="12">Q149*H149</f>
        <v>0</v>
      </c>
      <c r="S149" s="453">
        <v>0</v>
      </c>
      <c r="T149" s="454">
        <f t="shared" ref="T149:T158" si="13">S149*H149</f>
        <v>0</v>
      </c>
      <c r="AR149" s="455" t="s">
        <v>110</v>
      </c>
      <c r="AT149" s="455" t="s">
        <v>218</v>
      </c>
      <c r="AU149" s="455" t="s">
        <v>108</v>
      </c>
      <c r="AY149" s="357" t="s">
        <v>217</v>
      </c>
      <c r="BE149" s="456">
        <f t="shared" ref="BE149:BE158" si="14">IF(N149="základná",J149,0)</f>
        <v>0</v>
      </c>
      <c r="BF149" s="456">
        <f t="shared" ref="BF149:BF158" si="15">IF(N149="znížená",J149,0)</f>
        <v>0</v>
      </c>
      <c r="BG149" s="456">
        <f t="shared" ref="BG149:BG158" si="16">IF(N149="zákl. prenesená",J149,0)</f>
        <v>0</v>
      </c>
      <c r="BH149" s="456">
        <f t="shared" ref="BH149:BH158" si="17">IF(N149="zníž. prenesená",J149,0)</f>
        <v>0</v>
      </c>
      <c r="BI149" s="456">
        <f t="shared" ref="BI149:BI158" si="18">IF(N149="nulová",J149,0)</f>
        <v>0</v>
      </c>
      <c r="BJ149" s="357" t="s">
        <v>108</v>
      </c>
      <c r="BK149" s="456">
        <f t="shared" ref="BK149:BK158" si="19">ROUND(I149*H149,2)</f>
        <v>0</v>
      </c>
      <c r="BL149" s="357" t="s">
        <v>110</v>
      </c>
      <c r="BM149" s="455" t="s">
        <v>2902</v>
      </c>
    </row>
    <row r="150" spans="2:65" s="365" customFormat="1" ht="16.5" customHeight="1" x14ac:dyDescent="0.25">
      <c r="B150" s="364"/>
      <c r="C150" s="445" t="s">
        <v>223</v>
      </c>
      <c r="D150" s="445" t="s">
        <v>218</v>
      </c>
      <c r="E150" s="446" t="s">
        <v>2201</v>
      </c>
      <c r="F150" s="447" t="s">
        <v>2202</v>
      </c>
      <c r="G150" s="448" t="s">
        <v>2199</v>
      </c>
      <c r="H150" s="449">
        <v>5</v>
      </c>
      <c r="I150" s="329">
        <v>0</v>
      </c>
      <c r="J150" s="450">
        <f t="shared" si="10"/>
        <v>0</v>
      </c>
      <c r="K150" s="451"/>
      <c r="L150" s="364"/>
      <c r="M150" s="452" t="s">
        <v>171</v>
      </c>
      <c r="N150" s="415" t="s">
        <v>185</v>
      </c>
      <c r="O150" s="453">
        <v>4.8000000000000001E-2</v>
      </c>
      <c r="P150" s="453">
        <f t="shared" si="11"/>
        <v>0.24</v>
      </c>
      <c r="Q150" s="453">
        <v>0</v>
      </c>
      <c r="R150" s="453">
        <f t="shared" si="12"/>
        <v>0</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2903</v>
      </c>
    </row>
    <row r="151" spans="2:65" s="365" customFormat="1" ht="24.2" customHeight="1" x14ac:dyDescent="0.25">
      <c r="B151" s="364"/>
      <c r="C151" s="445" t="s">
        <v>225</v>
      </c>
      <c r="D151" s="445" t="s">
        <v>218</v>
      </c>
      <c r="E151" s="446" t="s">
        <v>2191</v>
      </c>
      <c r="F151" s="447" t="s">
        <v>2192</v>
      </c>
      <c r="G151" s="448" t="s">
        <v>113</v>
      </c>
      <c r="H151" s="449">
        <v>730</v>
      </c>
      <c r="I151" s="329">
        <v>0</v>
      </c>
      <c r="J151" s="450">
        <f t="shared" si="10"/>
        <v>0</v>
      </c>
      <c r="K151" s="451"/>
      <c r="L151" s="364"/>
      <c r="M151" s="452" t="s">
        <v>171</v>
      </c>
      <c r="N151" s="415" t="s">
        <v>185</v>
      </c>
      <c r="O151" s="453">
        <v>3.6999999999999998E-2</v>
      </c>
      <c r="P151" s="453">
        <f t="shared" si="11"/>
        <v>27.009999999999998</v>
      </c>
      <c r="Q151" s="453">
        <v>0</v>
      </c>
      <c r="R151" s="453">
        <f t="shared" si="12"/>
        <v>0</v>
      </c>
      <c r="S151" s="453">
        <v>0</v>
      </c>
      <c r="T151" s="454">
        <f t="shared" si="13"/>
        <v>0</v>
      </c>
      <c r="AR151" s="455" t="s">
        <v>110</v>
      </c>
      <c r="AT151" s="455" t="s">
        <v>218</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2904</v>
      </c>
    </row>
    <row r="152" spans="2:65" s="365" customFormat="1" ht="24.2" customHeight="1" x14ac:dyDescent="0.25">
      <c r="B152" s="364"/>
      <c r="C152" s="457" t="s">
        <v>226</v>
      </c>
      <c r="D152" s="457" t="s">
        <v>259</v>
      </c>
      <c r="E152" s="458" t="s">
        <v>2194</v>
      </c>
      <c r="F152" s="459" t="s">
        <v>2195</v>
      </c>
      <c r="G152" s="460" t="s">
        <v>113</v>
      </c>
      <c r="H152" s="461">
        <v>730.00000000000296</v>
      </c>
      <c r="I152" s="330">
        <v>0</v>
      </c>
      <c r="J152" s="462">
        <f t="shared" si="10"/>
        <v>0</v>
      </c>
      <c r="K152" s="463"/>
      <c r="L152" s="464"/>
      <c r="M152" s="465" t="s">
        <v>171</v>
      </c>
      <c r="N152" s="466" t="s">
        <v>185</v>
      </c>
      <c r="O152" s="453">
        <v>0</v>
      </c>
      <c r="P152" s="453">
        <f t="shared" si="11"/>
        <v>0</v>
      </c>
      <c r="Q152" s="453">
        <v>4.0000000000000002E-4</v>
      </c>
      <c r="R152" s="453">
        <f t="shared" si="12"/>
        <v>0.2920000000000012</v>
      </c>
      <c r="S152" s="453">
        <v>0</v>
      </c>
      <c r="T152" s="454">
        <f t="shared" si="13"/>
        <v>0</v>
      </c>
      <c r="AR152" s="455" t="s">
        <v>115</v>
      </c>
      <c r="AT152" s="455" t="s">
        <v>259</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2905</v>
      </c>
    </row>
    <row r="153" spans="2:65" s="365" customFormat="1" ht="21.75" customHeight="1" x14ac:dyDescent="0.25">
      <c r="B153" s="364"/>
      <c r="C153" s="445" t="s">
        <v>227</v>
      </c>
      <c r="D153" s="445" t="s">
        <v>218</v>
      </c>
      <c r="E153" s="446" t="s">
        <v>2214</v>
      </c>
      <c r="F153" s="447" t="s">
        <v>2215</v>
      </c>
      <c r="G153" s="448" t="s">
        <v>123</v>
      </c>
      <c r="H153" s="449">
        <v>2</v>
      </c>
      <c r="I153" s="329">
        <v>0</v>
      </c>
      <c r="J153" s="450">
        <f t="shared" si="10"/>
        <v>0</v>
      </c>
      <c r="K153" s="451"/>
      <c r="L153" s="364"/>
      <c r="M153" s="452" t="s">
        <v>171</v>
      </c>
      <c r="N153" s="415" t="s">
        <v>185</v>
      </c>
      <c r="O153" s="453">
        <v>0.14799999999999999</v>
      </c>
      <c r="P153" s="453">
        <f t="shared" si="11"/>
        <v>0.29599999999999999</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2906</v>
      </c>
    </row>
    <row r="154" spans="2:65" s="365" customFormat="1" ht="16.5" customHeight="1" x14ac:dyDescent="0.25">
      <c r="B154" s="364"/>
      <c r="C154" s="445" t="s">
        <v>228</v>
      </c>
      <c r="D154" s="445" t="s">
        <v>218</v>
      </c>
      <c r="E154" s="446" t="s">
        <v>2217</v>
      </c>
      <c r="F154" s="447" t="s">
        <v>2218</v>
      </c>
      <c r="G154" s="448" t="s">
        <v>123</v>
      </c>
      <c r="H154" s="449">
        <v>2</v>
      </c>
      <c r="I154" s="329">
        <v>0</v>
      </c>
      <c r="J154" s="450">
        <f t="shared" si="10"/>
        <v>0</v>
      </c>
      <c r="K154" s="451"/>
      <c r="L154" s="364"/>
      <c r="M154" s="452" t="s">
        <v>171</v>
      </c>
      <c r="N154" s="415" t="s">
        <v>185</v>
      </c>
      <c r="O154" s="453">
        <v>0</v>
      </c>
      <c r="P154" s="453">
        <f t="shared" si="11"/>
        <v>0</v>
      </c>
      <c r="Q154" s="453">
        <v>0</v>
      </c>
      <c r="R154" s="453">
        <f t="shared" si="12"/>
        <v>0</v>
      </c>
      <c r="S154" s="453">
        <v>0</v>
      </c>
      <c r="T154" s="454">
        <f t="shared" si="13"/>
        <v>0</v>
      </c>
      <c r="AR154" s="455" t="s">
        <v>2207</v>
      </c>
      <c r="AT154" s="455" t="s">
        <v>218</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2207</v>
      </c>
      <c r="BM154" s="455" t="s">
        <v>2907</v>
      </c>
    </row>
    <row r="155" spans="2:65" s="365" customFormat="1" ht="24.2" customHeight="1" x14ac:dyDescent="0.25">
      <c r="B155" s="364"/>
      <c r="C155" s="445" t="s">
        <v>229</v>
      </c>
      <c r="D155" s="445" t="s">
        <v>218</v>
      </c>
      <c r="E155" s="446" t="s">
        <v>2211</v>
      </c>
      <c r="F155" s="447" t="s">
        <v>2212</v>
      </c>
      <c r="G155" s="448" t="s">
        <v>123</v>
      </c>
      <c r="H155" s="449">
        <v>4</v>
      </c>
      <c r="I155" s="329">
        <v>0</v>
      </c>
      <c r="J155" s="450">
        <f t="shared" si="10"/>
        <v>0</v>
      </c>
      <c r="K155" s="451"/>
      <c r="L155" s="364"/>
      <c r="M155" s="452" t="s">
        <v>171</v>
      </c>
      <c r="N155" s="415" t="s">
        <v>185</v>
      </c>
      <c r="O155" s="453">
        <v>0</v>
      </c>
      <c r="P155" s="453">
        <f t="shared" si="11"/>
        <v>0</v>
      </c>
      <c r="Q155" s="453">
        <v>0</v>
      </c>
      <c r="R155" s="453">
        <f t="shared" si="12"/>
        <v>0</v>
      </c>
      <c r="S155" s="453">
        <v>0</v>
      </c>
      <c r="T155" s="454">
        <f t="shared" si="13"/>
        <v>0</v>
      </c>
      <c r="AR155" s="455" t="s">
        <v>2207</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2207</v>
      </c>
      <c r="BM155" s="455" t="s">
        <v>2908</v>
      </c>
    </row>
    <row r="156" spans="2:65" s="365" customFormat="1" ht="16.5" customHeight="1" x14ac:dyDescent="0.25">
      <c r="B156" s="364"/>
      <c r="C156" s="445" t="s">
        <v>231</v>
      </c>
      <c r="D156" s="445" t="s">
        <v>218</v>
      </c>
      <c r="E156" s="446" t="s">
        <v>1654</v>
      </c>
      <c r="F156" s="447" t="s">
        <v>2209</v>
      </c>
      <c r="G156" s="448" t="s">
        <v>123</v>
      </c>
      <c r="H156" s="449">
        <v>4</v>
      </c>
      <c r="I156" s="329">
        <v>0</v>
      </c>
      <c r="J156" s="450">
        <f t="shared" si="10"/>
        <v>0</v>
      </c>
      <c r="K156" s="451"/>
      <c r="L156" s="364"/>
      <c r="M156" s="452" t="s">
        <v>171</v>
      </c>
      <c r="N156" s="415" t="s">
        <v>185</v>
      </c>
      <c r="O156" s="453">
        <v>1.4770000000000001</v>
      </c>
      <c r="P156" s="453">
        <f t="shared" si="11"/>
        <v>5.9080000000000004</v>
      </c>
      <c r="Q156" s="453">
        <v>0</v>
      </c>
      <c r="R156" s="453">
        <f t="shared" si="12"/>
        <v>0</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2909</v>
      </c>
    </row>
    <row r="157" spans="2:65" s="365" customFormat="1" ht="16.5" customHeight="1" x14ac:dyDescent="0.25">
      <c r="B157" s="364"/>
      <c r="C157" s="445" t="s">
        <v>232</v>
      </c>
      <c r="D157" s="445" t="s">
        <v>218</v>
      </c>
      <c r="E157" s="446" t="s">
        <v>2205</v>
      </c>
      <c r="F157" s="447" t="s">
        <v>2206</v>
      </c>
      <c r="G157" s="448" t="s">
        <v>123</v>
      </c>
      <c r="H157" s="449">
        <v>28</v>
      </c>
      <c r="I157" s="329">
        <v>0</v>
      </c>
      <c r="J157" s="450">
        <f t="shared" si="10"/>
        <v>0</v>
      </c>
      <c r="K157" s="451"/>
      <c r="L157" s="364"/>
      <c r="M157" s="452" t="s">
        <v>171</v>
      </c>
      <c r="N157" s="415" t="s">
        <v>185</v>
      </c>
      <c r="O157" s="453">
        <v>0</v>
      </c>
      <c r="P157" s="453">
        <f t="shared" si="11"/>
        <v>0</v>
      </c>
      <c r="Q157" s="453">
        <v>0</v>
      </c>
      <c r="R157" s="453">
        <f t="shared" si="12"/>
        <v>0</v>
      </c>
      <c r="S157" s="453">
        <v>0</v>
      </c>
      <c r="T157" s="454">
        <f t="shared" si="13"/>
        <v>0</v>
      </c>
      <c r="AR157" s="455" t="s">
        <v>2207</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2207</v>
      </c>
      <c r="BM157" s="455" t="s">
        <v>2910</v>
      </c>
    </row>
    <row r="158" spans="2:65" s="365" customFormat="1" ht="16.5" customHeight="1" x14ac:dyDescent="0.25">
      <c r="B158" s="364"/>
      <c r="C158" s="445" t="s">
        <v>234</v>
      </c>
      <c r="D158" s="445" t="s">
        <v>218</v>
      </c>
      <c r="E158" s="446" t="s">
        <v>1648</v>
      </c>
      <c r="F158" s="447" t="s">
        <v>1649</v>
      </c>
      <c r="G158" s="448" t="s">
        <v>123</v>
      </c>
      <c r="H158" s="449">
        <v>28</v>
      </c>
      <c r="I158" s="329">
        <v>0</v>
      </c>
      <c r="J158" s="450">
        <f t="shared" si="10"/>
        <v>0</v>
      </c>
      <c r="K158" s="451"/>
      <c r="L158" s="364"/>
      <c r="M158" s="452" t="s">
        <v>171</v>
      </c>
      <c r="N158" s="415" t="s">
        <v>185</v>
      </c>
      <c r="O158" s="453">
        <v>5.5E-2</v>
      </c>
      <c r="P158" s="453">
        <f t="shared" si="11"/>
        <v>1.54</v>
      </c>
      <c r="Q158" s="453">
        <v>0</v>
      </c>
      <c r="R158" s="453">
        <f t="shared" si="12"/>
        <v>0</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2911</v>
      </c>
    </row>
    <row r="159" spans="2:65" s="434" customFormat="1" ht="22.9" customHeight="1" x14ac:dyDescent="0.2">
      <c r="B159" s="433"/>
      <c r="D159" s="435" t="s">
        <v>216</v>
      </c>
      <c r="E159" s="443" t="s">
        <v>118</v>
      </c>
      <c r="F159" s="443" t="s">
        <v>739</v>
      </c>
      <c r="I159" s="467"/>
      <c r="J159" s="444">
        <f>BK159</f>
        <v>0</v>
      </c>
      <c r="L159" s="433"/>
      <c r="M159" s="438"/>
      <c r="P159" s="439">
        <f>P160</f>
        <v>3.8521000000000001</v>
      </c>
      <c r="R159" s="439">
        <f>R160</f>
        <v>0.46250000000000002</v>
      </c>
      <c r="T159" s="440">
        <f>T160</f>
        <v>0</v>
      </c>
      <c r="AR159" s="435" t="s">
        <v>109</v>
      </c>
      <c r="AT159" s="441" t="s">
        <v>216</v>
      </c>
      <c r="AU159" s="441" t="s">
        <v>109</v>
      </c>
      <c r="AY159" s="435" t="s">
        <v>217</v>
      </c>
      <c r="BK159" s="442">
        <f>BK160</f>
        <v>0</v>
      </c>
    </row>
    <row r="160" spans="2:65" s="365" customFormat="1" ht="37.9" customHeight="1" x14ac:dyDescent="0.25">
      <c r="B160" s="364"/>
      <c r="C160" s="445" t="s">
        <v>235</v>
      </c>
      <c r="D160" s="445" t="s">
        <v>218</v>
      </c>
      <c r="E160" s="446" t="s">
        <v>2912</v>
      </c>
      <c r="F160" s="447" t="s">
        <v>261</v>
      </c>
      <c r="G160" s="448" t="s">
        <v>111</v>
      </c>
      <c r="H160" s="449">
        <v>5</v>
      </c>
      <c r="I160" s="329">
        <v>0</v>
      </c>
      <c r="J160" s="450">
        <f>ROUND(I160*H160,2)</f>
        <v>0</v>
      </c>
      <c r="K160" s="451"/>
      <c r="L160" s="364"/>
      <c r="M160" s="452" t="s">
        <v>171</v>
      </c>
      <c r="N160" s="415" t="s">
        <v>185</v>
      </c>
      <c r="O160" s="453">
        <v>0.77041999999999999</v>
      </c>
      <c r="P160" s="453">
        <f>O160*H160</f>
        <v>3.8521000000000001</v>
      </c>
      <c r="Q160" s="453">
        <v>9.2499999999999999E-2</v>
      </c>
      <c r="R160" s="453">
        <f>Q160*H160</f>
        <v>0.46250000000000002</v>
      </c>
      <c r="S160" s="453">
        <v>0</v>
      </c>
      <c r="T160" s="454">
        <f>S160*H160</f>
        <v>0</v>
      </c>
      <c r="AR160" s="455" t="s">
        <v>110</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110</v>
      </c>
      <c r="BM160" s="455" t="s">
        <v>2913</v>
      </c>
    </row>
    <row r="161" spans="2:65" s="434" customFormat="1" ht="22.9" customHeight="1" x14ac:dyDescent="0.2">
      <c r="B161" s="433"/>
      <c r="D161" s="435" t="s">
        <v>216</v>
      </c>
      <c r="E161" s="443" t="s">
        <v>115</v>
      </c>
      <c r="F161" s="443" t="s">
        <v>1023</v>
      </c>
      <c r="I161" s="467"/>
      <c r="J161" s="444">
        <f>BK161</f>
        <v>0</v>
      </c>
      <c r="L161" s="433"/>
      <c r="M161" s="438"/>
      <c r="P161" s="439">
        <f>SUM(P162:P164)</f>
        <v>15.78</v>
      </c>
      <c r="R161" s="439">
        <f>SUM(R162:R164)</f>
        <v>0.3</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236</v>
      </c>
      <c r="D162" s="445" t="s">
        <v>218</v>
      </c>
      <c r="E162" s="446" t="s">
        <v>2220</v>
      </c>
      <c r="F162" s="447" t="s">
        <v>2221</v>
      </c>
      <c r="G162" s="448" t="s">
        <v>123</v>
      </c>
      <c r="H162" s="449">
        <v>4</v>
      </c>
      <c r="I162" s="329">
        <v>0</v>
      </c>
      <c r="J162" s="450">
        <f>ROUND(I162*H162,2)</f>
        <v>0</v>
      </c>
      <c r="K162" s="451"/>
      <c r="L162" s="364"/>
      <c r="M162" s="452" t="s">
        <v>171</v>
      </c>
      <c r="N162" s="415" t="s">
        <v>185</v>
      </c>
      <c r="O162" s="453">
        <v>3.9449999999999998</v>
      </c>
      <c r="P162" s="453">
        <f>O162*H162</f>
        <v>15.78</v>
      </c>
      <c r="Q162" s="453">
        <v>7.4999999999999997E-2</v>
      </c>
      <c r="R162" s="453">
        <f>Q162*H162</f>
        <v>0.3</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2914</v>
      </c>
    </row>
    <row r="163" spans="2:65" s="365" customFormat="1" ht="16.5" customHeight="1" x14ac:dyDescent="0.25">
      <c r="B163" s="364"/>
      <c r="C163" s="445" t="s">
        <v>237</v>
      </c>
      <c r="D163" s="445" t="s">
        <v>218</v>
      </c>
      <c r="E163" s="446" t="s">
        <v>2223</v>
      </c>
      <c r="F163" s="447" t="s">
        <v>2224</v>
      </c>
      <c r="G163" s="448" t="s">
        <v>123</v>
      </c>
      <c r="H163" s="449">
        <v>4</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2915</v>
      </c>
    </row>
    <row r="164" spans="2:65" s="365" customFormat="1" ht="24.2" customHeight="1" x14ac:dyDescent="0.25">
      <c r="B164" s="364"/>
      <c r="C164" s="445" t="s">
        <v>238</v>
      </c>
      <c r="D164" s="445" t="s">
        <v>218</v>
      </c>
      <c r="E164" s="446" t="s">
        <v>2226</v>
      </c>
      <c r="F164" s="447" t="s">
        <v>2227</v>
      </c>
      <c r="G164" s="448" t="s">
        <v>123</v>
      </c>
      <c r="H164" s="449">
        <v>4</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2916</v>
      </c>
    </row>
    <row r="165" spans="2:65" s="434" customFormat="1" ht="22.9" customHeight="1" x14ac:dyDescent="0.2">
      <c r="B165" s="433"/>
      <c r="D165" s="435" t="s">
        <v>216</v>
      </c>
      <c r="E165" s="443" t="s">
        <v>162</v>
      </c>
      <c r="F165" s="443" t="s">
        <v>633</v>
      </c>
      <c r="I165" s="467"/>
      <c r="J165" s="444">
        <f>BK165</f>
        <v>0</v>
      </c>
      <c r="L165" s="433"/>
      <c r="M165" s="438"/>
      <c r="P165" s="439">
        <f>SUM(P166:P167)</f>
        <v>85.117395999999985</v>
      </c>
      <c r="R165" s="439">
        <f>SUM(R166:R167)</f>
        <v>0</v>
      </c>
      <c r="T165" s="440">
        <f>SUM(T166:T167)</f>
        <v>36.559600000000003</v>
      </c>
      <c r="AR165" s="435" t="s">
        <v>109</v>
      </c>
      <c r="AT165" s="441" t="s">
        <v>216</v>
      </c>
      <c r="AU165" s="441" t="s">
        <v>109</v>
      </c>
      <c r="AY165" s="435" t="s">
        <v>217</v>
      </c>
      <c r="BK165" s="442">
        <f>SUM(BK166:BK167)</f>
        <v>0</v>
      </c>
    </row>
    <row r="166" spans="2:65" s="365" customFormat="1" ht="37.9" customHeight="1" x14ac:dyDescent="0.25">
      <c r="B166" s="364"/>
      <c r="C166" s="445" t="s">
        <v>239</v>
      </c>
      <c r="D166" s="445" t="s">
        <v>218</v>
      </c>
      <c r="E166" s="446" t="s">
        <v>1488</v>
      </c>
      <c r="F166" s="447" t="s">
        <v>1489</v>
      </c>
      <c r="G166" s="448" t="s">
        <v>114</v>
      </c>
      <c r="H166" s="449">
        <v>16.617999999999999</v>
      </c>
      <c r="I166" s="329">
        <v>0</v>
      </c>
      <c r="J166" s="450">
        <f>ROUND(I166*H166,2)</f>
        <v>0</v>
      </c>
      <c r="K166" s="451"/>
      <c r="L166" s="364"/>
      <c r="M166" s="452" t="s">
        <v>171</v>
      </c>
      <c r="N166" s="415" t="s">
        <v>185</v>
      </c>
      <c r="O166" s="453">
        <v>5.1219999999999999</v>
      </c>
      <c r="P166" s="453">
        <f>O166*H166</f>
        <v>85.117395999999985</v>
      </c>
      <c r="Q166" s="453">
        <v>0</v>
      </c>
      <c r="R166" s="453">
        <f>Q166*H166</f>
        <v>0</v>
      </c>
      <c r="S166" s="453">
        <v>2.2000000000000002</v>
      </c>
      <c r="T166" s="454">
        <f>S166*H166</f>
        <v>36.559600000000003</v>
      </c>
      <c r="AR166" s="455" t="s">
        <v>110</v>
      </c>
      <c r="AT166" s="455" t="s">
        <v>218</v>
      </c>
      <c r="AU166" s="455" t="s">
        <v>108</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2917</v>
      </c>
    </row>
    <row r="167" spans="2:65" s="365" customFormat="1" ht="62.65" customHeight="1" x14ac:dyDescent="0.25">
      <c r="B167" s="364"/>
      <c r="C167" s="481" t="s">
        <v>240</v>
      </c>
      <c r="D167" s="481" t="s">
        <v>218</v>
      </c>
      <c r="E167" s="479" t="s">
        <v>635</v>
      </c>
      <c r="F167" s="472" t="s">
        <v>3175</v>
      </c>
      <c r="G167" s="473" t="s">
        <v>112</v>
      </c>
      <c r="H167" s="474">
        <f>Ponuka!L149</f>
        <v>27.376999999999999</v>
      </c>
      <c r="I167" s="329">
        <v>0</v>
      </c>
      <c r="J167" s="450">
        <f>ROUND(I167*H167,2)</f>
        <v>0</v>
      </c>
      <c r="K167" s="451"/>
      <c r="L167" s="364"/>
      <c r="M167" s="452" t="s">
        <v>171</v>
      </c>
      <c r="N167" s="415" t="s">
        <v>185</v>
      </c>
      <c r="O167" s="453">
        <v>0</v>
      </c>
      <c r="P167" s="453">
        <f>O167*H167</f>
        <v>0</v>
      </c>
      <c r="Q167" s="453">
        <v>0</v>
      </c>
      <c r="R167" s="453">
        <f>Q167*H167</f>
        <v>0</v>
      </c>
      <c r="S167" s="453">
        <v>0</v>
      </c>
      <c r="T167" s="454">
        <f>S167*H167</f>
        <v>0</v>
      </c>
      <c r="AR167" s="455" t="s">
        <v>110</v>
      </c>
      <c r="AT167" s="455" t="s">
        <v>218</v>
      </c>
      <c r="AU167" s="455" t="s">
        <v>108</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110</v>
      </c>
      <c r="BM167" s="455" t="s">
        <v>2918</v>
      </c>
    </row>
    <row r="168" spans="2:65" s="434" customFormat="1" ht="22.9" customHeight="1" x14ac:dyDescent="0.2">
      <c r="B168" s="433"/>
      <c r="D168" s="435" t="s">
        <v>216</v>
      </c>
      <c r="E168" s="443" t="s">
        <v>649</v>
      </c>
      <c r="F168" s="443" t="s">
        <v>650</v>
      </c>
      <c r="I168" s="467"/>
      <c r="J168" s="444">
        <f>BK168</f>
        <v>0</v>
      </c>
      <c r="L168" s="433"/>
      <c r="M168" s="438"/>
      <c r="P168" s="439">
        <f>SUM(P169:P172)</f>
        <v>8.8232160000000004</v>
      </c>
      <c r="R168" s="439">
        <f>SUM(R169:R172)</f>
        <v>0</v>
      </c>
      <c r="T168" s="440">
        <f>SUM(T169:T172)</f>
        <v>0</v>
      </c>
      <c r="AR168" s="435" t="s">
        <v>109</v>
      </c>
      <c r="AT168" s="441" t="s">
        <v>216</v>
      </c>
      <c r="AU168" s="441" t="s">
        <v>109</v>
      </c>
      <c r="AY168" s="435" t="s">
        <v>217</v>
      </c>
      <c r="BK168" s="442">
        <f>SUM(BK169:BK172)</f>
        <v>0</v>
      </c>
    </row>
    <row r="169" spans="2:65" s="365" customFormat="1" ht="66.75" customHeight="1" x14ac:dyDescent="0.25">
      <c r="B169" s="364"/>
      <c r="C169" s="481" t="s">
        <v>241</v>
      </c>
      <c r="D169" s="481" t="s">
        <v>218</v>
      </c>
      <c r="E169" s="479" t="s">
        <v>638</v>
      </c>
      <c r="F169" s="472" t="s">
        <v>3176</v>
      </c>
      <c r="G169" s="473" t="s">
        <v>112</v>
      </c>
      <c r="H169" s="474">
        <f>Ponuka!R149</f>
        <v>36.644999999999996</v>
      </c>
      <c r="I169" s="329">
        <v>0</v>
      </c>
      <c r="J169" s="450">
        <f>ROUND(I169*H169,2)</f>
        <v>0</v>
      </c>
      <c r="K169" s="451"/>
      <c r="L169" s="364"/>
      <c r="M169" s="452" t="s">
        <v>171</v>
      </c>
      <c r="N169" s="415" t="s">
        <v>185</v>
      </c>
      <c r="O169" s="453">
        <v>0</v>
      </c>
      <c r="P169" s="453">
        <f>O169*H169</f>
        <v>0</v>
      </c>
      <c r="Q169" s="453">
        <v>0</v>
      </c>
      <c r="R169" s="453">
        <f>Q169*H169</f>
        <v>0</v>
      </c>
      <c r="S169" s="453">
        <v>0</v>
      </c>
      <c r="T169" s="454">
        <f>S169*H169</f>
        <v>0</v>
      </c>
      <c r="AR169" s="455" t="s">
        <v>110</v>
      </c>
      <c r="AT169" s="455" t="s">
        <v>218</v>
      </c>
      <c r="AU169" s="455" t="s">
        <v>108</v>
      </c>
      <c r="AY169" s="357" t="s">
        <v>217</v>
      </c>
      <c r="BE169" s="456">
        <f>IF(N169="základná",J169,0)</f>
        <v>0</v>
      </c>
      <c r="BF169" s="456">
        <f>IF(N169="znížená",J169,0)</f>
        <v>0</v>
      </c>
      <c r="BG169" s="456">
        <f>IF(N169="zákl. prenesená",J169,0)</f>
        <v>0</v>
      </c>
      <c r="BH169" s="456">
        <f>IF(N169="zníž. prenesená",J169,0)</f>
        <v>0</v>
      </c>
      <c r="BI169" s="456">
        <f>IF(N169="nulová",J169,0)</f>
        <v>0</v>
      </c>
      <c r="BJ169" s="357" t="s">
        <v>108</v>
      </c>
      <c r="BK169" s="456">
        <f>ROUND(I169*H169,2)</f>
        <v>0</v>
      </c>
      <c r="BL169" s="357" t="s">
        <v>110</v>
      </c>
      <c r="BM169" s="455" t="s">
        <v>2919</v>
      </c>
    </row>
    <row r="170" spans="2:65" s="365" customFormat="1" ht="24.2" customHeight="1" x14ac:dyDescent="0.25">
      <c r="B170" s="364"/>
      <c r="C170" s="445" t="s">
        <v>242</v>
      </c>
      <c r="D170" s="445" t="s">
        <v>218</v>
      </c>
      <c r="E170" s="446" t="s">
        <v>652</v>
      </c>
      <c r="F170" s="447" t="s">
        <v>2920</v>
      </c>
      <c r="G170" s="448" t="s">
        <v>112</v>
      </c>
      <c r="H170" s="449">
        <f>Ponuka!M149</f>
        <v>11.733000000000001</v>
      </c>
      <c r="I170" s="329">
        <v>0</v>
      </c>
      <c r="J170" s="450">
        <f>ROUND(I170*H170,2)</f>
        <v>0</v>
      </c>
      <c r="K170" s="451"/>
      <c r="L170" s="364"/>
      <c r="M170" s="452" t="s">
        <v>171</v>
      </c>
      <c r="N170" s="415" t="s">
        <v>185</v>
      </c>
      <c r="O170" s="453">
        <v>0.59799999999999998</v>
      </c>
      <c r="P170" s="453">
        <f>O170*H170</f>
        <v>7.0163339999999996</v>
      </c>
      <c r="Q170" s="453">
        <v>0</v>
      </c>
      <c r="R170" s="453">
        <f>Q170*H170</f>
        <v>0</v>
      </c>
      <c r="S170" s="453">
        <v>0</v>
      </c>
      <c r="T170" s="454">
        <f>S170*H170</f>
        <v>0</v>
      </c>
      <c r="AR170" s="455" t="s">
        <v>110</v>
      </c>
      <c r="AT170" s="455" t="s">
        <v>218</v>
      </c>
      <c r="AU170" s="455" t="s">
        <v>108</v>
      </c>
      <c r="AY170" s="357" t="s">
        <v>217</v>
      </c>
      <c r="BE170" s="456">
        <f>IF(N170="základná",J170,0)</f>
        <v>0</v>
      </c>
      <c r="BF170" s="456">
        <f>IF(N170="znížená",J170,0)</f>
        <v>0</v>
      </c>
      <c r="BG170" s="456">
        <f>IF(N170="zákl. prenesená",J170,0)</f>
        <v>0</v>
      </c>
      <c r="BH170" s="456">
        <f>IF(N170="zníž. prenesená",J170,0)</f>
        <v>0</v>
      </c>
      <c r="BI170" s="456">
        <f>IF(N170="nulová",J170,0)</f>
        <v>0</v>
      </c>
      <c r="BJ170" s="357" t="s">
        <v>108</v>
      </c>
      <c r="BK170" s="456">
        <f>ROUND(I170*H170,2)</f>
        <v>0</v>
      </c>
      <c r="BL170" s="357" t="s">
        <v>110</v>
      </c>
      <c r="BM170" s="455" t="s">
        <v>2921</v>
      </c>
    </row>
    <row r="171" spans="2:65" s="365" customFormat="1" ht="24.2" customHeight="1" x14ac:dyDescent="0.25">
      <c r="B171" s="364"/>
      <c r="C171" s="445" t="s">
        <v>243</v>
      </c>
      <c r="D171" s="445" t="s">
        <v>218</v>
      </c>
      <c r="E171" s="446" t="s">
        <v>942</v>
      </c>
      <c r="F171" s="447" t="s">
        <v>2922</v>
      </c>
      <c r="G171" s="448" t="s">
        <v>112</v>
      </c>
      <c r="H171" s="449">
        <f>H170*22</f>
        <v>258.12600000000003</v>
      </c>
      <c r="I171" s="329">
        <v>0</v>
      </c>
      <c r="J171" s="450">
        <f>ROUND(I171*H171,2)</f>
        <v>0</v>
      </c>
      <c r="K171" s="451"/>
      <c r="L171" s="364"/>
      <c r="M171" s="452" t="s">
        <v>171</v>
      </c>
      <c r="N171" s="415" t="s">
        <v>185</v>
      </c>
      <c r="O171" s="453">
        <v>7.0000000000000001E-3</v>
      </c>
      <c r="P171" s="453">
        <f>O171*H171</f>
        <v>1.8068820000000003</v>
      </c>
      <c r="Q171" s="453">
        <v>0</v>
      </c>
      <c r="R171" s="453">
        <f>Q171*H171</f>
        <v>0</v>
      </c>
      <c r="S171" s="453">
        <v>0</v>
      </c>
      <c r="T171" s="454">
        <f>S171*H171</f>
        <v>0</v>
      </c>
      <c r="AR171" s="455" t="s">
        <v>110</v>
      </c>
      <c r="AT171" s="455" t="s">
        <v>218</v>
      </c>
      <c r="AU171" s="455" t="s">
        <v>108</v>
      </c>
      <c r="AY171" s="357" t="s">
        <v>217</v>
      </c>
      <c r="BE171" s="456">
        <f>IF(N171="základná",J171,0)</f>
        <v>0</v>
      </c>
      <c r="BF171" s="456">
        <f>IF(N171="znížená",J171,0)</f>
        <v>0</v>
      </c>
      <c r="BG171" s="456">
        <f>IF(N171="zákl. prenesená",J171,0)</f>
        <v>0</v>
      </c>
      <c r="BH171" s="456">
        <f>IF(N171="zníž. prenesená",J171,0)</f>
        <v>0</v>
      </c>
      <c r="BI171" s="456">
        <f>IF(N171="nulová",J171,0)</f>
        <v>0</v>
      </c>
      <c r="BJ171" s="357" t="s">
        <v>108</v>
      </c>
      <c r="BK171" s="456">
        <f>ROUND(I171*H171,2)</f>
        <v>0</v>
      </c>
      <c r="BL171" s="357" t="s">
        <v>110</v>
      </c>
      <c r="BM171" s="455" t="s">
        <v>2923</v>
      </c>
    </row>
    <row r="172" spans="2:65" s="365" customFormat="1" ht="24.2" customHeight="1" x14ac:dyDescent="0.25">
      <c r="B172" s="364"/>
      <c r="C172" s="445" t="s">
        <v>244</v>
      </c>
      <c r="D172" s="445" t="s">
        <v>218</v>
      </c>
      <c r="E172" s="446" t="s">
        <v>946</v>
      </c>
      <c r="F172" s="447" t="s">
        <v>3177</v>
      </c>
      <c r="G172" s="448" t="s">
        <v>112</v>
      </c>
      <c r="H172" s="449">
        <f>Ponuka!M149</f>
        <v>11.733000000000001</v>
      </c>
      <c r="I172" s="329">
        <v>0</v>
      </c>
      <c r="J172" s="450">
        <f>ROUND(I172*H172,2)</f>
        <v>0</v>
      </c>
      <c r="K172" s="451"/>
      <c r="L172" s="364"/>
      <c r="M172" s="452" t="s">
        <v>171</v>
      </c>
      <c r="N172" s="415" t="s">
        <v>185</v>
      </c>
      <c r="O172" s="453">
        <v>0</v>
      </c>
      <c r="P172" s="453">
        <f>O172*H172</f>
        <v>0</v>
      </c>
      <c r="Q172" s="453">
        <v>0</v>
      </c>
      <c r="R172" s="453">
        <f>Q172*H172</f>
        <v>0</v>
      </c>
      <c r="S172" s="453">
        <v>0</v>
      </c>
      <c r="T172" s="454">
        <f>S172*H172</f>
        <v>0</v>
      </c>
      <c r="AR172" s="455" t="s">
        <v>110</v>
      </c>
      <c r="AT172" s="455" t="s">
        <v>218</v>
      </c>
      <c r="AU172" s="455" t="s">
        <v>108</v>
      </c>
      <c r="AY172" s="357" t="s">
        <v>217</v>
      </c>
      <c r="BE172" s="456">
        <f>IF(N172="základná",J172,0)</f>
        <v>0</v>
      </c>
      <c r="BF172" s="456">
        <f>IF(N172="znížená",J172,0)</f>
        <v>0</v>
      </c>
      <c r="BG172" s="456">
        <f>IF(N172="zákl. prenesená",J172,0)</f>
        <v>0</v>
      </c>
      <c r="BH172" s="456">
        <f>IF(N172="zníž. prenesená",J172,0)</f>
        <v>0</v>
      </c>
      <c r="BI172" s="456">
        <f>IF(N172="nulová",J172,0)</f>
        <v>0</v>
      </c>
      <c r="BJ172" s="357" t="s">
        <v>108</v>
      </c>
      <c r="BK172" s="456">
        <f>ROUND(I172*H172,2)</f>
        <v>0</v>
      </c>
      <c r="BL172" s="357" t="s">
        <v>110</v>
      </c>
      <c r="BM172" s="455" t="s">
        <v>2924</v>
      </c>
    </row>
    <row r="173" spans="2:65" s="434" customFormat="1" ht="25.9" customHeight="1" x14ac:dyDescent="0.2">
      <c r="B173" s="433"/>
      <c r="D173" s="435" t="s">
        <v>216</v>
      </c>
      <c r="E173" s="436" t="s">
        <v>662</v>
      </c>
      <c r="F173" s="436" t="s">
        <v>663</v>
      </c>
      <c r="I173" s="467"/>
      <c r="J173" s="437">
        <f>BK173</f>
        <v>0</v>
      </c>
      <c r="L173" s="433"/>
      <c r="M173" s="438"/>
      <c r="P173" s="439">
        <f>P174</f>
        <v>7.5728867799999993</v>
      </c>
      <c r="R173" s="439">
        <f>R174</f>
        <v>2.6222513659999998E-2</v>
      </c>
      <c r="T173" s="440">
        <f>T174</f>
        <v>0</v>
      </c>
      <c r="AR173" s="435" t="s">
        <v>108</v>
      </c>
      <c r="AT173" s="441" t="s">
        <v>216</v>
      </c>
      <c r="AU173" s="441" t="s">
        <v>165</v>
      </c>
      <c r="AY173" s="435" t="s">
        <v>217</v>
      </c>
      <c r="BK173" s="442">
        <f>BK174</f>
        <v>0</v>
      </c>
    </row>
    <row r="174" spans="2:65" s="434" customFormat="1" ht="22.9" customHeight="1" x14ac:dyDescent="0.2">
      <c r="B174" s="433"/>
      <c r="D174" s="435" t="s">
        <v>216</v>
      </c>
      <c r="E174" s="443" t="s">
        <v>668</v>
      </c>
      <c r="F174" s="443" t="s">
        <v>669</v>
      </c>
      <c r="I174" s="467"/>
      <c r="J174" s="444">
        <f>BK174</f>
        <v>0</v>
      </c>
      <c r="L174" s="433"/>
      <c r="M174" s="438"/>
      <c r="P174" s="439">
        <f>SUM(P175:P180)</f>
        <v>7.5728867799999993</v>
      </c>
      <c r="R174" s="439">
        <f>SUM(R175:R180)</f>
        <v>2.6222513659999998E-2</v>
      </c>
      <c r="T174" s="440">
        <f>SUM(T175:T180)</f>
        <v>0</v>
      </c>
      <c r="AR174" s="435" t="s">
        <v>108</v>
      </c>
      <c r="AT174" s="441" t="s">
        <v>216</v>
      </c>
      <c r="AU174" s="441" t="s">
        <v>109</v>
      </c>
      <c r="AY174" s="435" t="s">
        <v>217</v>
      </c>
      <c r="BK174" s="442">
        <f>SUM(BK175:BK180)</f>
        <v>0</v>
      </c>
    </row>
    <row r="175" spans="2:65" s="365" customFormat="1" ht="24.2" customHeight="1" x14ac:dyDescent="0.25">
      <c r="B175" s="364"/>
      <c r="C175" s="445" t="s">
        <v>245</v>
      </c>
      <c r="D175" s="445" t="s">
        <v>218</v>
      </c>
      <c r="E175" s="446" t="s">
        <v>2256</v>
      </c>
      <c r="F175" s="447" t="s">
        <v>2257</v>
      </c>
      <c r="G175" s="448" t="s">
        <v>111</v>
      </c>
      <c r="H175" s="449">
        <v>13.371</v>
      </c>
      <c r="I175" s="329">
        <v>0</v>
      </c>
      <c r="J175" s="450">
        <f t="shared" ref="J175:J180" si="20">ROUND(I175*H175,2)</f>
        <v>0</v>
      </c>
      <c r="K175" s="451"/>
      <c r="L175" s="364"/>
      <c r="M175" s="452" t="s">
        <v>171</v>
      </c>
      <c r="N175" s="415" t="s">
        <v>185</v>
      </c>
      <c r="O175" s="453">
        <v>0.16400000000000001</v>
      </c>
      <c r="P175" s="453">
        <f t="shared" ref="P175:P180" si="21">O175*H175</f>
        <v>2.192844</v>
      </c>
      <c r="Q175" s="453">
        <v>5.5345999999999998E-4</v>
      </c>
      <c r="R175" s="453">
        <f t="shared" ref="R175:R180" si="22">Q175*H175</f>
        <v>7.4003136600000003E-3</v>
      </c>
      <c r="S175" s="453">
        <v>0</v>
      </c>
      <c r="T175" s="454">
        <f t="shared" ref="T175:T180" si="23">S175*H175</f>
        <v>0</v>
      </c>
      <c r="AR175" s="455" t="s">
        <v>228</v>
      </c>
      <c r="AT175" s="455" t="s">
        <v>218</v>
      </c>
      <c r="AU175" s="455" t="s">
        <v>108</v>
      </c>
      <c r="AY175" s="357" t="s">
        <v>217</v>
      </c>
      <c r="BE175" s="456">
        <f t="shared" ref="BE175:BE180" si="24">IF(N175="základná",J175,0)</f>
        <v>0</v>
      </c>
      <c r="BF175" s="456">
        <f t="shared" ref="BF175:BF180" si="25">IF(N175="znížená",J175,0)</f>
        <v>0</v>
      </c>
      <c r="BG175" s="456">
        <f t="shared" ref="BG175:BG180" si="26">IF(N175="zákl. prenesená",J175,0)</f>
        <v>0</v>
      </c>
      <c r="BH175" s="456">
        <f t="shared" ref="BH175:BH180" si="27">IF(N175="zníž. prenesená",J175,0)</f>
        <v>0</v>
      </c>
      <c r="BI175" s="456">
        <f t="shared" ref="BI175:BI180" si="28">IF(N175="nulová",J175,0)</f>
        <v>0</v>
      </c>
      <c r="BJ175" s="357" t="s">
        <v>108</v>
      </c>
      <c r="BK175" s="456">
        <f t="shared" ref="BK175:BK180" si="29">ROUND(I175*H175,2)</f>
        <v>0</v>
      </c>
      <c r="BL175" s="357" t="s">
        <v>228</v>
      </c>
      <c r="BM175" s="455" t="s">
        <v>2925</v>
      </c>
    </row>
    <row r="176" spans="2:65" s="365" customFormat="1" ht="24.2" customHeight="1" x14ac:dyDescent="0.25">
      <c r="B176" s="364"/>
      <c r="C176" s="457" t="s">
        <v>246</v>
      </c>
      <c r="D176" s="457" t="s">
        <v>259</v>
      </c>
      <c r="E176" s="458" t="s">
        <v>2259</v>
      </c>
      <c r="F176" s="459" t="s">
        <v>2260</v>
      </c>
      <c r="G176" s="460" t="s">
        <v>536</v>
      </c>
      <c r="H176" s="461">
        <v>2.5419999999999998</v>
      </c>
      <c r="I176" s="330">
        <v>0</v>
      </c>
      <c r="J176" s="462">
        <f t="shared" si="20"/>
        <v>0</v>
      </c>
      <c r="K176" s="463"/>
      <c r="L176" s="464"/>
      <c r="M176" s="465" t="s">
        <v>171</v>
      </c>
      <c r="N176" s="466" t="s">
        <v>185</v>
      </c>
      <c r="O176" s="453">
        <v>0</v>
      </c>
      <c r="P176" s="453">
        <f t="shared" si="21"/>
        <v>0</v>
      </c>
      <c r="Q176" s="453">
        <v>1E-3</v>
      </c>
      <c r="R176" s="453">
        <f t="shared" si="22"/>
        <v>2.542E-3</v>
      </c>
      <c r="S176" s="453">
        <v>0</v>
      </c>
      <c r="T176" s="454">
        <f t="shared" si="23"/>
        <v>0</v>
      </c>
      <c r="AR176" s="455" t="s">
        <v>246</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228</v>
      </c>
      <c r="BM176" s="455" t="s">
        <v>2926</v>
      </c>
    </row>
    <row r="177" spans="2:65" s="365" customFormat="1" ht="24.2" customHeight="1" x14ac:dyDescent="0.25">
      <c r="B177" s="364"/>
      <c r="C177" s="445" t="s">
        <v>247</v>
      </c>
      <c r="D177" s="445" t="s">
        <v>218</v>
      </c>
      <c r="E177" s="446" t="s">
        <v>2262</v>
      </c>
      <c r="F177" s="447" t="s">
        <v>2263</v>
      </c>
      <c r="G177" s="448" t="s">
        <v>111</v>
      </c>
      <c r="H177" s="449">
        <v>6.6849999999999996</v>
      </c>
      <c r="I177" s="329">
        <v>0</v>
      </c>
      <c r="J177" s="450">
        <f t="shared" si="20"/>
        <v>0</v>
      </c>
      <c r="K177" s="451"/>
      <c r="L177" s="364"/>
      <c r="M177" s="452" t="s">
        <v>171</v>
      </c>
      <c r="N177" s="415" t="s">
        <v>185</v>
      </c>
      <c r="O177" s="453">
        <v>0.04</v>
      </c>
      <c r="P177" s="453">
        <f t="shared" si="21"/>
        <v>0.26739999999999997</v>
      </c>
      <c r="Q177" s="453">
        <v>2.5999999999999998E-4</v>
      </c>
      <c r="R177" s="453">
        <f t="shared" si="22"/>
        <v>1.7380999999999998E-3</v>
      </c>
      <c r="S177" s="453">
        <v>0</v>
      </c>
      <c r="T177" s="454">
        <f t="shared" si="23"/>
        <v>0</v>
      </c>
      <c r="AR177" s="455" t="s">
        <v>228</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228</v>
      </c>
      <c r="BM177" s="455" t="s">
        <v>2927</v>
      </c>
    </row>
    <row r="178" spans="2:65" s="365" customFormat="1" ht="24.2" customHeight="1" x14ac:dyDescent="0.25">
      <c r="B178" s="364"/>
      <c r="C178" s="457" t="s">
        <v>248</v>
      </c>
      <c r="D178" s="457" t="s">
        <v>259</v>
      </c>
      <c r="E178" s="458" t="s">
        <v>2265</v>
      </c>
      <c r="F178" s="459" t="s">
        <v>2266</v>
      </c>
      <c r="G178" s="460" t="s">
        <v>536</v>
      </c>
      <c r="H178" s="461">
        <v>1.304</v>
      </c>
      <c r="I178" s="330">
        <v>0</v>
      </c>
      <c r="J178" s="462">
        <f t="shared" si="20"/>
        <v>0</v>
      </c>
      <c r="K178" s="463"/>
      <c r="L178" s="464"/>
      <c r="M178" s="465" t="s">
        <v>171</v>
      </c>
      <c r="N178" s="466" t="s">
        <v>185</v>
      </c>
      <c r="O178" s="453">
        <v>0</v>
      </c>
      <c r="P178" s="453">
        <f t="shared" si="21"/>
        <v>0</v>
      </c>
      <c r="Q178" s="453">
        <v>1E-3</v>
      </c>
      <c r="R178" s="453">
        <f t="shared" si="22"/>
        <v>1.304E-3</v>
      </c>
      <c r="S178" s="453">
        <v>0</v>
      </c>
      <c r="T178" s="454">
        <f t="shared" si="23"/>
        <v>0</v>
      </c>
      <c r="AR178" s="455" t="s">
        <v>246</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228</v>
      </c>
      <c r="BM178" s="455" t="s">
        <v>2928</v>
      </c>
    </row>
    <row r="179" spans="2:65" s="365" customFormat="1" ht="24.2" customHeight="1" x14ac:dyDescent="0.25">
      <c r="B179" s="364"/>
      <c r="C179" s="445" t="s">
        <v>249</v>
      </c>
      <c r="D179" s="445" t="s">
        <v>218</v>
      </c>
      <c r="E179" s="446" t="s">
        <v>2268</v>
      </c>
      <c r="F179" s="447" t="s">
        <v>2269</v>
      </c>
      <c r="G179" s="448" t="s">
        <v>111</v>
      </c>
      <c r="H179" s="449">
        <v>37.820999999999998</v>
      </c>
      <c r="I179" s="329">
        <v>0</v>
      </c>
      <c r="J179" s="450">
        <f t="shared" si="20"/>
        <v>0</v>
      </c>
      <c r="K179" s="451"/>
      <c r="L179" s="364"/>
      <c r="M179" s="452" t="s">
        <v>171</v>
      </c>
      <c r="N179" s="415" t="s">
        <v>185</v>
      </c>
      <c r="O179" s="453">
        <v>0.13517999999999999</v>
      </c>
      <c r="P179" s="453">
        <f t="shared" si="21"/>
        <v>5.1126427799999998</v>
      </c>
      <c r="Q179" s="453">
        <v>1E-4</v>
      </c>
      <c r="R179" s="453">
        <f t="shared" si="22"/>
        <v>3.7821E-3</v>
      </c>
      <c r="S179" s="453">
        <v>0</v>
      </c>
      <c r="T179" s="454">
        <f t="shared" si="23"/>
        <v>0</v>
      </c>
      <c r="AR179" s="455" t="s">
        <v>228</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228</v>
      </c>
      <c r="BM179" s="455" t="s">
        <v>2929</v>
      </c>
    </row>
    <row r="180" spans="2:65" s="365" customFormat="1" ht="24.2" customHeight="1" x14ac:dyDescent="0.25">
      <c r="B180" s="364"/>
      <c r="C180" s="457" t="s">
        <v>250</v>
      </c>
      <c r="D180" s="457" t="s">
        <v>259</v>
      </c>
      <c r="E180" s="458" t="s">
        <v>2271</v>
      </c>
      <c r="F180" s="459" t="s">
        <v>2272</v>
      </c>
      <c r="G180" s="460" t="s">
        <v>536</v>
      </c>
      <c r="H180" s="461">
        <v>9.4559999999999995</v>
      </c>
      <c r="I180" s="330">
        <v>0</v>
      </c>
      <c r="J180" s="462">
        <f t="shared" si="20"/>
        <v>0</v>
      </c>
      <c r="K180" s="463"/>
      <c r="L180" s="464"/>
      <c r="M180" s="465" t="s">
        <v>171</v>
      </c>
      <c r="N180" s="466" t="s">
        <v>185</v>
      </c>
      <c r="O180" s="453">
        <v>0</v>
      </c>
      <c r="P180" s="453">
        <f t="shared" si="21"/>
        <v>0</v>
      </c>
      <c r="Q180" s="453">
        <v>1E-3</v>
      </c>
      <c r="R180" s="453">
        <f t="shared" si="22"/>
        <v>9.4559999999999991E-3</v>
      </c>
      <c r="S180" s="453">
        <v>0</v>
      </c>
      <c r="T180" s="454">
        <f t="shared" si="23"/>
        <v>0</v>
      </c>
      <c r="AR180" s="455" t="s">
        <v>246</v>
      </c>
      <c r="AT180" s="455" t="s">
        <v>259</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228</v>
      </c>
      <c r="BM180" s="455" t="s">
        <v>2930</v>
      </c>
    </row>
    <row r="181" spans="2:65" s="434" customFormat="1" ht="25.9" customHeight="1" x14ac:dyDescent="0.2">
      <c r="B181" s="433"/>
      <c r="D181" s="435" t="s">
        <v>216</v>
      </c>
      <c r="E181" s="436" t="s">
        <v>259</v>
      </c>
      <c r="F181" s="436" t="s">
        <v>1667</v>
      </c>
      <c r="I181" s="467"/>
      <c r="J181" s="437">
        <f>BK181</f>
        <v>0</v>
      </c>
      <c r="L181" s="433"/>
      <c r="M181" s="438"/>
      <c r="P181" s="439">
        <f>P182+P213</f>
        <v>1420.2298745000001</v>
      </c>
      <c r="R181" s="439">
        <f>R182+R213</f>
        <v>48.572755999999998</v>
      </c>
      <c r="T181" s="440">
        <f>T182+T213</f>
        <v>0</v>
      </c>
      <c r="AR181" s="435" t="s">
        <v>119</v>
      </c>
      <c r="AT181" s="441" t="s">
        <v>216</v>
      </c>
      <c r="AU181" s="441" t="s">
        <v>165</v>
      </c>
      <c r="AY181" s="435" t="s">
        <v>217</v>
      </c>
      <c r="BK181" s="442">
        <f>BK182+BK213</f>
        <v>0</v>
      </c>
    </row>
    <row r="182" spans="2:65" s="434" customFormat="1" ht="22.9" customHeight="1" x14ac:dyDescent="0.2">
      <c r="B182" s="433"/>
      <c r="D182" s="435" t="s">
        <v>216</v>
      </c>
      <c r="E182" s="443" t="s">
        <v>2274</v>
      </c>
      <c r="F182" s="443" t="s">
        <v>2275</v>
      </c>
      <c r="I182" s="467"/>
      <c r="J182" s="444">
        <f>BK182</f>
        <v>0</v>
      </c>
      <c r="L182" s="433"/>
      <c r="M182" s="438"/>
      <c r="P182" s="439">
        <f>SUM(P183:P212)</f>
        <v>482.16500000000002</v>
      </c>
      <c r="R182" s="439">
        <f>SUM(R183:R212)</f>
        <v>5.854806</v>
      </c>
      <c r="T182" s="440">
        <f>SUM(T183:T212)</f>
        <v>0</v>
      </c>
      <c r="AR182" s="435" t="s">
        <v>119</v>
      </c>
      <c r="AT182" s="441" t="s">
        <v>216</v>
      </c>
      <c r="AU182" s="441" t="s">
        <v>109</v>
      </c>
      <c r="AY182" s="435" t="s">
        <v>217</v>
      </c>
      <c r="BK182" s="442">
        <f>SUM(BK183:BK212)</f>
        <v>0</v>
      </c>
    </row>
    <row r="183" spans="2:65" s="365" customFormat="1" ht="24.2" customHeight="1" x14ac:dyDescent="0.25">
      <c r="B183" s="364"/>
      <c r="C183" s="445" t="s">
        <v>251</v>
      </c>
      <c r="D183" s="445" t="s">
        <v>218</v>
      </c>
      <c r="E183" s="446" t="s">
        <v>2276</v>
      </c>
      <c r="F183" s="447" t="s">
        <v>2277</v>
      </c>
      <c r="G183" s="448" t="s">
        <v>113</v>
      </c>
      <c r="H183" s="449">
        <v>825</v>
      </c>
      <c r="I183" s="329">
        <v>0</v>
      </c>
      <c r="J183" s="450">
        <f t="shared" ref="J183:J212" si="30">ROUND(I183*H183,2)</f>
        <v>0</v>
      </c>
      <c r="K183" s="451"/>
      <c r="L183" s="364"/>
      <c r="M183" s="452" t="s">
        <v>171</v>
      </c>
      <c r="N183" s="415" t="s">
        <v>185</v>
      </c>
      <c r="O183" s="453">
        <v>0.124</v>
      </c>
      <c r="P183" s="453">
        <f t="shared" ref="P183:P212" si="31">O183*H183</f>
        <v>102.3</v>
      </c>
      <c r="Q183" s="453">
        <v>0</v>
      </c>
      <c r="R183" s="453">
        <f t="shared" ref="R183:R212" si="32">Q183*H183</f>
        <v>0</v>
      </c>
      <c r="S183" s="453">
        <v>0</v>
      </c>
      <c r="T183" s="454">
        <f t="shared" ref="T183:T212" si="33">S183*H183</f>
        <v>0</v>
      </c>
      <c r="AR183" s="455" t="s">
        <v>625</v>
      </c>
      <c r="AT183" s="455" t="s">
        <v>218</v>
      </c>
      <c r="AU183" s="455" t="s">
        <v>108</v>
      </c>
      <c r="AY183" s="357" t="s">
        <v>217</v>
      </c>
      <c r="BE183" s="456">
        <f t="shared" ref="BE183:BE212" si="34">IF(N183="základná",J183,0)</f>
        <v>0</v>
      </c>
      <c r="BF183" s="456">
        <f t="shared" ref="BF183:BF212" si="35">IF(N183="znížená",J183,0)</f>
        <v>0</v>
      </c>
      <c r="BG183" s="456">
        <f t="shared" ref="BG183:BG212" si="36">IF(N183="zákl. prenesená",J183,0)</f>
        <v>0</v>
      </c>
      <c r="BH183" s="456">
        <f t="shared" ref="BH183:BH212" si="37">IF(N183="zníž. prenesená",J183,0)</f>
        <v>0</v>
      </c>
      <c r="BI183" s="456">
        <f t="shared" ref="BI183:BI212" si="38">IF(N183="nulová",J183,0)</f>
        <v>0</v>
      </c>
      <c r="BJ183" s="357" t="s">
        <v>108</v>
      </c>
      <c r="BK183" s="456">
        <f t="shared" ref="BK183:BK212" si="39">ROUND(I183*H183,2)</f>
        <v>0</v>
      </c>
      <c r="BL183" s="357" t="s">
        <v>625</v>
      </c>
      <c r="BM183" s="455" t="s">
        <v>2931</v>
      </c>
    </row>
    <row r="184" spans="2:65" s="365" customFormat="1" ht="24.2" customHeight="1" x14ac:dyDescent="0.25">
      <c r="B184" s="364"/>
      <c r="C184" s="457" t="s">
        <v>252</v>
      </c>
      <c r="D184" s="457" t="s">
        <v>259</v>
      </c>
      <c r="E184" s="458" t="s">
        <v>2279</v>
      </c>
      <c r="F184" s="459" t="s">
        <v>2280</v>
      </c>
      <c r="G184" s="460" t="s">
        <v>123</v>
      </c>
      <c r="H184" s="461">
        <v>53.32</v>
      </c>
      <c r="I184" s="330">
        <v>0</v>
      </c>
      <c r="J184" s="462">
        <f t="shared" si="30"/>
        <v>0</v>
      </c>
      <c r="K184" s="463"/>
      <c r="L184" s="464"/>
      <c r="M184" s="465" t="s">
        <v>171</v>
      </c>
      <c r="N184" s="466" t="s">
        <v>185</v>
      </c>
      <c r="O184" s="453">
        <v>0</v>
      </c>
      <c r="P184" s="453">
        <f t="shared" si="31"/>
        <v>0</v>
      </c>
      <c r="Q184" s="453">
        <v>5.0000000000000002E-5</v>
      </c>
      <c r="R184" s="453">
        <f t="shared" si="32"/>
        <v>2.666E-3</v>
      </c>
      <c r="S184" s="453">
        <v>0</v>
      </c>
      <c r="T184" s="454">
        <f t="shared" si="33"/>
        <v>0</v>
      </c>
      <c r="AR184" s="455" t="s">
        <v>1631</v>
      </c>
      <c r="AT184" s="455" t="s">
        <v>259</v>
      </c>
      <c r="AU184" s="455" t="s">
        <v>108</v>
      </c>
      <c r="AY184" s="357" t="s">
        <v>217</v>
      </c>
      <c r="BE184" s="456">
        <f t="shared" si="34"/>
        <v>0</v>
      </c>
      <c r="BF184" s="456">
        <f t="shared" si="35"/>
        <v>0</v>
      </c>
      <c r="BG184" s="456">
        <f t="shared" si="36"/>
        <v>0</v>
      </c>
      <c r="BH184" s="456">
        <f t="shared" si="37"/>
        <v>0</v>
      </c>
      <c r="BI184" s="456">
        <f t="shared" si="38"/>
        <v>0</v>
      </c>
      <c r="BJ184" s="357" t="s">
        <v>108</v>
      </c>
      <c r="BK184" s="456">
        <f t="shared" si="39"/>
        <v>0</v>
      </c>
      <c r="BL184" s="357" t="s">
        <v>1631</v>
      </c>
      <c r="BM184" s="455" t="s">
        <v>2932</v>
      </c>
    </row>
    <row r="185" spans="2:65" s="365" customFormat="1" ht="24.2" customHeight="1" x14ac:dyDescent="0.25">
      <c r="B185" s="364"/>
      <c r="C185" s="457" t="s">
        <v>253</v>
      </c>
      <c r="D185" s="457" t="s">
        <v>259</v>
      </c>
      <c r="E185" s="458" t="s">
        <v>2282</v>
      </c>
      <c r="F185" s="459" t="s">
        <v>2283</v>
      </c>
      <c r="G185" s="460" t="s">
        <v>113</v>
      </c>
      <c r="H185" s="461">
        <v>825</v>
      </c>
      <c r="I185" s="330">
        <v>0</v>
      </c>
      <c r="J185" s="462">
        <f t="shared" si="30"/>
        <v>0</v>
      </c>
      <c r="K185" s="463"/>
      <c r="L185" s="464"/>
      <c r="M185" s="465" t="s">
        <v>171</v>
      </c>
      <c r="N185" s="466" t="s">
        <v>185</v>
      </c>
      <c r="O185" s="453">
        <v>0</v>
      </c>
      <c r="P185" s="453">
        <f t="shared" si="31"/>
        <v>0</v>
      </c>
      <c r="Q185" s="453">
        <v>2.2000000000000001E-4</v>
      </c>
      <c r="R185" s="453">
        <f t="shared" si="32"/>
        <v>0.18149999999999999</v>
      </c>
      <c r="S185" s="453">
        <v>0</v>
      </c>
      <c r="T185" s="454">
        <f t="shared" si="33"/>
        <v>0</v>
      </c>
      <c r="AR185" s="455" t="s">
        <v>1631</v>
      </c>
      <c r="AT185" s="455" t="s">
        <v>259</v>
      </c>
      <c r="AU185" s="455" t="s">
        <v>108</v>
      </c>
      <c r="AY185" s="357" t="s">
        <v>217</v>
      </c>
      <c r="BE185" s="456">
        <f t="shared" si="34"/>
        <v>0</v>
      </c>
      <c r="BF185" s="456">
        <f t="shared" si="35"/>
        <v>0</v>
      </c>
      <c r="BG185" s="456">
        <f t="shared" si="36"/>
        <v>0</v>
      </c>
      <c r="BH185" s="456">
        <f t="shared" si="37"/>
        <v>0</v>
      </c>
      <c r="BI185" s="456">
        <f t="shared" si="38"/>
        <v>0</v>
      </c>
      <c r="BJ185" s="357" t="s">
        <v>108</v>
      </c>
      <c r="BK185" s="456">
        <f t="shared" si="39"/>
        <v>0</v>
      </c>
      <c r="BL185" s="357" t="s">
        <v>1631</v>
      </c>
      <c r="BM185" s="455" t="s">
        <v>2933</v>
      </c>
    </row>
    <row r="186" spans="2:65" s="365" customFormat="1" ht="24.2" customHeight="1" x14ac:dyDescent="0.25">
      <c r="B186" s="364"/>
      <c r="C186" s="445" t="s">
        <v>254</v>
      </c>
      <c r="D186" s="445" t="s">
        <v>218</v>
      </c>
      <c r="E186" s="446" t="s">
        <v>2291</v>
      </c>
      <c r="F186" s="447" t="s">
        <v>2292</v>
      </c>
      <c r="G186" s="448" t="s">
        <v>123</v>
      </c>
      <c r="H186" s="449">
        <v>200</v>
      </c>
      <c r="I186" s="329">
        <v>0</v>
      </c>
      <c r="J186" s="450">
        <f t="shared" si="30"/>
        <v>0</v>
      </c>
      <c r="K186" s="451"/>
      <c r="L186" s="364"/>
      <c r="M186" s="452" t="s">
        <v>171</v>
      </c>
      <c r="N186" s="415" t="s">
        <v>185</v>
      </c>
      <c r="O186" s="453">
        <v>0.124</v>
      </c>
      <c r="P186" s="453">
        <f t="shared" si="31"/>
        <v>24.8</v>
      </c>
      <c r="Q186" s="453">
        <v>0</v>
      </c>
      <c r="R186" s="453">
        <f t="shared" si="32"/>
        <v>0</v>
      </c>
      <c r="S186" s="453">
        <v>0</v>
      </c>
      <c r="T186" s="454">
        <f t="shared" si="33"/>
        <v>0</v>
      </c>
      <c r="AR186" s="455" t="s">
        <v>625</v>
      </c>
      <c r="AT186" s="455" t="s">
        <v>218</v>
      </c>
      <c r="AU186" s="455" t="s">
        <v>108</v>
      </c>
      <c r="AY186" s="357" t="s">
        <v>217</v>
      </c>
      <c r="BE186" s="456">
        <f t="shared" si="34"/>
        <v>0</v>
      </c>
      <c r="BF186" s="456">
        <f t="shared" si="35"/>
        <v>0</v>
      </c>
      <c r="BG186" s="456">
        <f t="shared" si="36"/>
        <v>0</v>
      </c>
      <c r="BH186" s="456">
        <f t="shared" si="37"/>
        <v>0</v>
      </c>
      <c r="BI186" s="456">
        <f t="shared" si="38"/>
        <v>0</v>
      </c>
      <c r="BJ186" s="357" t="s">
        <v>108</v>
      </c>
      <c r="BK186" s="456">
        <f t="shared" si="39"/>
        <v>0</v>
      </c>
      <c r="BL186" s="357" t="s">
        <v>625</v>
      </c>
      <c r="BM186" s="455" t="s">
        <v>2934</v>
      </c>
    </row>
    <row r="187" spans="2:65" s="365" customFormat="1" ht="16.5" customHeight="1" x14ac:dyDescent="0.25">
      <c r="B187" s="364"/>
      <c r="C187" s="457" t="s">
        <v>255</v>
      </c>
      <c r="D187" s="457" t="s">
        <v>259</v>
      </c>
      <c r="E187" s="458" t="s">
        <v>2294</v>
      </c>
      <c r="F187" s="459" t="s">
        <v>2295</v>
      </c>
      <c r="G187" s="460" t="s">
        <v>123</v>
      </c>
      <c r="H187" s="461">
        <v>200</v>
      </c>
      <c r="I187" s="330">
        <v>0</v>
      </c>
      <c r="J187" s="462">
        <f t="shared" si="30"/>
        <v>0</v>
      </c>
      <c r="K187" s="463"/>
      <c r="L187" s="464"/>
      <c r="M187" s="465" t="s">
        <v>171</v>
      </c>
      <c r="N187" s="466" t="s">
        <v>185</v>
      </c>
      <c r="O187" s="453">
        <v>0</v>
      </c>
      <c r="P187" s="453">
        <f t="shared" si="31"/>
        <v>0</v>
      </c>
      <c r="Q187" s="453">
        <v>3.0000000000000001E-5</v>
      </c>
      <c r="R187" s="453">
        <f t="shared" si="32"/>
        <v>6.0000000000000001E-3</v>
      </c>
      <c r="S187" s="453">
        <v>0</v>
      </c>
      <c r="T187" s="454">
        <f t="shared" si="33"/>
        <v>0</v>
      </c>
      <c r="AR187" s="455" t="s">
        <v>1631</v>
      </c>
      <c r="AT187" s="455" t="s">
        <v>259</v>
      </c>
      <c r="AU187" s="455" t="s">
        <v>108</v>
      </c>
      <c r="AY187" s="357" t="s">
        <v>217</v>
      </c>
      <c r="BE187" s="456">
        <f t="shared" si="34"/>
        <v>0</v>
      </c>
      <c r="BF187" s="456">
        <f t="shared" si="35"/>
        <v>0</v>
      </c>
      <c r="BG187" s="456">
        <f t="shared" si="36"/>
        <v>0</v>
      </c>
      <c r="BH187" s="456">
        <f t="shared" si="37"/>
        <v>0</v>
      </c>
      <c r="BI187" s="456">
        <f t="shared" si="38"/>
        <v>0</v>
      </c>
      <c r="BJ187" s="357" t="s">
        <v>108</v>
      </c>
      <c r="BK187" s="456">
        <f t="shared" si="39"/>
        <v>0</v>
      </c>
      <c r="BL187" s="357" t="s">
        <v>1631</v>
      </c>
      <c r="BM187" s="455" t="s">
        <v>2935</v>
      </c>
    </row>
    <row r="188" spans="2:65" s="365" customFormat="1" ht="37.9" customHeight="1" x14ac:dyDescent="0.25">
      <c r="B188" s="364"/>
      <c r="C188" s="445" t="s">
        <v>256</v>
      </c>
      <c r="D188" s="445" t="s">
        <v>218</v>
      </c>
      <c r="E188" s="446" t="s">
        <v>2297</v>
      </c>
      <c r="F188" s="447" t="s">
        <v>2298</v>
      </c>
      <c r="G188" s="448" t="s">
        <v>123</v>
      </c>
      <c r="H188" s="449">
        <v>50</v>
      </c>
      <c r="I188" s="329">
        <v>0</v>
      </c>
      <c r="J188" s="450">
        <f t="shared" si="30"/>
        <v>0</v>
      </c>
      <c r="K188" s="451"/>
      <c r="L188" s="364"/>
      <c r="M188" s="452" t="s">
        <v>171</v>
      </c>
      <c r="N188" s="415" t="s">
        <v>185</v>
      </c>
      <c r="O188" s="453">
        <v>0.3</v>
      </c>
      <c r="P188" s="453">
        <f t="shared" si="31"/>
        <v>15</v>
      </c>
      <c r="Q188" s="453">
        <v>0</v>
      </c>
      <c r="R188" s="453">
        <f t="shared" si="32"/>
        <v>0</v>
      </c>
      <c r="S188" s="453">
        <v>0</v>
      </c>
      <c r="T188" s="454">
        <f t="shared" si="33"/>
        <v>0</v>
      </c>
      <c r="AR188" s="455" t="s">
        <v>625</v>
      </c>
      <c r="AT188" s="455" t="s">
        <v>218</v>
      </c>
      <c r="AU188" s="455" t="s">
        <v>108</v>
      </c>
      <c r="AY188" s="357" t="s">
        <v>217</v>
      </c>
      <c r="BE188" s="456">
        <f t="shared" si="34"/>
        <v>0</v>
      </c>
      <c r="BF188" s="456">
        <f t="shared" si="35"/>
        <v>0</v>
      </c>
      <c r="BG188" s="456">
        <f t="shared" si="36"/>
        <v>0</v>
      </c>
      <c r="BH188" s="456">
        <f t="shared" si="37"/>
        <v>0</v>
      </c>
      <c r="BI188" s="456">
        <f t="shared" si="38"/>
        <v>0</v>
      </c>
      <c r="BJ188" s="357" t="s">
        <v>108</v>
      </c>
      <c r="BK188" s="456">
        <f t="shared" si="39"/>
        <v>0</v>
      </c>
      <c r="BL188" s="357" t="s">
        <v>625</v>
      </c>
      <c r="BM188" s="455" t="s">
        <v>2936</v>
      </c>
    </row>
    <row r="189" spans="2:65" s="365" customFormat="1" ht="24.2" customHeight="1" x14ac:dyDescent="0.25">
      <c r="B189" s="364"/>
      <c r="C189" s="457" t="s">
        <v>257</v>
      </c>
      <c r="D189" s="457" t="s">
        <v>259</v>
      </c>
      <c r="E189" s="458" t="s">
        <v>2300</v>
      </c>
      <c r="F189" s="459" t="s">
        <v>2301</v>
      </c>
      <c r="G189" s="460" t="s">
        <v>123</v>
      </c>
      <c r="H189" s="461">
        <v>50</v>
      </c>
      <c r="I189" s="330">
        <v>0</v>
      </c>
      <c r="J189" s="462">
        <f t="shared" si="30"/>
        <v>0</v>
      </c>
      <c r="K189" s="463"/>
      <c r="L189" s="464"/>
      <c r="M189" s="465" t="s">
        <v>171</v>
      </c>
      <c r="N189" s="466" t="s">
        <v>185</v>
      </c>
      <c r="O189" s="453">
        <v>0</v>
      </c>
      <c r="P189" s="453">
        <f t="shared" si="31"/>
        <v>0</v>
      </c>
      <c r="Q189" s="453">
        <v>1E-3</v>
      </c>
      <c r="R189" s="453">
        <f t="shared" si="32"/>
        <v>0.05</v>
      </c>
      <c r="S189" s="453">
        <v>0</v>
      </c>
      <c r="T189" s="454">
        <f t="shared" si="33"/>
        <v>0</v>
      </c>
      <c r="AR189" s="455" t="s">
        <v>1631</v>
      </c>
      <c r="AT189" s="455" t="s">
        <v>259</v>
      </c>
      <c r="AU189" s="455" t="s">
        <v>108</v>
      </c>
      <c r="AY189" s="357" t="s">
        <v>217</v>
      </c>
      <c r="BE189" s="456">
        <f t="shared" si="34"/>
        <v>0</v>
      </c>
      <c r="BF189" s="456">
        <f t="shared" si="35"/>
        <v>0</v>
      </c>
      <c r="BG189" s="456">
        <f t="shared" si="36"/>
        <v>0</v>
      </c>
      <c r="BH189" s="456">
        <f t="shared" si="37"/>
        <v>0</v>
      </c>
      <c r="BI189" s="456">
        <f t="shared" si="38"/>
        <v>0</v>
      </c>
      <c r="BJ189" s="357" t="s">
        <v>108</v>
      </c>
      <c r="BK189" s="456">
        <f t="shared" si="39"/>
        <v>0</v>
      </c>
      <c r="BL189" s="357" t="s">
        <v>1631</v>
      </c>
      <c r="BM189" s="455" t="s">
        <v>2937</v>
      </c>
    </row>
    <row r="190" spans="2:65" s="365" customFormat="1" ht="24.2" customHeight="1" x14ac:dyDescent="0.25">
      <c r="B190" s="364"/>
      <c r="C190" s="445" t="s">
        <v>258</v>
      </c>
      <c r="D190" s="445" t="s">
        <v>218</v>
      </c>
      <c r="E190" s="446" t="s">
        <v>2318</v>
      </c>
      <c r="F190" s="447" t="s">
        <v>2319</v>
      </c>
      <c r="G190" s="448" t="s">
        <v>123</v>
      </c>
      <c r="H190" s="449">
        <v>24</v>
      </c>
      <c r="I190" s="329">
        <v>0</v>
      </c>
      <c r="J190" s="450">
        <f t="shared" si="30"/>
        <v>0</v>
      </c>
      <c r="K190" s="451"/>
      <c r="L190" s="364"/>
      <c r="M190" s="452" t="s">
        <v>171</v>
      </c>
      <c r="N190" s="415" t="s">
        <v>185</v>
      </c>
      <c r="O190" s="453">
        <v>0.44</v>
      </c>
      <c r="P190" s="453">
        <f t="shared" si="31"/>
        <v>10.56</v>
      </c>
      <c r="Q190" s="453">
        <v>0</v>
      </c>
      <c r="R190" s="453">
        <f t="shared" si="32"/>
        <v>0</v>
      </c>
      <c r="S190" s="453">
        <v>0</v>
      </c>
      <c r="T190" s="454">
        <f t="shared" si="33"/>
        <v>0</v>
      </c>
      <c r="AR190" s="455" t="s">
        <v>625</v>
      </c>
      <c r="AT190" s="455" t="s">
        <v>218</v>
      </c>
      <c r="AU190" s="455" t="s">
        <v>108</v>
      </c>
      <c r="AY190" s="357" t="s">
        <v>217</v>
      </c>
      <c r="BE190" s="456">
        <f t="shared" si="34"/>
        <v>0</v>
      </c>
      <c r="BF190" s="456">
        <f t="shared" si="35"/>
        <v>0</v>
      </c>
      <c r="BG190" s="456">
        <f t="shared" si="36"/>
        <v>0</v>
      </c>
      <c r="BH190" s="456">
        <f t="shared" si="37"/>
        <v>0</v>
      </c>
      <c r="BI190" s="456">
        <f t="shared" si="38"/>
        <v>0</v>
      </c>
      <c r="BJ190" s="357" t="s">
        <v>108</v>
      </c>
      <c r="BK190" s="456">
        <f t="shared" si="39"/>
        <v>0</v>
      </c>
      <c r="BL190" s="357" t="s">
        <v>625</v>
      </c>
      <c r="BM190" s="455" t="s">
        <v>2938</v>
      </c>
    </row>
    <row r="191" spans="2:65" s="365" customFormat="1" ht="24.2" customHeight="1" x14ac:dyDescent="0.25">
      <c r="B191" s="364"/>
      <c r="C191" s="457" t="s">
        <v>260</v>
      </c>
      <c r="D191" s="457" t="s">
        <v>259</v>
      </c>
      <c r="E191" s="458" t="s">
        <v>2327</v>
      </c>
      <c r="F191" s="459" t="s">
        <v>2328</v>
      </c>
      <c r="G191" s="460" t="s">
        <v>123</v>
      </c>
      <c r="H191" s="461">
        <v>1</v>
      </c>
      <c r="I191" s="330">
        <v>0</v>
      </c>
      <c r="J191" s="462">
        <f t="shared" si="30"/>
        <v>0</v>
      </c>
      <c r="K191" s="463"/>
      <c r="L191" s="464"/>
      <c r="M191" s="465" t="s">
        <v>171</v>
      </c>
      <c r="N191" s="466" t="s">
        <v>185</v>
      </c>
      <c r="O191" s="453">
        <v>0</v>
      </c>
      <c r="P191" s="453">
        <f t="shared" si="31"/>
        <v>0</v>
      </c>
      <c r="Q191" s="453">
        <v>2.5000000000000001E-3</v>
      </c>
      <c r="R191" s="453">
        <f t="shared" si="32"/>
        <v>2.5000000000000001E-3</v>
      </c>
      <c r="S191" s="453">
        <v>0</v>
      </c>
      <c r="T191" s="454">
        <f t="shared" si="33"/>
        <v>0</v>
      </c>
      <c r="AR191" s="455" t="s">
        <v>1631</v>
      </c>
      <c r="AT191" s="455" t="s">
        <v>259</v>
      </c>
      <c r="AU191" s="455" t="s">
        <v>108</v>
      </c>
      <c r="AY191" s="357" t="s">
        <v>217</v>
      </c>
      <c r="BE191" s="456">
        <f t="shared" si="34"/>
        <v>0</v>
      </c>
      <c r="BF191" s="456">
        <f t="shared" si="35"/>
        <v>0</v>
      </c>
      <c r="BG191" s="456">
        <f t="shared" si="36"/>
        <v>0</v>
      </c>
      <c r="BH191" s="456">
        <f t="shared" si="37"/>
        <v>0</v>
      </c>
      <c r="BI191" s="456">
        <f t="shared" si="38"/>
        <v>0</v>
      </c>
      <c r="BJ191" s="357" t="s">
        <v>108</v>
      </c>
      <c r="BK191" s="456">
        <f t="shared" si="39"/>
        <v>0</v>
      </c>
      <c r="BL191" s="357" t="s">
        <v>1631</v>
      </c>
      <c r="BM191" s="455" t="s">
        <v>2939</v>
      </c>
    </row>
    <row r="192" spans="2:65" s="365" customFormat="1" ht="24.2" customHeight="1" x14ac:dyDescent="0.25">
      <c r="B192" s="364"/>
      <c r="C192" s="445" t="s">
        <v>262</v>
      </c>
      <c r="D192" s="445" t="s">
        <v>218</v>
      </c>
      <c r="E192" s="446" t="s">
        <v>2330</v>
      </c>
      <c r="F192" s="447" t="s">
        <v>2331</v>
      </c>
      <c r="G192" s="448" t="s">
        <v>123</v>
      </c>
      <c r="H192" s="449">
        <v>23</v>
      </c>
      <c r="I192" s="329">
        <v>0</v>
      </c>
      <c r="J192" s="450">
        <f t="shared" si="30"/>
        <v>0</v>
      </c>
      <c r="K192" s="451"/>
      <c r="L192" s="364"/>
      <c r="M192" s="452" t="s">
        <v>171</v>
      </c>
      <c r="N192" s="415" t="s">
        <v>185</v>
      </c>
      <c r="O192" s="453">
        <v>0.22</v>
      </c>
      <c r="P192" s="453">
        <f t="shared" si="31"/>
        <v>5.0599999999999996</v>
      </c>
      <c r="Q192" s="453">
        <v>0</v>
      </c>
      <c r="R192" s="453">
        <f t="shared" si="32"/>
        <v>0</v>
      </c>
      <c r="S192" s="453">
        <v>0</v>
      </c>
      <c r="T192" s="454">
        <f t="shared" si="33"/>
        <v>0</v>
      </c>
      <c r="AR192" s="455" t="s">
        <v>625</v>
      </c>
      <c r="AT192" s="455" t="s">
        <v>218</v>
      </c>
      <c r="AU192" s="455" t="s">
        <v>108</v>
      </c>
      <c r="AY192" s="357" t="s">
        <v>217</v>
      </c>
      <c r="BE192" s="456">
        <f t="shared" si="34"/>
        <v>0</v>
      </c>
      <c r="BF192" s="456">
        <f t="shared" si="35"/>
        <v>0</v>
      </c>
      <c r="BG192" s="456">
        <f t="shared" si="36"/>
        <v>0</v>
      </c>
      <c r="BH192" s="456">
        <f t="shared" si="37"/>
        <v>0</v>
      </c>
      <c r="BI192" s="456">
        <f t="shared" si="38"/>
        <v>0</v>
      </c>
      <c r="BJ192" s="357" t="s">
        <v>108</v>
      </c>
      <c r="BK192" s="456">
        <f t="shared" si="39"/>
        <v>0</v>
      </c>
      <c r="BL192" s="357" t="s">
        <v>625</v>
      </c>
      <c r="BM192" s="455" t="s">
        <v>2940</v>
      </c>
    </row>
    <row r="193" spans="2:65" s="365" customFormat="1" ht="16.5" customHeight="1" x14ac:dyDescent="0.25">
      <c r="B193" s="364"/>
      <c r="C193" s="445" t="s">
        <v>263</v>
      </c>
      <c r="D193" s="445" t="s">
        <v>218</v>
      </c>
      <c r="E193" s="446" t="s">
        <v>2333</v>
      </c>
      <c r="F193" s="447" t="s">
        <v>2334</v>
      </c>
      <c r="G193" s="448" t="s">
        <v>123</v>
      </c>
      <c r="H193" s="449">
        <v>24</v>
      </c>
      <c r="I193" s="329">
        <v>0</v>
      </c>
      <c r="J193" s="450">
        <f t="shared" si="30"/>
        <v>0</v>
      </c>
      <c r="K193" s="451"/>
      <c r="L193" s="364"/>
      <c r="M193" s="452" t="s">
        <v>171</v>
      </c>
      <c r="N193" s="415" t="s">
        <v>185</v>
      </c>
      <c r="O193" s="453">
        <v>3.2160000000000002</v>
      </c>
      <c r="P193" s="453">
        <f t="shared" si="31"/>
        <v>77.183999999999997</v>
      </c>
      <c r="Q193" s="453">
        <v>0</v>
      </c>
      <c r="R193" s="453">
        <f t="shared" si="32"/>
        <v>0</v>
      </c>
      <c r="S193" s="453">
        <v>0</v>
      </c>
      <c r="T193" s="454">
        <f t="shared" si="33"/>
        <v>0</v>
      </c>
      <c r="AR193" s="455" t="s">
        <v>625</v>
      </c>
      <c r="AT193" s="455" t="s">
        <v>218</v>
      </c>
      <c r="AU193" s="455" t="s">
        <v>108</v>
      </c>
      <c r="AY193" s="357" t="s">
        <v>217</v>
      </c>
      <c r="BE193" s="456">
        <f t="shared" si="34"/>
        <v>0</v>
      </c>
      <c r="BF193" s="456">
        <f t="shared" si="35"/>
        <v>0</v>
      </c>
      <c r="BG193" s="456">
        <f t="shared" si="36"/>
        <v>0</v>
      </c>
      <c r="BH193" s="456">
        <f t="shared" si="37"/>
        <v>0</v>
      </c>
      <c r="BI193" s="456">
        <f t="shared" si="38"/>
        <v>0</v>
      </c>
      <c r="BJ193" s="357" t="s">
        <v>108</v>
      </c>
      <c r="BK193" s="456">
        <f t="shared" si="39"/>
        <v>0</v>
      </c>
      <c r="BL193" s="357" t="s">
        <v>625</v>
      </c>
      <c r="BM193" s="455" t="s">
        <v>2941</v>
      </c>
    </row>
    <row r="194" spans="2:65" s="365" customFormat="1" ht="66.75" customHeight="1" x14ac:dyDescent="0.25">
      <c r="B194" s="364"/>
      <c r="C194" s="457" t="s">
        <v>264</v>
      </c>
      <c r="D194" s="457" t="s">
        <v>259</v>
      </c>
      <c r="E194" s="458" t="s">
        <v>2342</v>
      </c>
      <c r="F194" s="459" t="s">
        <v>2343</v>
      </c>
      <c r="G194" s="460" t="s">
        <v>123</v>
      </c>
      <c r="H194" s="461">
        <v>21</v>
      </c>
      <c r="I194" s="330">
        <v>0</v>
      </c>
      <c r="J194" s="462">
        <f t="shared" si="30"/>
        <v>0</v>
      </c>
      <c r="K194" s="463"/>
      <c r="L194" s="464"/>
      <c r="M194" s="465" t="s">
        <v>171</v>
      </c>
      <c r="N194" s="466" t="s">
        <v>185</v>
      </c>
      <c r="O194" s="453">
        <v>0</v>
      </c>
      <c r="P194" s="453">
        <f t="shared" si="31"/>
        <v>0</v>
      </c>
      <c r="Q194" s="453">
        <v>0.17397000000000001</v>
      </c>
      <c r="R194" s="453">
        <f t="shared" si="32"/>
        <v>3.6533700000000002</v>
      </c>
      <c r="S194" s="453">
        <v>0</v>
      </c>
      <c r="T194" s="454">
        <f t="shared" si="33"/>
        <v>0</v>
      </c>
      <c r="AR194" s="455" t="s">
        <v>1631</v>
      </c>
      <c r="AT194" s="455" t="s">
        <v>259</v>
      </c>
      <c r="AU194" s="455" t="s">
        <v>108</v>
      </c>
      <c r="AY194" s="357" t="s">
        <v>217</v>
      </c>
      <c r="BE194" s="456">
        <f t="shared" si="34"/>
        <v>0</v>
      </c>
      <c r="BF194" s="456">
        <f t="shared" si="35"/>
        <v>0</v>
      </c>
      <c r="BG194" s="456">
        <f t="shared" si="36"/>
        <v>0</v>
      </c>
      <c r="BH194" s="456">
        <f t="shared" si="37"/>
        <v>0</v>
      </c>
      <c r="BI194" s="456">
        <f t="shared" si="38"/>
        <v>0</v>
      </c>
      <c r="BJ194" s="357" t="s">
        <v>108</v>
      </c>
      <c r="BK194" s="456">
        <f t="shared" si="39"/>
        <v>0</v>
      </c>
      <c r="BL194" s="357" t="s">
        <v>1631</v>
      </c>
      <c r="BM194" s="455" t="s">
        <v>2942</v>
      </c>
    </row>
    <row r="195" spans="2:65" s="365" customFormat="1" ht="33" customHeight="1" x14ac:dyDescent="0.25">
      <c r="B195" s="364"/>
      <c r="C195" s="457" t="s">
        <v>265</v>
      </c>
      <c r="D195" s="457" t="s">
        <v>259</v>
      </c>
      <c r="E195" s="458" t="s">
        <v>2336</v>
      </c>
      <c r="F195" s="459" t="s">
        <v>2337</v>
      </c>
      <c r="G195" s="460" t="s">
        <v>123</v>
      </c>
      <c r="H195" s="461">
        <v>1</v>
      </c>
      <c r="I195" s="330">
        <v>0</v>
      </c>
      <c r="J195" s="462">
        <f t="shared" si="30"/>
        <v>0</v>
      </c>
      <c r="K195" s="463"/>
      <c r="L195" s="464"/>
      <c r="M195" s="465" t="s">
        <v>171</v>
      </c>
      <c r="N195" s="466" t="s">
        <v>185</v>
      </c>
      <c r="O195" s="453">
        <v>0</v>
      </c>
      <c r="P195" s="453">
        <f t="shared" si="31"/>
        <v>0</v>
      </c>
      <c r="Q195" s="453">
        <v>0.16800000000000001</v>
      </c>
      <c r="R195" s="453">
        <f t="shared" si="32"/>
        <v>0.16800000000000001</v>
      </c>
      <c r="S195" s="453">
        <v>0</v>
      </c>
      <c r="T195" s="454">
        <f t="shared" si="33"/>
        <v>0</v>
      </c>
      <c r="AR195" s="455" t="s">
        <v>1631</v>
      </c>
      <c r="AT195" s="455" t="s">
        <v>259</v>
      </c>
      <c r="AU195" s="455" t="s">
        <v>108</v>
      </c>
      <c r="AY195" s="357" t="s">
        <v>217</v>
      </c>
      <c r="BE195" s="456">
        <f t="shared" si="34"/>
        <v>0</v>
      </c>
      <c r="BF195" s="456">
        <f t="shared" si="35"/>
        <v>0</v>
      </c>
      <c r="BG195" s="456">
        <f t="shared" si="36"/>
        <v>0</v>
      </c>
      <c r="BH195" s="456">
        <f t="shared" si="37"/>
        <v>0</v>
      </c>
      <c r="BI195" s="456">
        <f t="shared" si="38"/>
        <v>0</v>
      </c>
      <c r="BJ195" s="357" t="s">
        <v>108</v>
      </c>
      <c r="BK195" s="456">
        <f t="shared" si="39"/>
        <v>0</v>
      </c>
      <c r="BL195" s="357" t="s">
        <v>1631</v>
      </c>
      <c r="BM195" s="455" t="s">
        <v>2943</v>
      </c>
    </row>
    <row r="196" spans="2:65" s="365" customFormat="1" ht="33" customHeight="1" x14ac:dyDescent="0.25">
      <c r="B196" s="364"/>
      <c r="C196" s="457" t="s">
        <v>266</v>
      </c>
      <c r="D196" s="457" t="s">
        <v>259</v>
      </c>
      <c r="E196" s="458" t="s">
        <v>2339</v>
      </c>
      <c r="F196" s="459" t="s">
        <v>2340</v>
      </c>
      <c r="G196" s="460" t="s">
        <v>123</v>
      </c>
      <c r="H196" s="461">
        <v>2</v>
      </c>
      <c r="I196" s="330">
        <v>0</v>
      </c>
      <c r="J196" s="462">
        <f t="shared" si="30"/>
        <v>0</v>
      </c>
      <c r="K196" s="463"/>
      <c r="L196" s="464"/>
      <c r="M196" s="465" t="s">
        <v>171</v>
      </c>
      <c r="N196" s="466" t="s">
        <v>185</v>
      </c>
      <c r="O196" s="453">
        <v>0</v>
      </c>
      <c r="P196" s="453">
        <f t="shared" si="31"/>
        <v>0</v>
      </c>
      <c r="Q196" s="453">
        <v>0.17397000000000001</v>
      </c>
      <c r="R196" s="453">
        <f t="shared" si="32"/>
        <v>0.34794000000000003</v>
      </c>
      <c r="S196" s="453">
        <v>0</v>
      </c>
      <c r="T196" s="454">
        <f t="shared" si="33"/>
        <v>0</v>
      </c>
      <c r="AR196" s="455" t="s">
        <v>1631</v>
      </c>
      <c r="AT196" s="455" t="s">
        <v>259</v>
      </c>
      <c r="AU196" s="455" t="s">
        <v>108</v>
      </c>
      <c r="AY196" s="357" t="s">
        <v>217</v>
      </c>
      <c r="BE196" s="456">
        <f t="shared" si="34"/>
        <v>0</v>
      </c>
      <c r="BF196" s="456">
        <f t="shared" si="35"/>
        <v>0</v>
      </c>
      <c r="BG196" s="456">
        <f t="shared" si="36"/>
        <v>0</v>
      </c>
      <c r="BH196" s="456">
        <f t="shared" si="37"/>
        <v>0</v>
      </c>
      <c r="BI196" s="456">
        <f t="shared" si="38"/>
        <v>0</v>
      </c>
      <c r="BJ196" s="357" t="s">
        <v>108</v>
      </c>
      <c r="BK196" s="456">
        <f t="shared" si="39"/>
        <v>0</v>
      </c>
      <c r="BL196" s="357" t="s">
        <v>1631</v>
      </c>
      <c r="BM196" s="455" t="s">
        <v>2944</v>
      </c>
    </row>
    <row r="197" spans="2:65" s="365" customFormat="1" ht="21.75" customHeight="1" x14ac:dyDescent="0.25">
      <c r="B197" s="364"/>
      <c r="C197" s="445" t="s">
        <v>573</v>
      </c>
      <c r="D197" s="445" t="s">
        <v>218</v>
      </c>
      <c r="E197" s="446" t="s">
        <v>2345</v>
      </c>
      <c r="F197" s="447" t="s">
        <v>2346</v>
      </c>
      <c r="G197" s="448" t="s">
        <v>123</v>
      </c>
      <c r="H197" s="449">
        <v>23</v>
      </c>
      <c r="I197" s="329">
        <v>0</v>
      </c>
      <c r="J197" s="450">
        <f t="shared" si="30"/>
        <v>0</v>
      </c>
      <c r="K197" s="451"/>
      <c r="L197" s="364"/>
      <c r="M197" s="452" t="s">
        <v>171</v>
      </c>
      <c r="N197" s="415" t="s">
        <v>185</v>
      </c>
      <c r="O197" s="453">
        <v>1.6080000000000001</v>
      </c>
      <c r="P197" s="453">
        <f t="shared" si="31"/>
        <v>36.984000000000002</v>
      </c>
      <c r="Q197" s="453">
        <v>0</v>
      </c>
      <c r="R197" s="453">
        <f t="shared" si="32"/>
        <v>0</v>
      </c>
      <c r="S197" s="453">
        <v>0</v>
      </c>
      <c r="T197" s="454">
        <f t="shared" si="33"/>
        <v>0</v>
      </c>
      <c r="AR197" s="455" t="s">
        <v>625</v>
      </c>
      <c r="AT197" s="455" t="s">
        <v>218</v>
      </c>
      <c r="AU197" s="455" t="s">
        <v>108</v>
      </c>
      <c r="AY197" s="357" t="s">
        <v>217</v>
      </c>
      <c r="BE197" s="456">
        <f t="shared" si="34"/>
        <v>0</v>
      </c>
      <c r="BF197" s="456">
        <f t="shared" si="35"/>
        <v>0</v>
      </c>
      <c r="BG197" s="456">
        <f t="shared" si="36"/>
        <v>0</v>
      </c>
      <c r="BH197" s="456">
        <f t="shared" si="37"/>
        <v>0</v>
      </c>
      <c r="BI197" s="456">
        <f t="shared" si="38"/>
        <v>0</v>
      </c>
      <c r="BJ197" s="357" t="s">
        <v>108</v>
      </c>
      <c r="BK197" s="456">
        <f t="shared" si="39"/>
        <v>0</v>
      </c>
      <c r="BL197" s="357" t="s">
        <v>625</v>
      </c>
      <c r="BM197" s="455" t="s">
        <v>2945</v>
      </c>
    </row>
    <row r="198" spans="2:65" s="365" customFormat="1" ht="21.75" customHeight="1" x14ac:dyDescent="0.25">
      <c r="B198" s="364"/>
      <c r="C198" s="445" t="s">
        <v>577</v>
      </c>
      <c r="D198" s="445" t="s">
        <v>218</v>
      </c>
      <c r="E198" s="446" t="s">
        <v>2348</v>
      </c>
      <c r="F198" s="447" t="s">
        <v>2349</v>
      </c>
      <c r="G198" s="448" t="s">
        <v>123</v>
      </c>
      <c r="H198" s="449">
        <v>2</v>
      </c>
      <c r="I198" s="329">
        <v>0</v>
      </c>
      <c r="J198" s="450">
        <f t="shared" si="30"/>
        <v>0</v>
      </c>
      <c r="K198" s="451"/>
      <c r="L198" s="364"/>
      <c r="M198" s="452" t="s">
        <v>171</v>
      </c>
      <c r="N198" s="415" t="s">
        <v>185</v>
      </c>
      <c r="O198" s="453">
        <v>1.71</v>
      </c>
      <c r="P198" s="453">
        <f t="shared" si="31"/>
        <v>3.42</v>
      </c>
      <c r="Q198" s="453">
        <v>0</v>
      </c>
      <c r="R198" s="453">
        <f t="shared" si="32"/>
        <v>0</v>
      </c>
      <c r="S198" s="453">
        <v>0</v>
      </c>
      <c r="T198" s="454">
        <f t="shared" si="33"/>
        <v>0</v>
      </c>
      <c r="AR198" s="455" t="s">
        <v>625</v>
      </c>
      <c r="AT198" s="455" t="s">
        <v>218</v>
      </c>
      <c r="AU198" s="455" t="s">
        <v>108</v>
      </c>
      <c r="AY198" s="357" t="s">
        <v>217</v>
      </c>
      <c r="BE198" s="456">
        <f t="shared" si="34"/>
        <v>0</v>
      </c>
      <c r="BF198" s="456">
        <f t="shared" si="35"/>
        <v>0</v>
      </c>
      <c r="BG198" s="456">
        <f t="shared" si="36"/>
        <v>0</v>
      </c>
      <c r="BH198" s="456">
        <f t="shared" si="37"/>
        <v>0</v>
      </c>
      <c r="BI198" s="456">
        <f t="shared" si="38"/>
        <v>0</v>
      </c>
      <c r="BJ198" s="357" t="s">
        <v>108</v>
      </c>
      <c r="BK198" s="456">
        <f t="shared" si="39"/>
        <v>0</v>
      </c>
      <c r="BL198" s="357" t="s">
        <v>625</v>
      </c>
      <c r="BM198" s="455" t="s">
        <v>2946</v>
      </c>
    </row>
    <row r="199" spans="2:65" s="365" customFormat="1" ht="24.2" customHeight="1" x14ac:dyDescent="0.25">
      <c r="B199" s="364"/>
      <c r="C199" s="457" t="s">
        <v>581</v>
      </c>
      <c r="D199" s="457" t="s">
        <v>259</v>
      </c>
      <c r="E199" s="458" t="s">
        <v>2354</v>
      </c>
      <c r="F199" s="459" t="s">
        <v>2355</v>
      </c>
      <c r="G199" s="460" t="s">
        <v>123</v>
      </c>
      <c r="H199" s="461">
        <v>1</v>
      </c>
      <c r="I199" s="330">
        <v>0</v>
      </c>
      <c r="J199" s="462">
        <f t="shared" si="30"/>
        <v>0</v>
      </c>
      <c r="K199" s="463"/>
      <c r="L199" s="464"/>
      <c r="M199" s="465" t="s">
        <v>171</v>
      </c>
      <c r="N199" s="466" t="s">
        <v>185</v>
      </c>
      <c r="O199" s="453">
        <v>0</v>
      </c>
      <c r="P199" s="453">
        <f t="shared" si="31"/>
        <v>0</v>
      </c>
      <c r="Q199" s="453">
        <v>9.3500000000000007E-3</v>
      </c>
      <c r="R199" s="453">
        <f t="shared" si="32"/>
        <v>9.3500000000000007E-3</v>
      </c>
      <c r="S199" s="453">
        <v>0</v>
      </c>
      <c r="T199" s="454">
        <f t="shared" si="33"/>
        <v>0</v>
      </c>
      <c r="AR199" s="455" t="s">
        <v>1631</v>
      </c>
      <c r="AT199" s="455" t="s">
        <v>259</v>
      </c>
      <c r="AU199" s="455" t="s">
        <v>108</v>
      </c>
      <c r="AY199" s="357" t="s">
        <v>217</v>
      </c>
      <c r="BE199" s="456">
        <f t="shared" si="34"/>
        <v>0</v>
      </c>
      <c r="BF199" s="456">
        <f t="shared" si="35"/>
        <v>0</v>
      </c>
      <c r="BG199" s="456">
        <f t="shared" si="36"/>
        <v>0</v>
      </c>
      <c r="BH199" s="456">
        <f t="shared" si="37"/>
        <v>0</v>
      </c>
      <c r="BI199" s="456">
        <f t="shared" si="38"/>
        <v>0</v>
      </c>
      <c r="BJ199" s="357" t="s">
        <v>108</v>
      </c>
      <c r="BK199" s="456">
        <f t="shared" si="39"/>
        <v>0</v>
      </c>
      <c r="BL199" s="357" t="s">
        <v>1631</v>
      </c>
      <c r="BM199" s="455" t="s">
        <v>2947</v>
      </c>
    </row>
    <row r="200" spans="2:65" s="365" customFormat="1" ht="16.5" customHeight="1" x14ac:dyDescent="0.25">
      <c r="B200" s="364"/>
      <c r="C200" s="445" t="s">
        <v>585</v>
      </c>
      <c r="D200" s="445" t="s">
        <v>218</v>
      </c>
      <c r="E200" s="446" t="s">
        <v>2357</v>
      </c>
      <c r="F200" s="447" t="s">
        <v>2358</v>
      </c>
      <c r="G200" s="448" t="s">
        <v>123</v>
      </c>
      <c r="H200" s="449">
        <v>24</v>
      </c>
      <c r="I200" s="329">
        <v>0</v>
      </c>
      <c r="J200" s="450">
        <f t="shared" si="30"/>
        <v>0</v>
      </c>
      <c r="K200" s="451"/>
      <c r="L200" s="364"/>
      <c r="M200" s="452" t="s">
        <v>171</v>
      </c>
      <c r="N200" s="415" t="s">
        <v>185</v>
      </c>
      <c r="O200" s="453">
        <v>1.3340000000000001</v>
      </c>
      <c r="P200" s="453">
        <f t="shared" si="31"/>
        <v>32.016000000000005</v>
      </c>
      <c r="Q200" s="453">
        <v>0</v>
      </c>
      <c r="R200" s="453">
        <f t="shared" si="32"/>
        <v>0</v>
      </c>
      <c r="S200" s="453">
        <v>0</v>
      </c>
      <c r="T200" s="454">
        <f t="shared" si="33"/>
        <v>0</v>
      </c>
      <c r="AR200" s="455" t="s">
        <v>625</v>
      </c>
      <c r="AT200" s="455" t="s">
        <v>218</v>
      </c>
      <c r="AU200" s="455" t="s">
        <v>108</v>
      </c>
      <c r="AY200" s="357" t="s">
        <v>217</v>
      </c>
      <c r="BE200" s="456">
        <f t="shared" si="34"/>
        <v>0</v>
      </c>
      <c r="BF200" s="456">
        <f t="shared" si="35"/>
        <v>0</v>
      </c>
      <c r="BG200" s="456">
        <f t="shared" si="36"/>
        <v>0</v>
      </c>
      <c r="BH200" s="456">
        <f t="shared" si="37"/>
        <v>0</v>
      </c>
      <c r="BI200" s="456">
        <f t="shared" si="38"/>
        <v>0</v>
      </c>
      <c r="BJ200" s="357" t="s">
        <v>108</v>
      </c>
      <c r="BK200" s="456">
        <f t="shared" si="39"/>
        <v>0</v>
      </c>
      <c r="BL200" s="357" t="s">
        <v>625</v>
      </c>
      <c r="BM200" s="455" t="s">
        <v>2948</v>
      </c>
    </row>
    <row r="201" spans="2:65" s="365" customFormat="1" ht="24.2" customHeight="1" x14ac:dyDescent="0.25">
      <c r="B201" s="364"/>
      <c r="C201" s="457" t="s">
        <v>589</v>
      </c>
      <c r="D201" s="457" t="s">
        <v>259</v>
      </c>
      <c r="E201" s="458" t="s">
        <v>2360</v>
      </c>
      <c r="F201" s="459" t="s">
        <v>2361</v>
      </c>
      <c r="G201" s="460" t="s">
        <v>123</v>
      </c>
      <c r="H201" s="461">
        <v>24</v>
      </c>
      <c r="I201" s="330">
        <v>0</v>
      </c>
      <c r="J201" s="462">
        <f t="shared" si="30"/>
        <v>0</v>
      </c>
      <c r="K201" s="463"/>
      <c r="L201" s="464"/>
      <c r="M201" s="465" t="s">
        <v>171</v>
      </c>
      <c r="N201" s="466" t="s">
        <v>185</v>
      </c>
      <c r="O201" s="453">
        <v>0</v>
      </c>
      <c r="P201" s="453">
        <f t="shared" si="31"/>
        <v>0</v>
      </c>
      <c r="Q201" s="453">
        <v>0</v>
      </c>
      <c r="R201" s="453">
        <f t="shared" si="32"/>
        <v>0</v>
      </c>
      <c r="S201" s="453">
        <v>0</v>
      </c>
      <c r="T201" s="454">
        <f t="shared" si="33"/>
        <v>0</v>
      </c>
      <c r="AR201" s="455" t="s">
        <v>1631</v>
      </c>
      <c r="AT201" s="455" t="s">
        <v>259</v>
      </c>
      <c r="AU201" s="455" t="s">
        <v>108</v>
      </c>
      <c r="AY201" s="357" t="s">
        <v>217</v>
      </c>
      <c r="BE201" s="456">
        <f t="shared" si="34"/>
        <v>0</v>
      </c>
      <c r="BF201" s="456">
        <f t="shared" si="35"/>
        <v>0</v>
      </c>
      <c r="BG201" s="456">
        <f t="shared" si="36"/>
        <v>0</v>
      </c>
      <c r="BH201" s="456">
        <f t="shared" si="37"/>
        <v>0</v>
      </c>
      <c r="BI201" s="456">
        <f t="shared" si="38"/>
        <v>0</v>
      </c>
      <c r="BJ201" s="357" t="s">
        <v>108</v>
      </c>
      <c r="BK201" s="456">
        <f t="shared" si="39"/>
        <v>0</v>
      </c>
      <c r="BL201" s="357" t="s">
        <v>1631</v>
      </c>
      <c r="BM201" s="455" t="s">
        <v>2949</v>
      </c>
    </row>
    <row r="202" spans="2:65" s="365" customFormat="1" ht="16.5" customHeight="1" x14ac:dyDescent="0.25">
      <c r="B202" s="364"/>
      <c r="C202" s="457" t="s">
        <v>593</v>
      </c>
      <c r="D202" s="457" t="s">
        <v>259</v>
      </c>
      <c r="E202" s="458" t="s">
        <v>2363</v>
      </c>
      <c r="F202" s="459" t="s">
        <v>2364</v>
      </c>
      <c r="G202" s="460" t="s">
        <v>123</v>
      </c>
      <c r="H202" s="461">
        <v>48</v>
      </c>
      <c r="I202" s="330">
        <v>0</v>
      </c>
      <c r="J202" s="462">
        <f t="shared" si="30"/>
        <v>0</v>
      </c>
      <c r="K202" s="463"/>
      <c r="L202" s="464"/>
      <c r="M202" s="465" t="s">
        <v>171</v>
      </c>
      <c r="N202" s="466" t="s">
        <v>185</v>
      </c>
      <c r="O202" s="453">
        <v>0</v>
      </c>
      <c r="P202" s="453">
        <f t="shared" si="31"/>
        <v>0</v>
      </c>
      <c r="Q202" s="453">
        <v>6.0000000000000002E-5</v>
      </c>
      <c r="R202" s="453">
        <f t="shared" si="32"/>
        <v>2.8800000000000002E-3</v>
      </c>
      <c r="S202" s="453">
        <v>0</v>
      </c>
      <c r="T202" s="454">
        <f t="shared" si="33"/>
        <v>0</v>
      </c>
      <c r="AR202" s="455" t="s">
        <v>1631</v>
      </c>
      <c r="AT202" s="455" t="s">
        <v>259</v>
      </c>
      <c r="AU202" s="455" t="s">
        <v>108</v>
      </c>
      <c r="AY202" s="357" t="s">
        <v>217</v>
      </c>
      <c r="BE202" s="456">
        <f t="shared" si="34"/>
        <v>0</v>
      </c>
      <c r="BF202" s="456">
        <f t="shared" si="35"/>
        <v>0</v>
      </c>
      <c r="BG202" s="456">
        <f t="shared" si="36"/>
        <v>0</v>
      </c>
      <c r="BH202" s="456">
        <f t="shared" si="37"/>
        <v>0</v>
      </c>
      <c r="BI202" s="456">
        <f t="shared" si="38"/>
        <v>0</v>
      </c>
      <c r="BJ202" s="357" t="s">
        <v>108</v>
      </c>
      <c r="BK202" s="456">
        <f t="shared" si="39"/>
        <v>0</v>
      </c>
      <c r="BL202" s="357" t="s">
        <v>1631</v>
      </c>
      <c r="BM202" s="455" t="s">
        <v>2950</v>
      </c>
    </row>
    <row r="203" spans="2:65" s="365" customFormat="1" ht="16.5" customHeight="1" x14ac:dyDescent="0.25">
      <c r="B203" s="364"/>
      <c r="C203" s="445" t="s">
        <v>597</v>
      </c>
      <c r="D203" s="445" t="s">
        <v>218</v>
      </c>
      <c r="E203" s="446" t="s">
        <v>2366</v>
      </c>
      <c r="F203" s="447" t="s">
        <v>2367</v>
      </c>
      <c r="G203" s="448" t="s">
        <v>123</v>
      </c>
      <c r="H203" s="449">
        <v>23</v>
      </c>
      <c r="I203" s="329">
        <v>0</v>
      </c>
      <c r="J203" s="450">
        <f t="shared" si="30"/>
        <v>0</v>
      </c>
      <c r="K203" s="451"/>
      <c r="L203" s="364"/>
      <c r="M203" s="452" t="s">
        <v>171</v>
      </c>
      <c r="N203" s="415" t="s">
        <v>185</v>
      </c>
      <c r="O203" s="453">
        <v>0.66700000000000004</v>
      </c>
      <c r="P203" s="453">
        <f t="shared" si="31"/>
        <v>15.341000000000001</v>
      </c>
      <c r="Q203" s="453">
        <v>0</v>
      </c>
      <c r="R203" s="453">
        <f t="shared" si="32"/>
        <v>0</v>
      </c>
      <c r="S203" s="453">
        <v>0</v>
      </c>
      <c r="T203" s="454">
        <f t="shared" si="33"/>
        <v>0</v>
      </c>
      <c r="AR203" s="455" t="s">
        <v>625</v>
      </c>
      <c r="AT203" s="455" t="s">
        <v>218</v>
      </c>
      <c r="AU203" s="455" t="s">
        <v>108</v>
      </c>
      <c r="AY203" s="357" t="s">
        <v>217</v>
      </c>
      <c r="BE203" s="456">
        <f t="shared" si="34"/>
        <v>0</v>
      </c>
      <c r="BF203" s="456">
        <f t="shared" si="35"/>
        <v>0</v>
      </c>
      <c r="BG203" s="456">
        <f t="shared" si="36"/>
        <v>0</v>
      </c>
      <c r="BH203" s="456">
        <f t="shared" si="37"/>
        <v>0</v>
      </c>
      <c r="BI203" s="456">
        <f t="shared" si="38"/>
        <v>0</v>
      </c>
      <c r="BJ203" s="357" t="s">
        <v>108</v>
      </c>
      <c r="BK203" s="456">
        <f t="shared" si="39"/>
        <v>0</v>
      </c>
      <c r="BL203" s="357" t="s">
        <v>625</v>
      </c>
      <c r="BM203" s="455" t="s">
        <v>2951</v>
      </c>
    </row>
    <row r="204" spans="2:65" s="365" customFormat="1" ht="24.2" customHeight="1" x14ac:dyDescent="0.25">
      <c r="B204" s="364"/>
      <c r="C204" s="445" t="s">
        <v>601</v>
      </c>
      <c r="D204" s="445" t="s">
        <v>218</v>
      </c>
      <c r="E204" s="446" t="s">
        <v>2369</v>
      </c>
      <c r="F204" s="447" t="s">
        <v>2370</v>
      </c>
      <c r="G204" s="448" t="s">
        <v>113</v>
      </c>
      <c r="H204" s="449">
        <v>36</v>
      </c>
      <c r="I204" s="329">
        <v>0</v>
      </c>
      <c r="J204" s="450">
        <f t="shared" si="30"/>
        <v>0</v>
      </c>
      <c r="K204" s="451"/>
      <c r="L204" s="364"/>
      <c r="M204" s="452" t="s">
        <v>171</v>
      </c>
      <c r="N204" s="415" t="s">
        <v>185</v>
      </c>
      <c r="O204" s="453">
        <v>0.15</v>
      </c>
      <c r="P204" s="453">
        <f t="shared" si="31"/>
        <v>5.3999999999999995</v>
      </c>
      <c r="Q204" s="453">
        <v>0</v>
      </c>
      <c r="R204" s="453">
        <f t="shared" si="32"/>
        <v>0</v>
      </c>
      <c r="S204" s="453">
        <v>0</v>
      </c>
      <c r="T204" s="454">
        <f t="shared" si="33"/>
        <v>0</v>
      </c>
      <c r="AR204" s="455" t="s">
        <v>625</v>
      </c>
      <c r="AT204" s="455" t="s">
        <v>218</v>
      </c>
      <c r="AU204" s="455" t="s">
        <v>108</v>
      </c>
      <c r="AY204" s="357" t="s">
        <v>217</v>
      </c>
      <c r="BE204" s="456">
        <f t="shared" si="34"/>
        <v>0</v>
      </c>
      <c r="BF204" s="456">
        <f t="shared" si="35"/>
        <v>0</v>
      </c>
      <c r="BG204" s="456">
        <f t="shared" si="36"/>
        <v>0</v>
      </c>
      <c r="BH204" s="456">
        <f t="shared" si="37"/>
        <v>0</v>
      </c>
      <c r="BI204" s="456">
        <f t="shared" si="38"/>
        <v>0</v>
      </c>
      <c r="BJ204" s="357" t="s">
        <v>108</v>
      </c>
      <c r="BK204" s="456">
        <f t="shared" si="39"/>
        <v>0</v>
      </c>
      <c r="BL204" s="357" t="s">
        <v>625</v>
      </c>
      <c r="BM204" s="455" t="s">
        <v>2952</v>
      </c>
    </row>
    <row r="205" spans="2:65" s="365" customFormat="1" ht="16.5" customHeight="1" x14ac:dyDescent="0.25">
      <c r="B205" s="364"/>
      <c r="C205" s="457" t="s">
        <v>605</v>
      </c>
      <c r="D205" s="457" t="s">
        <v>259</v>
      </c>
      <c r="E205" s="458" t="s">
        <v>2372</v>
      </c>
      <c r="F205" s="459" t="s">
        <v>2373</v>
      </c>
      <c r="G205" s="460" t="s">
        <v>536</v>
      </c>
      <c r="H205" s="461">
        <v>25.2</v>
      </c>
      <c r="I205" s="330">
        <v>0</v>
      </c>
      <c r="J205" s="462">
        <f t="shared" si="30"/>
        <v>0</v>
      </c>
      <c r="K205" s="463"/>
      <c r="L205" s="464"/>
      <c r="M205" s="465" t="s">
        <v>171</v>
      </c>
      <c r="N205" s="466" t="s">
        <v>185</v>
      </c>
      <c r="O205" s="453">
        <v>0</v>
      </c>
      <c r="P205" s="453">
        <f t="shared" si="31"/>
        <v>0</v>
      </c>
      <c r="Q205" s="453">
        <v>1E-3</v>
      </c>
      <c r="R205" s="453">
        <f t="shared" si="32"/>
        <v>2.52E-2</v>
      </c>
      <c r="S205" s="453">
        <v>0</v>
      </c>
      <c r="T205" s="454">
        <f t="shared" si="33"/>
        <v>0</v>
      </c>
      <c r="AR205" s="455" t="s">
        <v>1631</v>
      </c>
      <c r="AT205" s="455" t="s">
        <v>259</v>
      </c>
      <c r="AU205" s="455" t="s">
        <v>108</v>
      </c>
      <c r="AY205" s="357" t="s">
        <v>217</v>
      </c>
      <c r="BE205" s="456">
        <f t="shared" si="34"/>
        <v>0</v>
      </c>
      <c r="BF205" s="456">
        <f t="shared" si="35"/>
        <v>0</v>
      </c>
      <c r="BG205" s="456">
        <f t="shared" si="36"/>
        <v>0</v>
      </c>
      <c r="BH205" s="456">
        <f t="shared" si="37"/>
        <v>0</v>
      </c>
      <c r="BI205" s="456">
        <f t="shared" si="38"/>
        <v>0</v>
      </c>
      <c r="BJ205" s="357" t="s">
        <v>108</v>
      </c>
      <c r="BK205" s="456">
        <f t="shared" si="39"/>
        <v>0</v>
      </c>
      <c r="BL205" s="357" t="s">
        <v>1631</v>
      </c>
      <c r="BM205" s="455" t="s">
        <v>2953</v>
      </c>
    </row>
    <row r="206" spans="2:65" s="365" customFormat="1" ht="24.2" customHeight="1" x14ac:dyDescent="0.25">
      <c r="B206" s="364"/>
      <c r="C206" s="445" t="s">
        <v>609</v>
      </c>
      <c r="D206" s="445" t="s">
        <v>218</v>
      </c>
      <c r="E206" s="446" t="s">
        <v>2375</v>
      </c>
      <c r="F206" s="447" t="s">
        <v>2376</v>
      </c>
      <c r="G206" s="448" t="s">
        <v>113</v>
      </c>
      <c r="H206" s="449">
        <v>700</v>
      </c>
      <c r="I206" s="329">
        <v>0</v>
      </c>
      <c r="J206" s="450">
        <f t="shared" si="30"/>
        <v>0</v>
      </c>
      <c r="K206" s="451"/>
      <c r="L206" s="364"/>
      <c r="M206" s="452" t="s">
        <v>171</v>
      </c>
      <c r="N206" s="415" t="s">
        <v>185</v>
      </c>
      <c r="O206" s="453">
        <v>0.11799999999999999</v>
      </c>
      <c r="P206" s="453">
        <f t="shared" si="31"/>
        <v>82.6</v>
      </c>
      <c r="Q206" s="453">
        <v>0</v>
      </c>
      <c r="R206" s="453">
        <f t="shared" si="32"/>
        <v>0</v>
      </c>
      <c r="S206" s="453">
        <v>0</v>
      </c>
      <c r="T206" s="454">
        <f t="shared" si="33"/>
        <v>0</v>
      </c>
      <c r="AR206" s="455" t="s">
        <v>625</v>
      </c>
      <c r="AT206" s="455" t="s">
        <v>218</v>
      </c>
      <c r="AU206" s="455" t="s">
        <v>108</v>
      </c>
      <c r="AY206" s="357" t="s">
        <v>217</v>
      </c>
      <c r="BE206" s="456">
        <f t="shared" si="34"/>
        <v>0</v>
      </c>
      <c r="BF206" s="456">
        <f t="shared" si="35"/>
        <v>0</v>
      </c>
      <c r="BG206" s="456">
        <f t="shared" si="36"/>
        <v>0</v>
      </c>
      <c r="BH206" s="456">
        <f t="shared" si="37"/>
        <v>0</v>
      </c>
      <c r="BI206" s="456">
        <f t="shared" si="38"/>
        <v>0</v>
      </c>
      <c r="BJ206" s="357" t="s">
        <v>108</v>
      </c>
      <c r="BK206" s="456">
        <f t="shared" si="39"/>
        <v>0</v>
      </c>
      <c r="BL206" s="357" t="s">
        <v>625</v>
      </c>
      <c r="BM206" s="455" t="s">
        <v>2954</v>
      </c>
    </row>
    <row r="207" spans="2:65" s="365" customFormat="1" ht="16.5" customHeight="1" x14ac:dyDescent="0.25">
      <c r="B207" s="364"/>
      <c r="C207" s="457" t="s">
        <v>613</v>
      </c>
      <c r="D207" s="457" t="s">
        <v>259</v>
      </c>
      <c r="E207" s="458" t="s">
        <v>2378</v>
      </c>
      <c r="F207" s="459" t="s">
        <v>2379</v>
      </c>
      <c r="G207" s="460" t="s">
        <v>536</v>
      </c>
      <c r="H207" s="461">
        <v>659.4</v>
      </c>
      <c r="I207" s="330">
        <v>0</v>
      </c>
      <c r="J207" s="462">
        <f t="shared" si="30"/>
        <v>0</v>
      </c>
      <c r="K207" s="463"/>
      <c r="L207" s="464"/>
      <c r="M207" s="465" t="s">
        <v>171</v>
      </c>
      <c r="N207" s="466" t="s">
        <v>185</v>
      </c>
      <c r="O207" s="453">
        <v>0</v>
      </c>
      <c r="P207" s="453">
        <f t="shared" si="31"/>
        <v>0</v>
      </c>
      <c r="Q207" s="453">
        <v>1E-3</v>
      </c>
      <c r="R207" s="453">
        <f t="shared" si="32"/>
        <v>0.65939999999999999</v>
      </c>
      <c r="S207" s="453">
        <v>0</v>
      </c>
      <c r="T207" s="454">
        <f t="shared" si="33"/>
        <v>0</v>
      </c>
      <c r="AR207" s="455" t="s">
        <v>1631</v>
      </c>
      <c r="AT207" s="455" t="s">
        <v>259</v>
      </c>
      <c r="AU207" s="455" t="s">
        <v>108</v>
      </c>
      <c r="AY207" s="357" t="s">
        <v>217</v>
      </c>
      <c r="BE207" s="456">
        <f t="shared" si="34"/>
        <v>0</v>
      </c>
      <c r="BF207" s="456">
        <f t="shared" si="35"/>
        <v>0</v>
      </c>
      <c r="BG207" s="456">
        <f t="shared" si="36"/>
        <v>0</v>
      </c>
      <c r="BH207" s="456">
        <f t="shared" si="37"/>
        <v>0</v>
      </c>
      <c r="BI207" s="456">
        <f t="shared" si="38"/>
        <v>0</v>
      </c>
      <c r="BJ207" s="357" t="s">
        <v>108</v>
      </c>
      <c r="BK207" s="456">
        <f t="shared" si="39"/>
        <v>0</v>
      </c>
      <c r="BL207" s="357" t="s">
        <v>1631</v>
      </c>
      <c r="BM207" s="455" t="s">
        <v>2955</v>
      </c>
    </row>
    <row r="208" spans="2:65" s="365" customFormat="1" ht="16.5" customHeight="1" x14ac:dyDescent="0.25">
      <c r="B208" s="364"/>
      <c r="C208" s="445" t="s">
        <v>617</v>
      </c>
      <c r="D208" s="445" t="s">
        <v>218</v>
      </c>
      <c r="E208" s="446" t="s">
        <v>2387</v>
      </c>
      <c r="F208" s="447" t="s">
        <v>2388</v>
      </c>
      <c r="G208" s="448" t="s">
        <v>123</v>
      </c>
      <c r="H208" s="449">
        <v>25</v>
      </c>
      <c r="I208" s="329">
        <v>0</v>
      </c>
      <c r="J208" s="450">
        <f t="shared" si="30"/>
        <v>0</v>
      </c>
      <c r="K208" s="451"/>
      <c r="L208" s="364"/>
      <c r="M208" s="452" t="s">
        <v>171</v>
      </c>
      <c r="N208" s="415" t="s">
        <v>185</v>
      </c>
      <c r="O208" s="453">
        <v>0.11700000000000001</v>
      </c>
      <c r="P208" s="453">
        <f t="shared" si="31"/>
        <v>2.9250000000000003</v>
      </c>
      <c r="Q208" s="453">
        <v>0</v>
      </c>
      <c r="R208" s="453">
        <f t="shared" si="32"/>
        <v>0</v>
      </c>
      <c r="S208" s="453">
        <v>0</v>
      </c>
      <c r="T208" s="454">
        <f t="shared" si="33"/>
        <v>0</v>
      </c>
      <c r="AR208" s="455" t="s">
        <v>625</v>
      </c>
      <c r="AT208" s="455" t="s">
        <v>218</v>
      </c>
      <c r="AU208" s="455" t="s">
        <v>108</v>
      </c>
      <c r="AY208" s="357" t="s">
        <v>217</v>
      </c>
      <c r="BE208" s="456">
        <f t="shared" si="34"/>
        <v>0</v>
      </c>
      <c r="BF208" s="456">
        <f t="shared" si="35"/>
        <v>0</v>
      </c>
      <c r="BG208" s="456">
        <f t="shared" si="36"/>
        <v>0</v>
      </c>
      <c r="BH208" s="456">
        <f t="shared" si="37"/>
        <v>0</v>
      </c>
      <c r="BI208" s="456">
        <f t="shared" si="38"/>
        <v>0</v>
      </c>
      <c r="BJ208" s="357" t="s">
        <v>108</v>
      </c>
      <c r="BK208" s="456">
        <f t="shared" si="39"/>
        <v>0</v>
      </c>
      <c r="BL208" s="357" t="s">
        <v>625</v>
      </c>
      <c r="BM208" s="455" t="s">
        <v>2956</v>
      </c>
    </row>
    <row r="209" spans="2:65" s="365" customFormat="1" ht="16.5" customHeight="1" x14ac:dyDescent="0.25">
      <c r="B209" s="364"/>
      <c r="C209" s="457" t="s">
        <v>621</v>
      </c>
      <c r="D209" s="457" t="s">
        <v>259</v>
      </c>
      <c r="E209" s="458" t="s">
        <v>2390</v>
      </c>
      <c r="F209" s="459" t="s">
        <v>2391</v>
      </c>
      <c r="G209" s="460" t="s">
        <v>123</v>
      </c>
      <c r="H209" s="461">
        <v>25</v>
      </c>
      <c r="I209" s="330">
        <v>0</v>
      </c>
      <c r="J209" s="462">
        <f t="shared" si="30"/>
        <v>0</v>
      </c>
      <c r="K209" s="463"/>
      <c r="L209" s="464"/>
      <c r="M209" s="465" t="s">
        <v>171</v>
      </c>
      <c r="N209" s="466" t="s">
        <v>185</v>
      </c>
      <c r="O209" s="453">
        <v>0</v>
      </c>
      <c r="P209" s="453">
        <f t="shared" si="31"/>
        <v>0</v>
      </c>
      <c r="Q209" s="453">
        <v>1.3999999999999999E-4</v>
      </c>
      <c r="R209" s="453">
        <f t="shared" si="32"/>
        <v>3.4999999999999996E-3</v>
      </c>
      <c r="S209" s="453">
        <v>0</v>
      </c>
      <c r="T209" s="454">
        <f t="shared" si="33"/>
        <v>0</v>
      </c>
      <c r="AR209" s="455" t="s">
        <v>1631</v>
      </c>
      <c r="AT209" s="455" t="s">
        <v>259</v>
      </c>
      <c r="AU209" s="455" t="s">
        <v>108</v>
      </c>
      <c r="AY209" s="357" t="s">
        <v>217</v>
      </c>
      <c r="BE209" s="456">
        <f t="shared" si="34"/>
        <v>0</v>
      </c>
      <c r="BF209" s="456">
        <f t="shared" si="35"/>
        <v>0</v>
      </c>
      <c r="BG209" s="456">
        <f t="shared" si="36"/>
        <v>0</v>
      </c>
      <c r="BH209" s="456">
        <f t="shared" si="37"/>
        <v>0</v>
      </c>
      <c r="BI209" s="456">
        <f t="shared" si="38"/>
        <v>0</v>
      </c>
      <c r="BJ209" s="357" t="s">
        <v>108</v>
      </c>
      <c r="BK209" s="456">
        <f t="shared" si="39"/>
        <v>0</v>
      </c>
      <c r="BL209" s="357" t="s">
        <v>1631</v>
      </c>
      <c r="BM209" s="455" t="s">
        <v>2957</v>
      </c>
    </row>
    <row r="210" spans="2:65" s="365" customFormat="1" ht="21.75" customHeight="1" x14ac:dyDescent="0.25">
      <c r="B210" s="364"/>
      <c r="C210" s="445" t="s">
        <v>625</v>
      </c>
      <c r="D210" s="445" t="s">
        <v>218</v>
      </c>
      <c r="E210" s="446" t="s">
        <v>2399</v>
      </c>
      <c r="F210" s="447" t="s">
        <v>2400</v>
      </c>
      <c r="G210" s="448" t="s">
        <v>113</v>
      </c>
      <c r="H210" s="449">
        <v>825</v>
      </c>
      <c r="I210" s="329">
        <v>0</v>
      </c>
      <c r="J210" s="450">
        <f t="shared" si="30"/>
        <v>0</v>
      </c>
      <c r="K210" s="451"/>
      <c r="L210" s="364"/>
      <c r="M210" s="452" t="s">
        <v>171</v>
      </c>
      <c r="N210" s="415" t="s">
        <v>185</v>
      </c>
      <c r="O210" s="453">
        <v>6.3E-2</v>
      </c>
      <c r="P210" s="453">
        <f t="shared" si="31"/>
        <v>51.975000000000001</v>
      </c>
      <c r="Q210" s="453">
        <v>0</v>
      </c>
      <c r="R210" s="453">
        <f t="shared" si="32"/>
        <v>0</v>
      </c>
      <c r="S210" s="453">
        <v>0</v>
      </c>
      <c r="T210" s="454">
        <f t="shared" si="33"/>
        <v>0</v>
      </c>
      <c r="AR210" s="455" t="s">
        <v>625</v>
      </c>
      <c r="AT210" s="455" t="s">
        <v>218</v>
      </c>
      <c r="AU210" s="455" t="s">
        <v>108</v>
      </c>
      <c r="AY210" s="357" t="s">
        <v>217</v>
      </c>
      <c r="BE210" s="456">
        <f t="shared" si="34"/>
        <v>0</v>
      </c>
      <c r="BF210" s="456">
        <f t="shared" si="35"/>
        <v>0</v>
      </c>
      <c r="BG210" s="456">
        <f t="shared" si="36"/>
        <v>0</v>
      </c>
      <c r="BH210" s="456">
        <f t="shared" si="37"/>
        <v>0</v>
      </c>
      <c r="BI210" s="456">
        <f t="shared" si="38"/>
        <v>0</v>
      </c>
      <c r="BJ210" s="357" t="s">
        <v>108</v>
      </c>
      <c r="BK210" s="456">
        <f t="shared" si="39"/>
        <v>0</v>
      </c>
      <c r="BL210" s="357" t="s">
        <v>625</v>
      </c>
      <c r="BM210" s="455" t="s">
        <v>2958</v>
      </c>
    </row>
    <row r="211" spans="2:65" s="365" customFormat="1" ht="16.5" customHeight="1" x14ac:dyDescent="0.25">
      <c r="B211" s="364"/>
      <c r="C211" s="457" t="s">
        <v>629</v>
      </c>
      <c r="D211" s="457" t="s">
        <v>259</v>
      </c>
      <c r="E211" s="458" t="s">
        <v>2402</v>
      </c>
      <c r="F211" s="459" t="s">
        <v>2403</v>
      </c>
      <c r="G211" s="460" t="s">
        <v>113</v>
      </c>
      <c r="H211" s="461">
        <v>825</v>
      </c>
      <c r="I211" s="330">
        <v>0</v>
      </c>
      <c r="J211" s="462">
        <f t="shared" si="30"/>
        <v>0</v>
      </c>
      <c r="K211" s="463"/>
      <c r="L211" s="464"/>
      <c r="M211" s="465" t="s">
        <v>171</v>
      </c>
      <c r="N211" s="466" t="s">
        <v>185</v>
      </c>
      <c r="O211" s="453">
        <v>0</v>
      </c>
      <c r="P211" s="453">
        <f t="shared" si="31"/>
        <v>0</v>
      </c>
      <c r="Q211" s="453">
        <v>8.9999999999999998E-4</v>
      </c>
      <c r="R211" s="453">
        <f t="shared" si="32"/>
        <v>0.74249999999999994</v>
      </c>
      <c r="S211" s="453">
        <v>0</v>
      </c>
      <c r="T211" s="454">
        <f t="shared" si="33"/>
        <v>0</v>
      </c>
      <c r="AR211" s="455" t="s">
        <v>1631</v>
      </c>
      <c r="AT211" s="455" t="s">
        <v>259</v>
      </c>
      <c r="AU211" s="455" t="s">
        <v>108</v>
      </c>
      <c r="AY211" s="357" t="s">
        <v>217</v>
      </c>
      <c r="BE211" s="456">
        <f t="shared" si="34"/>
        <v>0</v>
      </c>
      <c r="BF211" s="456">
        <f t="shared" si="35"/>
        <v>0</v>
      </c>
      <c r="BG211" s="456">
        <f t="shared" si="36"/>
        <v>0</v>
      </c>
      <c r="BH211" s="456">
        <f t="shared" si="37"/>
        <v>0</v>
      </c>
      <c r="BI211" s="456">
        <f t="shared" si="38"/>
        <v>0</v>
      </c>
      <c r="BJ211" s="357" t="s">
        <v>108</v>
      </c>
      <c r="BK211" s="456">
        <f t="shared" si="39"/>
        <v>0</v>
      </c>
      <c r="BL211" s="357" t="s">
        <v>1631</v>
      </c>
      <c r="BM211" s="455" t="s">
        <v>2959</v>
      </c>
    </row>
    <row r="212" spans="2:65" s="365" customFormat="1" ht="21.75" customHeight="1" x14ac:dyDescent="0.25">
      <c r="B212" s="364"/>
      <c r="C212" s="445" t="s">
        <v>634</v>
      </c>
      <c r="D212" s="445" t="s">
        <v>218</v>
      </c>
      <c r="E212" s="446" t="s">
        <v>2405</v>
      </c>
      <c r="F212" s="447" t="s">
        <v>2406</v>
      </c>
      <c r="G212" s="448" t="s">
        <v>113</v>
      </c>
      <c r="H212" s="449">
        <v>830</v>
      </c>
      <c r="I212" s="329">
        <v>0</v>
      </c>
      <c r="J212" s="450">
        <f t="shared" si="30"/>
        <v>0</v>
      </c>
      <c r="K212" s="451"/>
      <c r="L212" s="364"/>
      <c r="M212" s="452" t="s">
        <v>171</v>
      </c>
      <c r="N212" s="415" t="s">
        <v>185</v>
      </c>
      <c r="O212" s="453">
        <v>0.02</v>
      </c>
      <c r="P212" s="453">
        <f t="shared" si="31"/>
        <v>16.600000000000001</v>
      </c>
      <c r="Q212" s="453">
        <v>0</v>
      </c>
      <c r="R212" s="453">
        <f t="shared" si="32"/>
        <v>0</v>
      </c>
      <c r="S212" s="453">
        <v>0</v>
      </c>
      <c r="T212" s="454">
        <f t="shared" si="33"/>
        <v>0</v>
      </c>
      <c r="AR212" s="455" t="s">
        <v>625</v>
      </c>
      <c r="AT212" s="455" t="s">
        <v>218</v>
      </c>
      <c r="AU212" s="455" t="s">
        <v>108</v>
      </c>
      <c r="AY212" s="357" t="s">
        <v>217</v>
      </c>
      <c r="BE212" s="456">
        <f t="shared" si="34"/>
        <v>0</v>
      </c>
      <c r="BF212" s="456">
        <f t="shared" si="35"/>
        <v>0</v>
      </c>
      <c r="BG212" s="456">
        <f t="shared" si="36"/>
        <v>0</v>
      </c>
      <c r="BH212" s="456">
        <f t="shared" si="37"/>
        <v>0</v>
      </c>
      <c r="BI212" s="456">
        <f t="shared" si="38"/>
        <v>0</v>
      </c>
      <c r="BJ212" s="357" t="s">
        <v>108</v>
      </c>
      <c r="BK212" s="456">
        <f t="shared" si="39"/>
        <v>0</v>
      </c>
      <c r="BL212" s="357" t="s">
        <v>625</v>
      </c>
      <c r="BM212" s="455" t="s">
        <v>2960</v>
      </c>
    </row>
    <row r="213" spans="2:65" s="434" customFormat="1" ht="22.9" customHeight="1" x14ac:dyDescent="0.2">
      <c r="B213" s="433"/>
      <c r="D213" s="435" t="s">
        <v>216</v>
      </c>
      <c r="E213" s="443" t="s">
        <v>1770</v>
      </c>
      <c r="F213" s="443" t="s">
        <v>1771</v>
      </c>
      <c r="I213" s="467"/>
      <c r="J213" s="444">
        <f>BK213</f>
        <v>0</v>
      </c>
      <c r="L213" s="433"/>
      <c r="M213" s="438"/>
      <c r="P213" s="439">
        <f>SUM(P214:P222)</f>
        <v>938.06487449999997</v>
      </c>
      <c r="R213" s="439">
        <f>SUM(R214:R222)</f>
        <v>42.717950000000002</v>
      </c>
      <c r="T213" s="440">
        <f>SUM(T214:T222)</f>
        <v>0</v>
      </c>
      <c r="AR213" s="435" t="s">
        <v>119</v>
      </c>
      <c r="AT213" s="441" t="s">
        <v>216</v>
      </c>
      <c r="AU213" s="441" t="s">
        <v>109</v>
      </c>
      <c r="AY213" s="435" t="s">
        <v>217</v>
      </c>
      <c r="BK213" s="442">
        <f>SUM(BK214:BK222)</f>
        <v>0</v>
      </c>
    </row>
    <row r="214" spans="2:65" s="365" customFormat="1" ht="24.2" customHeight="1" x14ac:dyDescent="0.25">
      <c r="B214" s="364"/>
      <c r="C214" s="445" t="s">
        <v>637</v>
      </c>
      <c r="D214" s="445" t="s">
        <v>218</v>
      </c>
      <c r="E214" s="446" t="s">
        <v>1787</v>
      </c>
      <c r="F214" s="447" t="s">
        <v>1788</v>
      </c>
      <c r="G214" s="448" t="s">
        <v>114</v>
      </c>
      <c r="H214" s="449">
        <v>11.795</v>
      </c>
      <c r="I214" s="329">
        <v>0</v>
      </c>
      <c r="J214" s="450">
        <f t="shared" ref="J214:J222" si="40">ROUND(I214*H214,2)</f>
        <v>0</v>
      </c>
      <c r="K214" s="451"/>
      <c r="L214" s="364"/>
      <c r="M214" s="452" t="s">
        <v>171</v>
      </c>
      <c r="N214" s="415" t="s">
        <v>185</v>
      </c>
      <c r="O214" s="453">
        <v>2.9211</v>
      </c>
      <c r="P214" s="453">
        <f t="shared" ref="P214:P222" si="41">O214*H214</f>
        <v>34.4543745</v>
      </c>
      <c r="Q214" s="453">
        <v>0</v>
      </c>
      <c r="R214" s="453">
        <f t="shared" ref="R214:R222" si="42">Q214*H214</f>
        <v>0</v>
      </c>
      <c r="S214" s="453">
        <v>0</v>
      </c>
      <c r="T214" s="454">
        <f t="shared" ref="T214:T222" si="43">S214*H214</f>
        <v>0</v>
      </c>
      <c r="AR214" s="455" t="s">
        <v>625</v>
      </c>
      <c r="AT214" s="455" t="s">
        <v>218</v>
      </c>
      <c r="AU214" s="455" t="s">
        <v>108</v>
      </c>
      <c r="AY214" s="357" t="s">
        <v>217</v>
      </c>
      <c r="BE214" s="456">
        <f t="shared" ref="BE214:BE222" si="44">IF(N214="základná",J214,0)</f>
        <v>0</v>
      </c>
      <c r="BF214" s="456">
        <f t="shared" ref="BF214:BF222" si="45">IF(N214="znížená",J214,0)</f>
        <v>0</v>
      </c>
      <c r="BG214" s="456">
        <f t="shared" ref="BG214:BG222" si="46">IF(N214="zákl. prenesená",J214,0)</f>
        <v>0</v>
      </c>
      <c r="BH214" s="456">
        <f t="shared" ref="BH214:BH222" si="47">IF(N214="zníž. prenesená",J214,0)</f>
        <v>0</v>
      </c>
      <c r="BI214" s="456">
        <f t="shared" ref="BI214:BI222" si="48">IF(N214="nulová",J214,0)</f>
        <v>0</v>
      </c>
      <c r="BJ214" s="357" t="s">
        <v>108</v>
      </c>
      <c r="BK214" s="456">
        <f t="shared" ref="BK214:BK222" si="49">ROUND(I214*H214,2)</f>
        <v>0</v>
      </c>
      <c r="BL214" s="357" t="s">
        <v>625</v>
      </c>
      <c r="BM214" s="455" t="s">
        <v>2961</v>
      </c>
    </row>
    <row r="215" spans="2:65" s="365" customFormat="1" ht="24.2" customHeight="1" x14ac:dyDescent="0.25">
      <c r="B215" s="364"/>
      <c r="C215" s="445" t="s">
        <v>640</v>
      </c>
      <c r="D215" s="445" t="s">
        <v>218</v>
      </c>
      <c r="E215" s="446" t="s">
        <v>2409</v>
      </c>
      <c r="F215" s="447" t="s">
        <v>2410</v>
      </c>
      <c r="G215" s="448" t="s">
        <v>113</v>
      </c>
      <c r="H215" s="449">
        <v>15</v>
      </c>
      <c r="I215" s="329">
        <v>0</v>
      </c>
      <c r="J215" s="450">
        <f t="shared" si="40"/>
        <v>0</v>
      </c>
      <c r="K215" s="451"/>
      <c r="L215" s="364"/>
      <c r="M215" s="452" t="s">
        <v>171</v>
      </c>
      <c r="N215" s="415" t="s">
        <v>185</v>
      </c>
      <c r="O215" s="453">
        <v>0.71109999999999995</v>
      </c>
      <c r="P215" s="453">
        <f t="shared" si="41"/>
        <v>10.666499999999999</v>
      </c>
      <c r="Q215" s="453">
        <v>0</v>
      </c>
      <c r="R215" s="453">
        <f t="shared" si="42"/>
        <v>0</v>
      </c>
      <c r="S215" s="453">
        <v>0</v>
      </c>
      <c r="T215" s="454">
        <f t="shared" si="43"/>
        <v>0</v>
      </c>
      <c r="AR215" s="455" t="s">
        <v>625</v>
      </c>
      <c r="AT215" s="455" t="s">
        <v>218</v>
      </c>
      <c r="AU215" s="455" t="s">
        <v>108</v>
      </c>
      <c r="AY215" s="357" t="s">
        <v>217</v>
      </c>
      <c r="BE215" s="456">
        <f t="shared" si="44"/>
        <v>0</v>
      </c>
      <c r="BF215" s="456">
        <f t="shared" si="45"/>
        <v>0</v>
      </c>
      <c r="BG215" s="456">
        <f t="shared" si="46"/>
        <v>0</v>
      </c>
      <c r="BH215" s="456">
        <f t="shared" si="47"/>
        <v>0</v>
      </c>
      <c r="BI215" s="456">
        <f t="shared" si="48"/>
        <v>0</v>
      </c>
      <c r="BJ215" s="357" t="s">
        <v>108</v>
      </c>
      <c r="BK215" s="456">
        <f t="shared" si="49"/>
        <v>0</v>
      </c>
      <c r="BL215" s="357" t="s">
        <v>625</v>
      </c>
      <c r="BM215" s="455" t="s">
        <v>2962</v>
      </c>
    </row>
    <row r="216" spans="2:65" s="365" customFormat="1" ht="24.2" customHeight="1" x14ac:dyDescent="0.25">
      <c r="B216" s="364"/>
      <c r="C216" s="445" t="s">
        <v>644</v>
      </c>
      <c r="D216" s="445" t="s">
        <v>218</v>
      </c>
      <c r="E216" s="446" t="s">
        <v>2412</v>
      </c>
      <c r="F216" s="447" t="s">
        <v>2413</v>
      </c>
      <c r="G216" s="448" t="s">
        <v>113</v>
      </c>
      <c r="H216" s="449">
        <v>680</v>
      </c>
      <c r="I216" s="329">
        <v>0</v>
      </c>
      <c r="J216" s="450">
        <f t="shared" si="40"/>
        <v>0</v>
      </c>
      <c r="K216" s="451"/>
      <c r="L216" s="364"/>
      <c r="M216" s="452" t="s">
        <v>171</v>
      </c>
      <c r="N216" s="415" t="s">
        <v>185</v>
      </c>
      <c r="O216" s="453">
        <v>0.94769999999999999</v>
      </c>
      <c r="P216" s="453">
        <f t="shared" si="41"/>
        <v>644.43600000000004</v>
      </c>
      <c r="Q216" s="453">
        <v>0</v>
      </c>
      <c r="R216" s="453">
        <f t="shared" si="42"/>
        <v>0</v>
      </c>
      <c r="S216" s="453">
        <v>0</v>
      </c>
      <c r="T216" s="454">
        <f t="shared" si="43"/>
        <v>0</v>
      </c>
      <c r="AR216" s="455" t="s">
        <v>625</v>
      </c>
      <c r="AT216" s="455" t="s">
        <v>218</v>
      </c>
      <c r="AU216" s="455" t="s">
        <v>108</v>
      </c>
      <c r="AY216" s="357" t="s">
        <v>217</v>
      </c>
      <c r="BE216" s="456">
        <f t="shared" si="44"/>
        <v>0</v>
      </c>
      <c r="BF216" s="456">
        <f t="shared" si="45"/>
        <v>0</v>
      </c>
      <c r="BG216" s="456">
        <f t="shared" si="46"/>
        <v>0</v>
      </c>
      <c r="BH216" s="456">
        <f t="shared" si="47"/>
        <v>0</v>
      </c>
      <c r="BI216" s="456">
        <f t="shared" si="48"/>
        <v>0</v>
      </c>
      <c r="BJ216" s="357" t="s">
        <v>108</v>
      </c>
      <c r="BK216" s="456">
        <f t="shared" si="49"/>
        <v>0</v>
      </c>
      <c r="BL216" s="357" t="s">
        <v>625</v>
      </c>
      <c r="BM216" s="455" t="s">
        <v>2963</v>
      </c>
    </row>
    <row r="217" spans="2:65" s="365" customFormat="1" ht="24.2" customHeight="1" x14ac:dyDescent="0.25">
      <c r="B217" s="364"/>
      <c r="C217" s="445" t="s">
        <v>645</v>
      </c>
      <c r="D217" s="445" t="s">
        <v>218</v>
      </c>
      <c r="E217" s="446" t="s">
        <v>2421</v>
      </c>
      <c r="F217" s="447" t="s">
        <v>2422</v>
      </c>
      <c r="G217" s="448" t="s">
        <v>113</v>
      </c>
      <c r="H217" s="449">
        <v>695</v>
      </c>
      <c r="I217" s="329">
        <v>0</v>
      </c>
      <c r="J217" s="450">
        <f t="shared" si="40"/>
        <v>0</v>
      </c>
      <c r="K217" s="451"/>
      <c r="L217" s="364"/>
      <c r="M217" s="452" t="s">
        <v>171</v>
      </c>
      <c r="N217" s="415" t="s">
        <v>185</v>
      </c>
      <c r="O217" s="453">
        <v>0.1469</v>
      </c>
      <c r="P217" s="453">
        <f t="shared" si="41"/>
        <v>102.0955</v>
      </c>
      <c r="Q217" s="453">
        <v>0</v>
      </c>
      <c r="R217" s="453">
        <f t="shared" si="42"/>
        <v>0</v>
      </c>
      <c r="S217" s="453">
        <v>0</v>
      </c>
      <c r="T217" s="454">
        <f t="shared" si="43"/>
        <v>0</v>
      </c>
      <c r="AR217" s="455" t="s">
        <v>625</v>
      </c>
      <c r="AT217" s="455" t="s">
        <v>218</v>
      </c>
      <c r="AU217" s="455" t="s">
        <v>108</v>
      </c>
      <c r="AY217" s="357" t="s">
        <v>217</v>
      </c>
      <c r="BE217" s="456">
        <f t="shared" si="44"/>
        <v>0</v>
      </c>
      <c r="BF217" s="456">
        <f t="shared" si="45"/>
        <v>0</v>
      </c>
      <c r="BG217" s="456">
        <f t="shared" si="46"/>
        <v>0</v>
      </c>
      <c r="BH217" s="456">
        <f t="shared" si="47"/>
        <v>0</v>
      </c>
      <c r="BI217" s="456">
        <f t="shared" si="48"/>
        <v>0</v>
      </c>
      <c r="BJ217" s="357" t="s">
        <v>108</v>
      </c>
      <c r="BK217" s="456">
        <f t="shared" si="49"/>
        <v>0</v>
      </c>
      <c r="BL217" s="357" t="s">
        <v>625</v>
      </c>
      <c r="BM217" s="455" t="s">
        <v>2964</v>
      </c>
    </row>
    <row r="218" spans="2:65" s="365" customFormat="1" ht="16.5" customHeight="1" x14ac:dyDescent="0.25">
      <c r="B218" s="364"/>
      <c r="C218" s="457" t="s">
        <v>651</v>
      </c>
      <c r="D218" s="457" t="s">
        <v>259</v>
      </c>
      <c r="E218" s="458" t="s">
        <v>2424</v>
      </c>
      <c r="F218" s="459" t="s">
        <v>2425</v>
      </c>
      <c r="G218" s="460" t="s">
        <v>112</v>
      </c>
      <c r="H218" s="461">
        <v>42.572000000000003</v>
      </c>
      <c r="I218" s="330">
        <v>0</v>
      </c>
      <c r="J218" s="462">
        <f t="shared" si="40"/>
        <v>0</v>
      </c>
      <c r="K218" s="463"/>
      <c r="L218" s="464"/>
      <c r="M218" s="465" t="s">
        <v>171</v>
      </c>
      <c r="N218" s="466" t="s">
        <v>185</v>
      </c>
      <c r="O218" s="453">
        <v>0</v>
      </c>
      <c r="P218" s="453">
        <f t="shared" si="41"/>
        <v>0</v>
      </c>
      <c r="Q218" s="453">
        <v>1</v>
      </c>
      <c r="R218" s="453">
        <f t="shared" si="42"/>
        <v>42.572000000000003</v>
      </c>
      <c r="S218" s="453">
        <v>0</v>
      </c>
      <c r="T218" s="454">
        <f t="shared" si="43"/>
        <v>0</v>
      </c>
      <c r="AR218" s="455" t="s">
        <v>1795</v>
      </c>
      <c r="AT218" s="455" t="s">
        <v>259</v>
      </c>
      <c r="AU218" s="455" t="s">
        <v>108</v>
      </c>
      <c r="AY218" s="357" t="s">
        <v>217</v>
      </c>
      <c r="BE218" s="456">
        <f t="shared" si="44"/>
        <v>0</v>
      </c>
      <c r="BF218" s="456">
        <f t="shared" si="45"/>
        <v>0</v>
      </c>
      <c r="BG218" s="456">
        <f t="shared" si="46"/>
        <v>0</v>
      </c>
      <c r="BH218" s="456">
        <f t="shared" si="47"/>
        <v>0</v>
      </c>
      <c r="BI218" s="456">
        <f t="shared" si="48"/>
        <v>0</v>
      </c>
      <c r="BJ218" s="357" t="s">
        <v>108</v>
      </c>
      <c r="BK218" s="456">
        <f t="shared" si="49"/>
        <v>0</v>
      </c>
      <c r="BL218" s="357" t="s">
        <v>625</v>
      </c>
      <c r="BM218" s="455" t="s">
        <v>2965</v>
      </c>
    </row>
    <row r="219" spans="2:65" s="365" customFormat="1" ht="24.2" customHeight="1" x14ac:dyDescent="0.25">
      <c r="B219" s="364"/>
      <c r="C219" s="445" t="s">
        <v>655</v>
      </c>
      <c r="D219" s="445" t="s">
        <v>218</v>
      </c>
      <c r="E219" s="446" t="s">
        <v>2427</v>
      </c>
      <c r="F219" s="447" t="s">
        <v>2428</v>
      </c>
      <c r="G219" s="448" t="s">
        <v>113</v>
      </c>
      <c r="H219" s="449">
        <v>695</v>
      </c>
      <c r="I219" s="329">
        <v>0</v>
      </c>
      <c r="J219" s="450">
        <f t="shared" si="40"/>
        <v>0</v>
      </c>
      <c r="K219" s="451"/>
      <c r="L219" s="364"/>
      <c r="M219" s="452" t="s">
        <v>171</v>
      </c>
      <c r="N219" s="415" t="s">
        <v>185</v>
      </c>
      <c r="O219" s="453">
        <v>3.2500000000000001E-2</v>
      </c>
      <c r="P219" s="453">
        <f t="shared" si="41"/>
        <v>22.587500000000002</v>
      </c>
      <c r="Q219" s="453">
        <v>0</v>
      </c>
      <c r="R219" s="453">
        <f t="shared" si="42"/>
        <v>0</v>
      </c>
      <c r="S219" s="453">
        <v>0</v>
      </c>
      <c r="T219" s="454">
        <f t="shared" si="43"/>
        <v>0</v>
      </c>
      <c r="AR219" s="455" t="s">
        <v>625</v>
      </c>
      <c r="AT219" s="455" t="s">
        <v>218</v>
      </c>
      <c r="AU219" s="455" t="s">
        <v>108</v>
      </c>
      <c r="AY219" s="357" t="s">
        <v>217</v>
      </c>
      <c r="BE219" s="456">
        <f t="shared" si="44"/>
        <v>0</v>
      </c>
      <c r="BF219" s="456">
        <f t="shared" si="45"/>
        <v>0</v>
      </c>
      <c r="BG219" s="456">
        <f t="shared" si="46"/>
        <v>0</v>
      </c>
      <c r="BH219" s="456">
        <f t="shared" si="47"/>
        <v>0</v>
      </c>
      <c r="BI219" s="456">
        <f t="shared" si="48"/>
        <v>0</v>
      </c>
      <c r="BJ219" s="357" t="s">
        <v>108</v>
      </c>
      <c r="BK219" s="456">
        <f t="shared" si="49"/>
        <v>0</v>
      </c>
      <c r="BL219" s="357" t="s">
        <v>625</v>
      </c>
      <c r="BM219" s="455" t="s">
        <v>2966</v>
      </c>
    </row>
    <row r="220" spans="2:65" s="365" customFormat="1" ht="24.2" customHeight="1" x14ac:dyDescent="0.25">
      <c r="B220" s="364"/>
      <c r="C220" s="457" t="s">
        <v>659</v>
      </c>
      <c r="D220" s="457" t="s">
        <v>259</v>
      </c>
      <c r="E220" s="458" t="s">
        <v>2430</v>
      </c>
      <c r="F220" s="459" t="s">
        <v>2431</v>
      </c>
      <c r="G220" s="460" t="s">
        <v>113</v>
      </c>
      <c r="H220" s="461">
        <v>695</v>
      </c>
      <c r="I220" s="330">
        <v>0</v>
      </c>
      <c r="J220" s="462">
        <f t="shared" si="40"/>
        <v>0</v>
      </c>
      <c r="K220" s="463"/>
      <c r="L220" s="464"/>
      <c r="M220" s="465" t="s">
        <v>171</v>
      </c>
      <c r="N220" s="466" t="s">
        <v>185</v>
      </c>
      <c r="O220" s="453">
        <v>0</v>
      </c>
      <c r="P220" s="453">
        <f t="shared" si="41"/>
        <v>0</v>
      </c>
      <c r="Q220" s="453">
        <v>2.1000000000000001E-4</v>
      </c>
      <c r="R220" s="453">
        <f t="shared" si="42"/>
        <v>0.14595</v>
      </c>
      <c r="S220" s="453">
        <v>0</v>
      </c>
      <c r="T220" s="454">
        <f t="shared" si="43"/>
        <v>0</v>
      </c>
      <c r="AR220" s="455" t="s">
        <v>1631</v>
      </c>
      <c r="AT220" s="455" t="s">
        <v>259</v>
      </c>
      <c r="AU220" s="455" t="s">
        <v>108</v>
      </c>
      <c r="AY220" s="357" t="s">
        <v>217</v>
      </c>
      <c r="BE220" s="456">
        <f t="shared" si="44"/>
        <v>0</v>
      </c>
      <c r="BF220" s="456">
        <f t="shared" si="45"/>
        <v>0</v>
      </c>
      <c r="BG220" s="456">
        <f t="shared" si="46"/>
        <v>0</v>
      </c>
      <c r="BH220" s="456">
        <f t="shared" si="47"/>
        <v>0</v>
      </c>
      <c r="BI220" s="456">
        <f t="shared" si="48"/>
        <v>0</v>
      </c>
      <c r="BJ220" s="357" t="s">
        <v>108</v>
      </c>
      <c r="BK220" s="456">
        <f t="shared" si="49"/>
        <v>0</v>
      </c>
      <c r="BL220" s="357" t="s">
        <v>1631</v>
      </c>
      <c r="BM220" s="455" t="s">
        <v>2967</v>
      </c>
    </row>
    <row r="221" spans="2:65" s="365" customFormat="1" ht="33" customHeight="1" x14ac:dyDescent="0.25">
      <c r="B221" s="364"/>
      <c r="C221" s="445" t="s">
        <v>664</v>
      </c>
      <c r="D221" s="445" t="s">
        <v>218</v>
      </c>
      <c r="E221" s="446" t="s">
        <v>2433</v>
      </c>
      <c r="F221" s="447" t="s">
        <v>2434</v>
      </c>
      <c r="G221" s="448" t="s">
        <v>113</v>
      </c>
      <c r="H221" s="449">
        <v>15</v>
      </c>
      <c r="I221" s="329">
        <v>0</v>
      </c>
      <c r="J221" s="450">
        <f t="shared" si="40"/>
        <v>0</v>
      </c>
      <c r="K221" s="451"/>
      <c r="L221" s="364"/>
      <c r="M221" s="452" t="s">
        <v>171</v>
      </c>
      <c r="N221" s="415" t="s">
        <v>185</v>
      </c>
      <c r="O221" s="453">
        <v>0.1235</v>
      </c>
      <c r="P221" s="453">
        <f t="shared" si="41"/>
        <v>1.8525</v>
      </c>
      <c r="Q221" s="453">
        <v>0</v>
      </c>
      <c r="R221" s="453">
        <f t="shared" si="42"/>
        <v>0</v>
      </c>
      <c r="S221" s="453">
        <v>0</v>
      </c>
      <c r="T221" s="454">
        <f t="shared" si="43"/>
        <v>0</v>
      </c>
      <c r="AR221" s="455" t="s">
        <v>625</v>
      </c>
      <c r="AT221" s="455" t="s">
        <v>218</v>
      </c>
      <c r="AU221" s="455" t="s">
        <v>108</v>
      </c>
      <c r="AY221" s="357" t="s">
        <v>217</v>
      </c>
      <c r="BE221" s="456">
        <f t="shared" si="44"/>
        <v>0</v>
      </c>
      <c r="BF221" s="456">
        <f t="shared" si="45"/>
        <v>0</v>
      </c>
      <c r="BG221" s="456">
        <f t="shared" si="46"/>
        <v>0</v>
      </c>
      <c r="BH221" s="456">
        <f t="shared" si="47"/>
        <v>0</v>
      </c>
      <c r="BI221" s="456">
        <f t="shared" si="48"/>
        <v>0</v>
      </c>
      <c r="BJ221" s="357" t="s">
        <v>108</v>
      </c>
      <c r="BK221" s="456">
        <f t="shared" si="49"/>
        <v>0</v>
      </c>
      <c r="BL221" s="357" t="s">
        <v>625</v>
      </c>
      <c r="BM221" s="455" t="s">
        <v>2968</v>
      </c>
    </row>
    <row r="222" spans="2:65" s="365" customFormat="1" ht="33" customHeight="1" x14ac:dyDescent="0.25">
      <c r="B222" s="364"/>
      <c r="C222" s="445" t="s">
        <v>670</v>
      </c>
      <c r="D222" s="445" t="s">
        <v>218</v>
      </c>
      <c r="E222" s="446" t="s">
        <v>2436</v>
      </c>
      <c r="F222" s="447" t="s">
        <v>2437</v>
      </c>
      <c r="G222" s="448" t="s">
        <v>113</v>
      </c>
      <c r="H222" s="449">
        <v>695</v>
      </c>
      <c r="I222" s="329">
        <v>0</v>
      </c>
      <c r="J222" s="450">
        <f t="shared" si="40"/>
        <v>0</v>
      </c>
      <c r="K222" s="451"/>
      <c r="L222" s="364"/>
      <c r="M222" s="452" t="s">
        <v>171</v>
      </c>
      <c r="N222" s="415" t="s">
        <v>185</v>
      </c>
      <c r="O222" s="453">
        <v>0.17549999999999999</v>
      </c>
      <c r="P222" s="453">
        <f t="shared" si="41"/>
        <v>121.9725</v>
      </c>
      <c r="Q222" s="453">
        <v>0</v>
      </c>
      <c r="R222" s="453">
        <f t="shared" si="42"/>
        <v>0</v>
      </c>
      <c r="S222" s="453">
        <v>0</v>
      </c>
      <c r="T222" s="454">
        <f t="shared" si="43"/>
        <v>0</v>
      </c>
      <c r="AR222" s="455" t="s">
        <v>625</v>
      </c>
      <c r="AT222" s="455" t="s">
        <v>218</v>
      </c>
      <c r="AU222" s="455" t="s">
        <v>108</v>
      </c>
      <c r="AY222" s="357" t="s">
        <v>217</v>
      </c>
      <c r="BE222" s="456">
        <f t="shared" si="44"/>
        <v>0</v>
      </c>
      <c r="BF222" s="456">
        <f t="shared" si="45"/>
        <v>0</v>
      </c>
      <c r="BG222" s="456">
        <f t="shared" si="46"/>
        <v>0</v>
      </c>
      <c r="BH222" s="456">
        <f t="shared" si="47"/>
        <v>0</v>
      </c>
      <c r="BI222" s="456">
        <f t="shared" si="48"/>
        <v>0</v>
      </c>
      <c r="BJ222" s="357" t="s">
        <v>108</v>
      </c>
      <c r="BK222" s="456">
        <f t="shared" si="49"/>
        <v>0</v>
      </c>
      <c r="BL222" s="357" t="s">
        <v>625</v>
      </c>
      <c r="BM222" s="455" t="s">
        <v>2969</v>
      </c>
    </row>
    <row r="223" spans="2:65" s="434" customFormat="1" ht="25.9" customHeight="1" x14ac:dyDescent="0.2">
      <c r="B223" s="433"/>
      <c r="D223" s="435" t="s">
        <v>216</v>
      </c>
      <c r="E223" s="436" t="s">
        <v>2445</v>
      </c>
      <c r="F223" s="436" t="s">
        <v>2446</v>
      </c>
      <c r="I223" s="467"/>
      <c r="J223" s="437">
        <f>BK223</f>
        <v>0</v>
      </c>
      <c r="L223" s="433"/>
      <c r="M223" s="438"/>
      <c r="P223" s="439">
        <f>SUM(P224:P226)</f>
        <v>197.29000000000002</v>
      </c>
      <c r="R223" s="439">
        <f>SUM(R224:R226)</f>
        <v>0</v>
      </c>
      <c r="T223" s="440">
        <f>SUM(T224:T226)</f>
        <v>0</v>
      </c>
      <c r="AR223" s="435" t="s">
        <v>110</v>
      </c>
      <c r="AT223" s="441" t="s">
        <v>216</v>
      </c>
      <c r="AU223" s="441" t="s">
        <v>165</v>
      </c>
      <c r="AY223" s="435" t="s">
        <v>217</v>
      </c>
      <c r="BK223" s="442">
        <f>SUM(BK224:BK226)</f>
        <v>0</v>
      </c>
    </row>
    <row r="224" spans="2:65" s="365" customFormat="1" ht="37.9" customHeight="1" x14ac:dyDescent="0.25">
      <c r="B224" s="364"/>
      <c r="C224" s="445" t="s">
        <v>674</v>
      </c>
      <c r="D224" s="445" t="s">
        <v>218</v>
      </c>
      <c r="E224" s="446" t="s">
        <v>2447</v>
      </c>
      <c r="F224" s="447" t="s">
        <v>2448</v>
      </c>
      <c r="G224" s="448" t="s">
        <v>2010</v>
      </c>
      <c r="H224" s="449">
        <v>88</v>
      </c>
      <c r="I224" s="329">
        <v>0</v>
      </c>
      <c r="J224" s="450">
        <f>ROUND(I224*H224,2)</f>
        <v>0</v>
      </c>
      <c r="K224" s="451"/>
      <c r="L224" s="364"/>
      <c r="M224" s="452" t="s">
        <v>171</v>
      </c>
      <c r="N224" s="415" t="s">
        <v>185</v>
      </c>
      <c r="O224" s="453">
        <v>1.0900000000000001</v>
      </c>
      <c r="P224" s="453">
        <f>O224*H224</f>
        <v>95.92</v>
      </c>
      <c r="Q224" s="453">
        <v>0</v>
      </c>
      <c r="R224" s="453">
        <f>Q224*H224</f>
        <v>0</v>
      </c>
      <c r="S224" s="453">
        <v>0</v>
      </c>
      <c r="T224" s="454">
        <f>S224*H224</f>
        <v>0</v>
      </c>
      <c r="AR224" s="455" t="s">
        <v>2207</v>
      </c>
      <c r="AT224" s="455" t="s">
        <v>218</v>
      </c>
      <c r="AU224" s="455" t="s">
        <v>109</v>
      </c>
      <c r="AY224" s="357" t="s">
        <v>217</v>
      </c>
      <c r="BE224" s="456">
        <f>IF(N224="základná",J224,0)</f>
        <v>0</v>
      </c>
      <c r="BF224" s="456">
        <f>IF(N224="znížená",J224,0)</f>
        <v>0</v>
      </c>
      <c r="BG224" s="456">
        <f>IF(N224="zákl. prenesená",J224,0)</f>
        <v>0</v>
      </c>
      <c r="BH224" s="456">
        <f>IF(N224="zníž. prenesená",J224,0)</f>
        <v>0</v>
      </c>
      <c r="BI224" s="456">
        <f>IF(N224="nulová",J224,0)</f>
        <v>0</v>
      </c>
      <c r="BJ224" s="357" t="s">
        <v>108</v>
      </c>
      <c r="BK224" s="456">
        <f>ROUND(I224*H224,2)</f>
        <v>0</v>
      </c>
      <c r="BL224" s="357" t="s">
        <v>2207</v>
      </c>
      <c r="BM224" s="455" t="s">
        <v>2970</v>
      </c>
    </row>
    <row r="225" spans="2:65" s="365" customFormat="1" ht="37.9" customHeight="1" x14ac:dyDescent="0.25">
      <c r="B225" s="364"/>
      <c r="C225" s="445" t="s">
        <v>678</v>
      </c>
      <c r="D225" s="445" t="s">
        <v>218</v>
      </c>
      <c r="E225" s="446" t="s">
        <v>2450</v>
      </c>
      <c r="F225" s="447" t="s">
        <v>2451</v>
      </c>
      <c r="G225" s="448" t="s">
        <v>2010</v>
      </c>
      <c r="H225" s="449">
        <v>52</v>
      </c>
      <c r="I225" s="329">
        <v>0</v>
      </c>
      <c r="J225" s="450">
        <f>ROUND(I225*H225,2)</f>
        <v>0</v>
      </c>
      <c r="K225" s="451"/>
      <c r="L225" s="364"/>
      <c r="M225" s="452" t="s">
        <v>171</v>
      </c>
      <c r="N225" s="415" t="s">
        <v>185</v>
      </c>
      <c r="O225" s="453">
        <v>1.0900000000000001</v>
      </c>
      <c r="P225" s="453">
        <f>O225*H225</f>
        <v>56.680000000000007</v>
      </c>
      <c r="Q225" s="453">
        <v>0</v>
      </c>
      <c r="R225" s="453">
        <f>Q225*H225</f>
        <v>0</v>
      </c>
      <c r="S225" s="453">
        <v>0</v>
      </c>
      <c r="T225" s="454">
        <f>S225*H225</f>
        <v>0</v>
      </c>
      <c r="AR225" s="455" t="s">
        <v>2207</v>
      </c>
      <c r="AT225" s="455" t="s">
        <v>218</v>
      </c>
      <c r="AU225" s="455" t="s">
        <v>109</v>
      </c>
      <c r="AY225" s="357" t="s">
        <v>217</v>
      </c>
      <c r="BE225" s="456">
        <f>IF(N225="základná",J225,0)</f>
        <v>0</v>
      </c>
      <c r="BF225" s="456">
        <f>IF(N225="znížená",J225,0)</f>
        <v>0</v>
      </c>
      <c r="BG225" s="456">
        <f>IF(N225="zákl. prenesená",J225,0)</f>
        <v>0</v>
      </c>
      <c r="BH225" s="456">
        <f>IF(N225="zníž. prenesená",J225,0)</f>
        <v>0</v>
      </c>
      <c r="BI225" s="456">
        <f>IF(N225="nulová",J225,0)</f>
        <v>0</v>
      </c>
      <c r="BJ225" s="357" t="s">
        <v>108</v>
      </c>
      <c r="BK225" s="456">
        <f>ROUND(I225*H225,2)</f>
        <v>0</v>
      </c>
      <c r="BL225" s="357" t="s">
        <v>2207</v>
      </c>
      <c r="BM225" s="455" t="s">
        <v>2971</v>
      </c>
    </row>
    <row r="226" spans="2:65" s="365" customFormat="1" ht="37.9" customHeight="1" x14ac:dyDescent="0.25">
      <c r="B226" s="364"/>
      <c r="C226" s="445" t="s">
        <v>903</v>
      </c>
      <c r="D226" s="445" t="s">
        <v>218</v>
      </c>
      <c r="E226" s="446" t="s">
        <v>2453</v>
      </c>
      <c r="F226" s="447" t="s">
        <v>2454</v>
      </c>
      <c r="G226" s="448" t="s">
        <v>2010</v>
      </c>
      <c r="H226" s="449">
        <v>41</v>
      </c>
      <c r="I226" s="329">
        <v>0</v>
      </c>
      <c r="J226" s="450">
        <f>ROUND(I226*H226,2)</f>
        <v>0</v>
      </c>
      <c r="K226" s="451"/>
      <c r="L226" s="364"/>
      <c r="M226" s="468" t="s">
        <v>171</v>
      </c>
      <c r="N226" s="469" t="s">
        <v>185</v>
      </c>
      <c r="O226" s="470">
        <v>1.0900000000000001</v>
      </c>
      <c r="P226" s="470">
        <f>O226*H226</f>
        <v>44.690000000000005</v>
      </c>
      <c r="Q226" s="470">
        <v>0</v>
      </c>
      <c r="R226" s="470">
        <f>Q226*H226</f>
        <v>0</v>
      </c>
      <c r="S226" s="470">
        <v>0</v>
      </c>
      <c r="T226" s="471">
        <f>S226*H226</f>
        <v>0</v>
      </c>
      <c r="AR226" s="455" t="s">
        <v>2207</v>
      </c>
      <c r="AT226" s="455" t="s">
        <v>218</v>
      </c>
      <c r="AU226" s="455" t="s">
        <v>109</v>
      </c>
      <c r="AY226" s="357" t="s">
        <v>217</v>
      </c>
      <c r="BE226" s="456">
        <f>IF(N226="základná",J226,0)</f>
        <v>0</v>
      </c>
      <c r="BF226" s="456">
        <f>IF(N226="znížená",J226,0)</f>
        <v>0</v>
      </c>
      <c r="BG226" s="456">
        <f>IF(N226="zákl. prenesená",J226,0)</f>
        <v>0</v>
      </c>
      <c r="BH226" s="456">
        <f>IF(N226="zníž. prenesená",J226,0)</f>
        <v>0</v>
      </c>
      <c r="BI226" s="456">
        <f>IF(N226="nulová",J226,0)</f>
        <v>0</v>
      </c>
      <c r="BJ226" s="357" t="s">
        <v>108</v>
      </c>
      <c r="BK226" s="456">
        <f>ROUND(I226*H226,2)</f>
        <v>0</v>
      </c>
      <c r="BL226" s="357" t="s">
        <v>2207</v>
      </c>
      <c r="BM226" s="455" t="s">
        <v>2972</v>
      </c>
    </row>
    <row r="227" spans="2:65" s="365" customFormat="1" ht="6.95" customHeight="1" x14ac:dyDescent="0.25">
      <c r="B227" s="397"/>
      <c r="C227" s="398"/>
      <c r="D227" s="398"/>
      <c r="E227" s="398"/>
      <c r="F227" s="398"/>
      <c r="G227" s="398"/>
      <c r="H227" s="398"/>
      <c r="I227" s="398"/>
      <c r="J227" s="398"/>
      <c r="K227" s="398"/>
      <c r="L227" s="364"/>
    </row>
  </sheetData>
  <sheetProtection algorithmName="SHA-512" hashValue="sf7ant7Xsl4EHi/lw4aO1LbH+A7x/jzI6TSMlJtCgqxBlkGrwQp04yRDPyDfNlzrJrQINcmJFR2/8JKSFu9NxA==" saltValue="qS/ZgNkAa7qY83CmIzk1Nw==" spinCount="100000" sheet="1" objects="1" scenarios="1" selectLockedCells="1"/>
  <autoFilter ref="C133:K226" xr:uid="{00000000-0009-0000-0000-000004000000}"/>
  <mergeCells count="8">
    <mergeCell ref="E124:H124"/>
    <mergeCell ref="E126:H126"/>
    <mergeCell ref="L2:V2"/>
    <mergeCell ref="E7:H7"/>
    <mergeCell ref="E9:H9"/>
    <mergeCell ref="E27:H27"/>
    <mergeCell ref="E85:H85"/>
    <mergeCell ref="E87:H87"/>
  </mergeCells>
  <pageMargins left="0.39374999999999999" right="0.39374999999999999" top="0.39374999999999999" bottom="0.39374999999999999" header="0" footer="0"/>
  <pageSetup paperSize="9" fitToHeight="100" orientation="portrait" blackAndWhite="1"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AE089-E42E-4515-B56F-0AD5E7D95B2F}">
  <sheetPr codeName="Hárok37">
    <pageSetUpPr fitToPage="1"/>
  </sheetPr>
  <dimension ref="B2:BM185"/>
  <sheetViews>
    <sheetView topLeftCell="A119" workbookViewId="0">
      <selection activeCell="I132" activeCellId="5" sqref="I183:I184 I172:I181 I153:I170 I150 I137:I148 I132:I135"/>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2826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 ÚSEK F '!K6</f>
        <v>Cyklotrasa - Devín_F</v>
      </c>
      <c r="F7" s="860"/>
      <c r="G7" s="860"/>
      <c r="H7" s="860"/>
      <c r="L7" s="360"/>
    </row>
    <row r="8" spans="2:46" s="365" customFormat="1" ht="12" customHeight="1" x14ac:dyDescent="0.25">
      <c r="B8" s="364"/>
      <c r="D8" s="363" t="s">
        <v>408</v>
      </c>
      <c r="L8" s="364"/>
    </row>
    <row r="9" spans="2:46" s="365" customFormat="1" ht="30" customHeight="1" x14ac:dyDescent="0.25">
      <c r="B9" s="364"/>
      <c r="E9" s="857" t="s">
        <v>2973</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63" t="str">
        <f>'Rekapitulácia stavby - ÚSEK F '!E14</f>
        <v>Údaj sa automaticky zobrazí aj vo Výkaze výmer</v>
      </c>
      <c r="F18" s="863"/>
      <c r="G18" s="863"/>
      <c r="H18" s="863"/>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ROUND((SUM(BE107:BE109) + SUM(BE129:BE184)),  2)</f>
        <v>0</v>
      </c>
      <c r="G35" s="380"/>
      <c r="H35" s="380"/>
      <c r="I35" s="381">
        <v>0.23</v>
      </c>
      <c r="J35" s="379">
        <f>ROUND(((SUM(BE107:BE109) + SUM(BE129:BE184))*I35),  2)</f>
        <v>0</v>
      </c>
      <c r="L35" s="364"/>
    </row>
    <row r="36" spans="2:12" s="365" customFormat="1" ht="14.45" customHeight="1" x14ac:dyDescent="0.25">
      <c r="B36" s="364"/>
      <c r="E36" s="378" t="s">
        <v>185</v>
      </c>
      <c r="F36" s="382">
        <f>ROUND((SUM(BF107:BF109) + SUM(BF129:BF184)),  2)</f>
        <v>0</v>
      </c>
      <c r="I36" s="383">
        <v>0.23</v>
      </c>
      <c r="J36" s="382">
        <f>ROUND(((SUM(BF107:BF109) + SUM(BF129:BF184))*I36),  2)</f>
        <v>0</v>
      </c>
      <c r="L36" s="364"/>
    </row>
    <row r="37" spans="2:12" s="365" customFormat="1" ht="14.45" hidden="1" customHeight="1" x14ac:dyDescent="0.25">
      <c r="B37" s="364"/>
      <c r="E37" s="363" t="s">
        <v>186</v>
      </c>
      <c r="F37" s="382">
        <f>ROUND((SUM(BG107:BG109) + SUM(BG129:BG184)),  2)</f>
        <v>0</v>
      </c>
      <c r="I37" s="383">
        <v>0.23</v>
      </c>
      <c r="J37" s="382">
        <f>0</f>
        <v>0</v>
      </c>
      <c r="L37" s="364"/>
    </row>
    <row r="38" spans="2:12" s="365" customFormat="1" ht="14.45" hidden="1" customHeight="1" x14ac:dyDescent="0.25">
      <c r="B38" s="364"/>
      <c r="E38" s="363" t="s">
        <v>187</v>
      </c>
      <c r="F38" s="382">
        <f>ROUND((SUM(BH107:BH109) + SUM(BH129:BH184)),  2)</f>
        <v>0</v>
      </c>
      <c r="I38" s="383">
        <v>0.23</v>
      </c>
      <c r="J38" s="382">
        <f>0</f>
        <v>0</v>
      </c>
      <c r="L38" s="364"/>
    </row>
    <row r="39" spans="2:12" s="365" customFormat="1" ht="14.45" hidden="1" customHeight="1" x14ac:dyDescent="0.25">
      <c r="B39" s="364"/>
      <c r="E39" s="378" t="s">
        <v>188</v>
      </c>
      <c r="F39" s="379">
        <f>ROUND((SUM(BI107:BI109) + SUM(BI129:BI184)),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Devín_F</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401-F - SO 401  Preložka telekomunikačných vedení Slovak Telekom a.s., úsek F</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J129</f>
        <v>0</v>
      </c>
      <c r="L96" s="364"/>
      <c r="AU96" s="357" t="s">
        <v>202</v>
      </c>
    </row>
    <row r="97" spans="2:62" s="405" customFormat="1" ht="24.95" customHeight="1" x14ac:dyDescent="0.25">
      <c r="B97" s="404"/>
      <c r="D97" s="406" t="s">
        <v>410</v>
      </c>
      <c r="E97" s="407"/>
      <c r="F97" s="407"/>
      <c r="G97" s="407"/>
      <c r="H97" s="407"/>
      <c r="I97" s="407"/>
      <c r="J97" s="408">
        <f>J130</f>
        <v>0</v>
      </c>
      <c r="L97" s="404"/>
    </row>
    <row r="98" spans="2:62" s="410" customFormat="1" ht="19.899999999999999" customHeight="1" x14ac:dyDescent="0.25">
      <c r="B98" s="409"/>
      <c r="D98" s="411" t="s">
        <v>411</v>
      </c>
      <c r="E98" s="412"/>
      <c r="F98" s="412"/>
      <c r="G98" s="412"/>
      <c r="H98" s="412"/>
      <c r="I98" s="412"/>
      <c r="J98" s="413">
        <f>J131</f>
        <v>0</v>
      </c>
      <c r="L98" s="409"/>
    </row>
    <row r="99" spans="2:62" s="410" customFormat="1" ht="19.899999999999999" customHeight="1" x14ac:dyDescent="0.25">
      <c r="B99" s="409"/>
      <c r="D99" s="411" t="s">
        <v>413</v>
      </c>
      <c r="E99" s="412"/>
      <c r="F99" s="412"/>
      <c r="G99" s="412"/>
      <c r="H99" s="412"/>
      <c r="I99" s="412"/>
      <c r="J99" s="413">
        <f>J136</f>
        <v>0</v>
      </c>
      <c r="L99" s="409"/>
    </row>
    <row r="100" spans="2:62" s="410" customFormat="1" ht="19.899999999999999" customHeight="1" x14ac:dyDescent="0.25">
      <c r="B100" s="409"/>
      <c r="D100" s="411" t="s">
        <v>414</v>
      </c>
      <c r="E100" s="412"/>
      <c r="F100" s="412"/>
      <c r="G100" s="412"/>
      <c r="H100" s="412"/>
      <c r="I100" s="412"/>
      <c r="J100" s="413">
        <f>J149</f>
        <v>0</v>
      </c>
      <c r="L100" s="409"/>
    </row>
    <row r="101" spans="2:62" s="405" customFormat="1" ht="24.95" customHeight="1" x14ac:dyDescent="0.25">
      <c r="B101" s="404"/>
      <c r="D101" s="406" t="s">
        <v>1616</v>
      </c>
      <c r="E101" s="407"/>
      <c r="F101" s="407"/>
      <c r="G101" s="407"/>
      <c r="H101" s="407"/>
      <c r="I101" s="407"/>
      <c r="J101" s="408">
        <f>J151</f>
        <v>0</v>
      </c>
      <c r="L101" s="404"/>
    </row>
    <row r="102" spans="2:62" s="410" customFormat="1" ht="19.899999999999999" customHeight="1" x14ac:dyDescent="0.25">
      <c r="B102" s="409"/>
      <c r="D102" s="411" t="s">
        <v>1617</v>
      </c>
      <c r="E102" s="412"/>
      <c r="F102" s="412"/>
      <c r="G102" s="412"/>
      <c r="H102" s="412"/>
      <c r="I102" s="412"/>
      <c r="J102" s="413">
        <f>J152</f>
        <v>0</v>
      </c>
      <c r="L102" s="409"/>
    </row>
    <row r="103" spans="2:62" s="410" customFormat="1" ht="19.899999999999999" customHeight="1" x14ac:dyDescent="0.25">
      <c r="B103" s="409"/>
      <c r="D103" s="411" t="s">
        <v>1618</v>
      </c>
      <c r="E103" s="412"/>
      <c r="F103" s="412"/>
      <c r="G103" s="412"/>
      <c r="H103" s="412"/>
      <c r="I103" s="412"/>
      <c r="J103" s="413">
        <f>J171</f>
        <v>0</v>
      </c>
      <c r="L103" s="409"/>
    </row>
    <row r="104" spans="2:62" s="410" customFormat="1" ht="19.899999999999999" customHeight="1" x14ac:dyDescent="0.25">
      <c r="B104" s="409"/>
      <c r="D104" s="411" t="s">
        <v>1619</v>
      </c>
      <c r="E104" s="412"/>
      <c r="F104" s="412"/>
      <c r="G104" s="412"/>
      <c r="H104" s="412"/>
      <c r="I104" s="412"/>
      <c r="J104" s="413">
        <f>J182</f>
        <v>0</v>
      </c>
      <c r="L104" s="409"/>
    </row>
    <row r="105" spans="2:62" s="365" customFormat="1" ht="21.75" customHeight="1" x14ac:dyDescent="0.25">
      <c r="B105" s="364"/>
      <c r="L105" s="364"/>
    </row>
    <row r="106" spans="2:62" s="365" customFormat="1" ht="6.95" customHeight="1" x14ac:dyDescent="0.25">
      <c r="B106" s="364"/>
      <c r="L106" s="364"/>
    </row>
    <row r="107" spans="2:62" s="365" customFormat="1" ht="29.25" customHeight="1" x14ac:dyDescent="0.25">
      <c r="B107" s="364"/>
      <c r="C107" s="403" t="s">
        <v>3066</v>
      </c>
      <c r="J107" s="414">
        <f>ROUND(J108,2)</f>
        <v>0</v>
      </c>
      <c r="L107" s="364"/>
      <c r="N107" s="415" t="s">
        <v>183</v>
      </c>
    </row>
    <row r="108" spans="2:62" s="365" customFormat="1" ht="18" customHeight="1" x14ac:dyDescent="0.25">
      <c r="B108" s="364"/>
      <c r="D108" s="865" t="s">
        <v>3126</v>
      </c>
      <c r="E108" s="865"/>
      <c r="F108" s="865"/>
      <c r="J108" s="482">
        <f>J96*0.032</f>
        <v>0</v>
      </c>
      <c r="L108" s="364"/>
      <c r="N108" s="483" t="s">
        <v>185</v>
      </c>
      <c r="AY108" s="357" t="s">
        <v>1333</v>
      </c>
      <c r="BE108" s="456">
        <f>IF(N108="základná",J108,0)</f>
        <v>0</v>
      </c>
      <c r="BF108" s="456">
        <f>IF(N108="znížená",J108,0)</f>
        <v>0</v>
      </c>
      <c r="BG108" s="456">
        <f>IF(N108="zákl. prenesená",J108,0)</f>
        <v>0</v>
      </c>
      <c r="BH108" s="456">
        <f>IF(N108="zníž. prenesená",J108,0)</f>
        <v>0</v>
      </c>
      <c r="BI108" s="456">
        <f>IF(N108="nulová",J108,0)</f>
        <v>0</v>
      </c>
      <c r="BJ108" s="357" t="s">
        <v>108</v>
      </c>
    </row>
    <row r="109" spans="2:62" s="365" customFormat="1" ht="18" customHeight="1" x14ac:dyDescent="0.25">
      <c r="B109" s="364"/>
      <c r="L109" s="364"/>
    </row>
    <row r="110" spans="2:62" s="365" customFormat="1" ht="29.25" customHeight="1" x14ac:dyDescent="0.25">
      <c r="B110" s="364"/>
      <c r="C110" s="416" t="s">
        <v>3063</v>
      </c>
      <c r="D110" s="384"/>
      <c r="E110" s="384"/>
      <c r="F110" s="384"/>
      <c r="G110" s="384"/>
      <c r="H110" s="384"/>
      <c r="I110" s="384"/>
      <c r="J110" s="417">
        <f>ROUND(J96+J107,2)</f>
        <v>0</v>
      </c>
      <c r="K110" s="384"/>
      <c r="L110" s="364"/>
    </row>
    <row r="111" spans="2:62" s="365" customFormat="1" ht="6.95" customHeight="1" x14ac:dyDescent="0.25">
      <c r="B111" s="397"/>
      <c r="C111" s="398"/>
      <c r="D111" s="398"/>
      <c r="E111" s="398"/>
      <c r="F111" s="398"/>
      <c r="G111" s="398"/>
      <c r="H111" s="398"/>
      <c r="I111" s="398"/>
      <c r="J111" s="398"/>
      <c r="K111" s="398"/>
      <c r="L111" s="364"/>
    </row>
    <row r="115" spans="2:20" s="365" customFormat="1" ht="6.95" customHeight="1" x14ac:dyDescent="0.25">
      <c r="B115" s="399"/>
      <c r="C115" s="400"/>
      <c r="D115" s="400"/>
      <c r="E115" s="400"/>
      <c r="F115" s="400"/>
      <c r="G115" s="400"/>
      <c r="H115" s="400"/>
      <c r="I115" s="400"/>
      <c r="J115" s="400"/>
      <c r="K115" s="400"/>
      <c r="L115" s="364"/>
    </row>
    <row r="116" spans="2:20" s="365" customFormat="1" ht="24.95" customHeight="1" x14ac:dyDescent="0.25">
      <c r="B116" s="364"/>
      <c r="C116" s="361" t="s">
        <v>203</v>
      </c>
      <c r="L116" s="364"/>
    </row>
    <row r="117" spans="2:20" s="365" customFormat="1" ht="6.95" customHeight="1" x14ac:dyDescent="0.25">
      <c r="B117" s="364"/>
      <c r="L117" s="364"/>
    </row>
    <row r="118" spans="2:20" s="365" customFormat="1" ht="12" customHeight="1" x14ac:dyDescent="0.25">
      <c r="B118" s="364"/>
      <c r="C118" s="363" t="s">
        <v>169</v>
      </c>
      <c r="L118" s="364"/>
    </row>
    <row r="119" spans="2:20" s="365" customFormat="1" ht="16.5" customHeight="1" x14ac:dyDescent="0.25">
      <c r="B119" s="364"/>
      <c r="E119" s="859" t="str">
        <f>E7</f>
        <v>Cyklotrasa - Devín_F</v>
      </c>
      <c r="F119" s="860"/>
      <c r="G119" s="860"/>
      <c r="H119" s="860"/>
      <c r="L119" s="364"/>
    </row>
    <row r="120" spans="2:20" s="365" customFormat="1" ht="12" customHeight="1" x14ac:dyDescent="0.25">
      <c r="B120" s="364"/>
      <c r="C120" s="363" t="s">
        <v>408</v>
      </c>
      <c r="L120" s="364"/>
    </row>
    <row r="121" spans="2:20" s="365" customFormat="1" ht="30" customHeight="1" x14ac:dyDescent="0.25">
      <c r="B121" s="364"/>
      <c r="E121" s="857" t="str">
        <f>E9</f>
        <v>401-F - SO 401  Preložka telekomunikačných vedení Slovak Telekom a.s., úsek F</v>
      </c>
      <c r="F121" s="858"/>
      <c r="G121" s="858"/>
      <c r="H121" s="858"/>
      <c r="L121" s="364"/>
    </row>
    <row r="122" spans="2:20" s="365" customFormat="1" ht="6.95" customHeight="1" x14ac:dyDescent="0.25">
      <c r="B122" s="364"/>
      <c r="L122" s="364"/>
    </row>
    <row r="123" spans="2:20" s="365" customFormat="1" ht="12" customHeight="1" x14ac:dyDescent="0.25">
      <c r="B123" s="364"/>
      <c r="C123" s="363" t="s">
        <v>172</v>
      </c>
      <c r="F123" s="366" t="str">
        <f>F12</f>
        <v xml:space="preserve"> </v>
      </c>
      <c r="I123" s="363" t="s">
        <v>174</v>
      </c>
      <c r="J123" s="367">
        <f>IF(J12="","",J12)</f>
        <v>45908</v>
      </c>
      <c r="L123" s="364"/>
    </row>
    <row r="124" spans="2:20" s="365" customFormat="1" ht="6.95" customHeight="1" x14ac:dyDescent="0.25">
      <c r="B124" s="364"/>
      <c r="L124" s="364"/>
    </row>
    <row r="125" spans="2:20" s="365" customFormat="1" ht="15.2" customHeight="1" x14ac:dyDescent="0.25">
      <c r="B125" s="364"/>
      <c r="C125" s="363" t="s">
        <v>122</v>
      </c>
      <c r="F125" s="366" t="str">
        <f>E15</f>
        <v>Hlavné mesto SR Bratislava</v>
      </c>
      <c r="I125" s="363" t="s">
        <v>176</v>
      </c>
      <c r="J125" s="370" t="str">
        <f>E21</f>
        <v>PROKOS s.r.o.</v>
      </c>
      <c r="L125" s="364"/>
    </row>
    <row r="126" spans="2:20" s="365" customFormat="1" ht="15.2" customHeight="1" x14ac:dyDescent="0.25">
      <c r="B126" s="364"/>
      <c r="C126" s="363" t="s">
        <v>175</v>
      </c>
      <c r="F126" s="366" t="str">
        <f>IF(E18="","",E18)</f>
        <v>Údaj sa automaticky zobrazí aj vo Výkaze výmer</v>
      </c>
      <c r="I126" s="363" t="s">
        <v>177</v>
      </c>
      <c r="J126" s="370" t="str">
        <f>E24</f>
        <v>Ing. Ondrej Májek</v>
      </c>
      <c r="L126" s="364"/>
    </row>
    <row r="127" spans="2:20" s="365" customFormat="1" ht="10.35" customHeight="1" x14ac:dyDescent="0.25">
      <c r="B127" s="364"/>
      <c r="L127" s="364"/>
    </row>
    <row r="128" spans="2:20" s="426" customFormat="1" ht="29.25" customHeight="1" x14ac:dyDescent="0.25">
      <c r="B128" s="418"/>
      <c r="C128" s="419" t="s">
        <v>204</v>
      </c>
      <c r="D128" s="420" t="s">
        <v>205</v>
      </c>
      <c r="E128" s="420" t="s">
        <v>206</v>
      </c>
      <c r="F128" s="420" t="s">
        <v>121</v>
      </c>
      <c r="G128" s="420" t="s">
        <v>120</v>
      </c>
      <c r="H128" s="420" t="s">
        <v>207</v>
      </c>
      <c r="I128" s="420" t="s">
        <v>208</v>
      </c>
      <c r="J128" s="421" t="s">
        <v>200</v>
      </c>
      <c r="K128" s="422" t="s">
        <v>209</v>
      </c>
      <c r="L128" s="418"/>
      <c r="M128" s="423" t="s">
        <v>171</v>
      </c>
      <c r="N128" s="424" t="s">
        <v>183</v>
      </c>
      <c r="O128" s="424" t="s">
        <v>210</v>
      </c>
      <c r="P128" s="424" t="s">
        <v>211</v>
      </c>
      <c r="Q128" s="424" t="s">
        <v>212</v>
      </c>
      <c r="R128" s="424" t="s">
        <v>213</v>
      </c>
      <c r="S128" s="424" t="s">
        <v>214</v>
      </c>
      <c r="T128" s="425" t="s">
        <v>215</v>
      </c>
    </row>
    <row r="129" spans="2:65" s="365" customFormat="1" ht="22.9" customHeight="1" x14ac:dyDescent="0.25">
      <c r="B129" s="364"/>
      <c r="C129" s="427" t="s">
        <v>201</v>
      </c>
      <c r="J129" s="428">
        <f>BK129</f>
        <v>0</v>
      </c>
      <c r="L129" s="364"/>
      <c r="M129" s="429"/>
      <c r="N129" s="371"/>
      <c r="O129" s="371"/>
      <c r="P129" s="430">
        <f>P130+P151</f>
        <v>20100.826271000002</v>
      </c>
      <c r="Q129" s="371"/>
      <c r="R129" s="430">
        <f>R130+R151</f>
        <v>1.6131600000000001</v>
      </c>
      <c r="S129" s="371"/>
      <c r="T129" s="431">
        <f>T130+T151</f>
        <v>0</v>
      </c>
      <c r="AT129" s="357" t="s">
        <v>216</v>
      </c>
      <c r="AU129" s="357" t="s">
        <v>202</v>
      </c>
      <c r="BK129" s="432">
        <f>BK130+BK151</f>
        <v>0</v>
      </c>
    </row>
    <row r="130" spans="2:65" s="434" customFormat="1" ht="25.9" customHeight="1" x14ac:dyDescent="0.2">
      <c r="B130" s="433"/>
      <c r="D130" s="435" t="s">
        <v>216</v>
      </c>
      <c r="E130" s="436" t="s">
        <v>418</v>
      </c>
      <c r="F130" s="436" t="s">
        <v>419</v>
      </c>
      <c r="J130" s="437">
        <f>BK130</f>
        <v>0</v>
      </c>
      <c r="L130" s="433"/>
      <c r="M130" s="438"/>
      <c r="P130" s="439">
        <f>P131+P136+P149</f>
        <v>98.117770999999991</v>
      </c>
      <c r="R130" s="439">
        <f>R131+R136+R149</f>
        <v>0.36985000000000001</v>
      </c>
      <c r="T130" s="440">
        <f>T131+T136+T149</f>
        <v>0</v>
      </c>
      <c r="AR130" s="435" t="s">
        <v>109</v>
      </c>
      <c r="AT130" s="441" t="s">
        <v>216</v>
      </c>
      <c r="AU130" s="441" t="s">
        <v>165</v>
      </c>
      <c r="AY130" s="435" t="s">
        <v>217</v>
      </c>
      <c r="BK130" s="442">
        <f>BK131+BK136+BK149</f>
        <v>0</v>
      </c>
    </row>
    <row r="131" spans="2:65" s="434" customFormat="1" ht="22.9" customHeight="1" x14ac:dyDescent="0.2">
      <c r="B131" s="433"/>
      <c r="D131" s="435" t="s">
        <v>216</v>
      </c>
      <c r="E131" s="443" t="s">
        <v>109</v>
      </c>
      <c r="F131" s="443" t="s">
        <v>220</v>
      </c>
      <c r="J131" s="444">
        <f>BK131</f>
        <v>0</v>
      </c>
      <c r="L131" s="433"/>
      <c r="M131" s="438"/>
      <c r="P131" s="439">
        <f>SUM(P132:P135)</f>
        <v>1.2017710000000001</v>
      </c>
      <c r="R131" s="439">
        <f>SUM(R132:R135)</f>
        <v>0</v>
      </c>
      <c r="T131" s="440">
        <f>SUM(T132:T135)</f>
        <v>0</v>
      </c>
      <c r="AR131" s="435" t="s">
        <v>109</v>
      </c>
      <c r="AT131" s="441" t="s">
        <v>216</v>
      </c>
      <c r="AU131" s="441" t="s">
        <v>109</v>
      </c>
      <c r="AY131" s="435" t="s">
        <v>217</v>
      </c>
      <c r="BK131" s="442">
        <f>SUM(BK132:BK135)</f>
        <v>0</v>
      </c>
    </row>
    <row r="132" spans="2:65" s="365" customFormat="1" ht="37.9" customHeight="1" x14ac:dyDescent="0.25">
      <c r="B132" s="364"/>
      <c r="C132" s="445" t="s">
        <v>109</v>
      </c>
      <c r="D132" s="445" t="s">
        <v>218</v>
      </c>
      <c r="E132" s="446" t="s">
        <v>712</v>
      </c>
      <c r="F132" s="447" t="s">
        <v>2974</v>
      </c>
      <c r="G132" s="448" t="s">
        <v>114</v>
      </c>
      <c r="H132" s="449">
        <v>7.3</v>
      </c>
      <c r="I132" s="329">
        <v>0</v>
      </c>
      <c r="J132" s="450">
        <f>ROUND(I132*H132,2)</f>
        <v>0</v>
      </c>
      <c r="K132" s="451"/>
      <c r="L132" s="364"/>
      <c r="M132" s="452" t="s">
        <v>171</v>
      </c>
      <c r="N132" s="415" t="s">
        <v>185</v>
      </c>
      <c r="O132" s="453">
        <v>4.8899999999999999E-2</v>
      </c>
      <c r="P132" s="453">
        <f>O132*H132</f>
        <v>0.35697000000000001</v>
      </c>
      <c r="Q132" s="453">
        <v>0</v>
      </c>
      <c r="R132" s="453">
        <f>Q132*H132</f>
        <v>0</v>
      </c>
      <c r="S132" s="453">
        <v>0</v>
      </c>
      <c r="T132" s="454">
        <f>S132*H132</f>
        <v>0</v>
      </c>
      <c r="AR132" s="455" t="s">
        <v>110</v>
      </c>
      <c r="AT132" s="455" t="s">
        <v>218</v>
      </c>
      <c r="AU132" s="455" t="s">
        <v>108</v>
      </c>
      <c r="AY132" s="357" t="s">
        <v>217</v>
      </c>
      <c r="BE132" s="456">
        <f>IF(N132="základná",J132,0)</f>
        <v>0</v>
      </c>
      <c r="BF132" s="456">
        <f>IF(N132="znížená",J132,0)</f>
        <v>0</v>
      </c>
      <c r="BG132" s="456">
        <f>IF(N132="zákl. prenesená",J132,0)</f>
        <v>0</v>
      </c>
      <c r="BH132" s="456">
        <f>IF(N132="zníž. prenesená",J132,0)</f>
        <v>0</v>
      </c>
      <c r="BI132" s="456">
        <f>IF(N132="nulová",J132,0)</f>
        <v>0</v>
      </c>
      <c r="BJ132" s="357" t="s">
        <v>108</v>
      </c>
      <c r="BK132" s="456">
        <f>ROUND(I132*H132,2)</f>
        <v>0</v>
      </c>
      <c r="BL132" s="357" t="s">
        <v>110</v>
      </c>
      <c r="BM132" s="455" t="s">
        <v>2975</v>
      </c>
    </row>
    <row r="133" spans="2:65" s="365" customFormat="1" ht="44.25" customHeight="1" x14ac:dyDescent="0.25">
      <c r="B133" s="364"/>
      <c r="C133" s="445" t="s">
        <v>108</v>
      </c>
      <c r="D133" s="445" t="s">
        <v>218</v>
      </c>
      <c r="E133" s="446" t="s">
        <v>714</v>
      </c>
      <c r="F133" s="447" t="s">
        <v>2976</v>
      </c>
      <c r="G133" s="448" t="s">
        <v>114</v>
      </c>
      <c r="H133" s="449">
        <v>145.9</v>
      </c>
      <c r="I133" s="329">
        <v>0</v>
      </c>
      <c r="J133" s="450">
        <f>ROUND(I133*H133,2)</f>
        <v>0</v>
      </c>
      <c r="K133" s="451"/>
      <c r="L133" s="364"/>
      <c r="M133" s="452" t="s">
        <v>171</v>
      </c>
      <c r="N133" s="415" t="s">
        <v>185</v>
      </c>
      <c r="O133" s="453">
        <v>5.3899999999999998E-3</v>
      </c>
      <c r="P133" s="453">
        <f>O133*H133</f>
        <v>0.78640100000000002</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2977</v>
      </c>
    </row>
    <row r="134" spans="2:65" s="365" customFormat="1" ht="21.75" customHeight="1" x14ac:dyDescent="0.25">
      <c r="B134" s="364"/>
      <c r="C134" s="445" t="s">
        <v>119</v>
      </c>
      <c r="D134" s="445" t="s">
        <v>218</v>
      </c>
      <c r="E134" s="446" t="s">
        <v>717</v>
      </c>
      <c r="F134" s="447" t="s">
        <v>224</v>
      </c>
      <c r="G134" s="448" t="s">
        <v>114</v>
      </c>
      <c r="H134" s="449">
        <v>7.3</v>
      </c>
      <c r="I134" s="329">
        <v>0</v>
      </c>
      <c r="J134" s="450">
        <f>ROUND(I134*H134,2)</f>
        <v>0</v>
      </c>
      <c r="K134" s="451"/>
      <c r="L134" s="364"/>
      <c r="M134" s="452" t="s">
        <v>171</v>
      </c>
      <c r="N134" s="415" t="s">
        <v>185</v>
      </c>
      <c r="O134" s="453">
        <v>8.0000000000000002E-3</v>
      </c>
      <c r="P134" s="453">
        <f>O134*H134</f>
        <v>5.8400000000000001E-2</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2978</v>
      </c>
    </row>
    <row r="135" spans="2:65" s="365" customFormat="1" ht="24.2" customHeight="1" x14ac:dyDescent="0.25">
      <c r="B135" s="364"/>
      <c r="C135" s="445" t="s">
        <v>110</v>
      </c>
      <c r="D135" s="445" t="s">
        <v>218</v>
      </c>
      <c r="E135" s="446" t="s">
        <v>1101</v>
      </c>
      <c r="F135" s="447" t="s">
        <v>3178</v>
      </c>
      <c r="G135" s="448" t="s">
        <v>112</v>
      </c>
      <c r="H135" s="449">
        <f>Ponuka!S150</f>
        <v>13.491000000000003</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2979</v>
      </c>
    </row>
    <row r="136" spans="2:65" s="434" customFormat="1" ht="22.9" customHeight="1" x14ac:dyDescent="0.2">
      <c r="B136" s="433"/>
      <c r="D136" s="435" t="s">
        <v>216</v>
      </c>
      <c r="E136" s="443" t="s">
        <v>119</v>
      </c>
      <c r="F136" s="443" t="s">
        <v>541</v>
      </c>
      <c r="I136" s="467"/>
      <c r="J136" s="444">
        <f>BK136</f>
        <v>0</v>
      </c>
      <c r="L136" s="433"/>
      <c r="M136" s="438"/>
      <c r="P136" s="439">
        <f>SUM(P137:P148)</f>
        <v>96.915999999999997</v>
      </c>
      <c r="R136" s="439">
        <f>SUM(R137:R148)</f>
        <v>0.36985000000000001</v>
      </c>
      <c r="T136" s="440">
        <f>SUM(T137:T148)</f>
        <v>0</v>
      </c>
      <c r="AR136" s="435" t="s">
        <v>109</v>
      </c>
      <c r="AT136" s="441" t="s">
        <v>216</v>
      </c>
      <c r="AU136" s="441" t="s">
        <v>109</v>
      </c>
      <c r="AY136" s="435" t="s">
        <v>217</v>
      </c>
      <c r="BK136" s="442">
        <f>SUM(BK137:BK148)</f>
        <v>0</v>
      </c>
    </row>
    <row r="137" spans="2:65" s="365" customFormat="1" ht="24.2" customHeight="1" x14ac:dyDescent="0.25">
      <c r="B137" s="364"/>
      <c r="C137" s="445" t="s">
        <v>118</v>
      </c>
      <c r="D137" s="445" t="s">
        <v>218</v>
      </c>
      <c r="E137" s="446" t="s">
        <v>1626</v>
      </c>
      <c r="F137" s="447" t="s">
        <v>2980</v>
      </c>
      <c r="G137" s="448" t="s">
        <v>113</v>
      </c>
      <c r="H137" s="449">
        <v>215</v>
      </c>
      <c r="I137" s="329">
        <v>0</v>
      </c>
      <c r="J137" s="450">
        <f t="shared" ref="J137:J148" si="0">ROUND(I137*H137,2)</f>
        <v>0</v>
      </c>
      <c r="K137" s="451"/>
      <c r="L137" s="364"/>
      <c r="M137" s="452" t="s">
        <v>171</v>
      </c>
      <c r="N137" s="415" t="s">
        <v>185</v>
      </c>
      <c r="O137" s="453">
        <v>0.08</v>
      </c>
      <c r="P137" s="453">
        <f t="shared" ref="P137:P148" si="1">O137*H137</f>
        <v>17.2</v>
      </c>
      <c r="Q137" s="453">
        <v>0</v>
      </c>
      <c r="R137" s="453">
        <f t="shared" ref="R137:R148" si="2">Q137*H137</f>
        <v>0</v>
      </c>
      <c r="S137" s="453">
        <v>0</v>
      </c>
      <c r="T137" s="454">
        <f t="shared" ref="T137:T148" si="3">S137*H137</f>
        <v>0</v>
      </c>
      <c r="AR137" s="455" t="s">
        <v>110</v>
      </c>
      <c r="AT137" s="455" t="s">
        <v>218</v>
      </c>
      <c r="AU137" s="455" t="s">
        <v>108</v>
      </c>
      <c r="AY137" s="357" t="s">
        <v>217</v>
      </c>
      <c r="BE137" s="456">
        <f t="shared" ref="BE137:BE148" si="4">IF(N137="základná",J137,0)</f>
        <v>0</v>
      </c>
      <c r="BF137" s="456">
        <f t="shared" ref="BF137:BF148" si="5">IF(N137="znížená",J137,0)</f>
        <v>0</v>
      </c>
      <c r="BG137" s="456">
        <f t="shared" ref="BG137:BG148" si="6">IF(N137="zákl. prenesená",J137,0)</f>
        <v>0</v>
      </c>
      <c r="BH137" s="456">
        <f t="shared" ref="BH137:BH148" si="7">IF(N137="zníž. prenesená",J137,0)</f>
        <v>0</v>
      </c>
      <c r="BI137" s="456">
        <f t="shared" ref="BI137:BI148" si="8">IF(N137="nulová",J137,0)</f>
        <v>0</v>
      </c>
      <c r="BJ137" s="357" t="s">
        <v>108</v>
      </c>
      <c r="BK137" s="456">
        <f t="shared" ref="BK137:BK148" si="9">ROUND(I137*H137,2)</f>
        <v>0</v>
      </c>
      <c r="BL137" s="357" t="s">
        <v>110</v>
      </c>
      <c r="BM137" s="455" t="s">
        <v>1628</v>
      </c>
    </row>
    <row r="138" spans="2:65" s="365" customFormat="1" ht="16.5" customHeight="1" x14ac:dyDescent="0.25">
      <c r="B138" s="364"/>
      <c r="C138" s="457" t="s">
        <v>117</v>
      </c>
      <c r="D138" s="457" t="s">
        <v>259</v>
      </c>
      <c r="E138" s="458" t="s">
        <v>1629</v>
      </c>
      <c r="F138" s="459" t="s">
        <v>1630</v>
      </c>
      <c r="G138" s="460" t="s">
        <v>113</v>
      </c>
      <c r="H138" s="461">
        <v>430</v>
      </c>
      <c r="I138" s="330">
        <v>0</v>
      </c>
      <c r="J138" s="462">
        <f t="shared" si="0"/>
        <v>0</v>
      </c>
      <c r="K138" s="463"/>
      <c r="L138" s="464"/>
      <c r="M138" s="465" t="s">
        <v>171</v>
      </c>
      <c r="N138" s="466" t="s">
        <v>185</v>
      </c>
      <c r="O138" s="453">
        <v>0</v>
      </c>
      <c r="P138" s="453">
        <f t="shared" si="1"/>
        <v>0</v>
      </c>
      <c r="Q138" s="453">
        <v>4.0000000000000002E-4</v>
      </c>
      <c r="R138" s="453">
        <f t="shared" si="2"/>
        <v>0.17200000000000001</v>
      </c>
      <c r="S138" s="453">
        <v>0</v>
      </c>
      <c r="T138" s="454">
        <f t="shared" si="3"/>
        <v>0</v>
      </c>
      <c r="AR138" s="455" t="s">
        <v>1631</v>
      </c>
      <c r="AT138" s="455" t="s">
        <v>259</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1631</v>
      </c>
      <c r="BM138" s="455" t="s">
        <v>1632</v>
      </c>
    </row>
    <row r="139" spans="2:65" s="365" customFormat="1" ht="16.5" customHeight="1" x14ac:dyDescent="0.25">
      <c r="B139" s="364"/>
      <c r="C139" s="457" t="s">
        <v>116</v>
      </c>
      <c r="D139" s="457" t="s">
        <v>259</v>
      </c>
      <c r="E139" s="458" t="s">
        <v>1633</v>
      </c>
      <c r="F139" s="459" t="s">
        <v>1634</v>
      </c>
      <c r="G139" s="460" t="s">
        <v>123</v>
      </c>
      <c r="H139" s="461">
        <v>12</v>
      </c>
      <c r="I139" s="330">
        <v>0</v>
      </c>
      <c r="J139" s="462">
        <f t="shared" si="0"/>
        <v>0</v>
      </c>
      <c r="K139" s="463"/>
      <c r="L139" s="464"/>
      <c r="M139" s="465" t="s">
        <v>171</v>
      </c>
      <c r="N139" s="466" t="s">
        <v>185</v>
      </c>
      <c r="O139" s="453">
        <v>0</v>
      </c>
      <c r="P139" s="453">
        <f t="shared" si="1"/>
        <v>0</v>
      </c>
      <c r="Q139" s="453">
        <v>4.0000000000000002E-4</v>
      </c>
      <c r="R139" s="453">
        <f t="shared" si="2"/>
        <v>4.8000000000000004E-3</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1635</v>
      </c>
    </row>
    <row r="140" spans="2:65" s="365" customFormat="1" ht="24.2" customHeight="1" x14ac:dyDescent="0.25">
      <c r="B140" s="364"/>
      <c r="C140" s="445" t="s">
        <v>115</v>
      </c>
      <c r="D140" s="445" t="s">
        <v>218</v>
      </c>
      <c r="E140" s="446" t="s">
        <v>1636</v>
      </c>
      <c r="F140" s="447" t="s">
        <v>1637</v>
      </c>
      <c r="G140" s="448" t="s">
        <v>113</v>
      </c>
      <c r="H140" s="449">
        <v>215</v>
      </c>
      <c r="I140" s="329">
        <v>0</v>
      </c>
      <c r="J140" s="450">
        <f t="shared" si="0"/>
        <v>0</v>
      </c>
      <c r="K140" s="451"/>
      <c r="L140" s="364"/>
      <c r="M140" s="452" t="s">
        <v>171</v>
      </c>
      <c r="N140" s="415" t="s">
        <v>185</v>
      </c>
      <c r="O140" s="453">
        <v>0.19</v>
      </c>
      <c r="P140" s="453">
        <f t="shared" si="1"/>
        <v>40.85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1638</v>
      </c>
    </row>
    <row r="141" spans="2:65" s="365" customFormat="1" ht="16.5" customHeight="1" x14ac:dyDescent="0.25">
      <c r="B141" s="364"/>
      <c r="C141" s="457" t="s">
        <v>162</v>
      </c>
      <c r="D141" s="457" t="s">
        <v>259</v>
      </c>
      <c r="E141" s="458" t="s">
        <v>1639</v>
      </c>
      <c r="F141" s="459" t="s">
        <v>1640</v>
      </c>
      <c r="G141" s="460" t="s">
        <v>113</v>
      </c>
      <c r="H141" s="461">
        <v>1075</v>
      </c>
      <c r="I141" s="330">
        <v>0</v>
      </c>
      <c r="J141" s="462">
        <f t="shared" si="0"/>
        <v>0</v>
      </c>
      <c r="K141" s="463"/>
      <c r="L141" s="464"/>
      <c r="M141" s="465" t="s">
        <v>171</v>
      </c>
      <c r="N141" s="466" t="s">
        <v>185</v>
      </c>
      <c r="O141" s="453">
        <v>0</v>
      </c>
      <c r="P141" s="453">
        <f t="shared" si="1"/>
        <v>0</v>
      </c>
      <c r="Q141" s="453">
        <v>1.1E-4</v>
      </c>
      <c r="R141" s="453">
        <f t="shared" si="2"/>
        <v>0.11825000000000001</v>
      </c>
      <c r="S141" s="453">
        <v>0</v>
      </c>
      <c r="T141" s="454">
        <f t="shared" si="3"/>
        <v>0</v>
      </c>
      <c r="AR141" s="455" t="s">
        <v>1631</v>
      </c>
      <c r="AT141" s="455" t="s">
        <v>259</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1631</v>
      </c>
      <c r="BM141" s="455" t="s">
        <v>1641</v>
      </c>
    </row>
    <row r="142" spans="2:65" s="365" customFormat="1" ht="24.2" customHeight="1" x14ac:dyDescent="0.25">
      <c r="B142" s="364"/>
      <c r="C142" s="445" t="s">
        <v>221</v>
      </c>
      <c r="D142" s="445" t="s">
        <v>218</v>
      </c>
      <c r="E142" s="446" t="s">
        <v>2981</v>
      </c>
      <c r="F142" s="447" t="s">
        <v>2982</v>
      </c>
      <c r="G142" s="448" t="s">
        <v>113</v>
      </c>
      <c r="H142" s="449">
        <v>430</v>
      </c>
      <c r="I142" s="329">
        <v>0</v>
      </c>
      <c r="J142" s="450">
        <f t="shared" si="0"/>
        <v>0</v>
      </c>
      <c r="K142" s="451"/>
      <c r="L142" s="364"/>
      <c r="M142" s="452" t="s">
        <v>171</v>
      </c>
      <c r="N142" s="415" t="s">
        <v>185</v>
      </c>
      <c r="O142" s="453">
        <v>5.5E-2</v>
      </c>
      <c r="P142" s="453">
        <f t="shared" si="1"/>
        <v>23.65</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2983</v>
      </c>
    </row>
    <row r="143" spans="2:65" s="365" customFormat="1" ht="16.5" customHeight="1" x14ac:dyDescent="0.25">
      <c r="B143" s="364"/>
      <c r="C143" s="445" t="s">
        <v>222</v>
      </c>
      <c r="D143" s="445" t="s">
        <v>218</v>
      </c>
      <c r="E143" s="446" t="s">
        <v>1642</v>
      </c>
      <c r="F143" s="447" t="s">
        <v>1643</v>
      </c>
      <c r="G143" s="448" t="s">
        <v>123</v>
      </c>
      <c r="H143" s="449">
        <v>8</v>
      </c>
      <c r="I143" s="329">
        <v>0</v>
      </c>
      <c r="J143" s="450">
        <f t="shared" si="0"/>
        <v>0</v>
      </c>
      <c r="K143" s="451"/>
      <c r="L143" s="364"/>
      <c r="M143" s="452" t="s">
        <v>171</v>
      </c>
      <c r="N143" s="415" t="s">
        <v>185</v>
      </c>
      <c r="O143" s="453">
        <v>0.15</v>
      </c>
      <c r="P143" s="453">
        <f t="shared" si="1"/>
        <v>1.2</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1644</v>
      </c>
    </row>
    <row r="144" spans="2:65" s="365" customFormat="1" ht="16.5" customHeight="1" x14ac:dyDescent="0.25">
      <c r="B144" s="364"/>
      <c r="C144" s="457" t="s">
        <v>223</v>
      </c>
      <c r="D144" s="457" t="s">
        <v>259</v>
      </c>
      <c r="E144" s="458" t="s">
        <v>1645</v>
      </c>
      <c r="F144" s="459" t="s">
        <v>1646</v>
      </c>
      <c r="G144" s="460" t="s">
        <v>123</v>
      </c>
      <c r="H144" s="461">
        <v>8</v>
      </c>
      <c r="I144" s="330">
        <v>0</v>
      </c>
      <c r="J144" s="462">
        <f t="shared" si="0"/>
        <v>0</v>
      </c>
      <c r="K144" s="463"/>
      <c r="L144" s="464"/>
      <c r="M144" s="465" t="s">
        <v>171</v>
      </c>
      <c r="N144" s="466" t="s">
        <v>185</v>
      </c>
      <c r="O144" s="453">
        <v>0</v>
      </c>
      <c r="P144" s="453">
        <f t="shared" si="1"/>
        <v>0</v>
      </c>
      <c r="Q144" s="453">
        <v>4.0000000000000002E-4</v>
      </c>
      <c r="R144" s="453">
        <f t="shared" si="2"/>
        <v>3.2000000000000002E-3</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1647</v>
      </c>
    </row>
    <row r="145" spans="2:65" s="365" customFormat="1" ht="16.5" customHeight="1" x14ac:dyDescent="0.25">
      <c r="B145" s="364"/>
      <c r="C145" s="445" t="s">
        <v>225</v>
      </c>
      <c r="D145" s="445" t="s">
        <v>218</v>
      </c>
      <c r="E145" s="446" t="s">
        <v>1648</v>
      </c>
      <c r="F145" s="447" t="s">
        <v>1649</v>
      </c>
      <c r="G145" s="448" t="s">
        <v>123</v>
      </c>
      <c r="H145" s="449">
        <v>40</v>
      </c>
      <c r="I145" s="329">
        <v>0</v>
      </c>
      <c r="J145" s="450">
        <f t="shared" si="0"/>
        <v>0</v>
      </c>
      <c r="K145" s="451"/>
      <c r="L145" s="364"/>
      <c r="M145" s="452" t="s">
        <v>171</v>
      </c>
      <c r="N145" s="415" t="s">
        <v>185</v>
      </c>
      <c r="O145" s="453">
        <v>5.5E-2</v>
      </c>
      <c r="P145" s="453">
        <f t="shared" si="1"/>
        <v>2.2000000000000002</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1650</v>
      </c>
    </row>
    <row r="146" spans="2:65" s="365" customFormat="1" ht="16.5" customHeight="1" x14ac:dyDescent="0.25">
      <c r="B146" s="364"/>
      <c r="C146" s="457" t="s">
        <v>226</v>
      </c>
      <c r="D146" s="457" t="s">
        <v>259</v>
      </c>
      <c r="E146" s="458" t="s">
        <v>1651</v>
      </c>
      <c r="F146" s="459" t="s">
        <v>1652</v>
      </c>
      <c r="G146" s="460" t="s">
        <v>123</v>
      </c>
      <c r="H146" s="461">
        <v>40</v>
      </c>
      <c r="I146" s="330">
        <v>0</v>
      </c>
      <c r="J146" s="462">
        <f t="shared" si="0"/>
        <v>0</v>
      </c>
      <c r="K146" s="463"/>
      <c r="L146" s="464"/>
      <c r="M146" s="465" t="s">
        <v>171</v>
      </c>
      <c r="N146" s="466" t="s">
        <v>185</v>
      </c>
      <c r="O146" s="453">
        <v>0</v>
      </c>
      <c r="P146" s="453">
        <f t="shared" si="1"/>
        <v>0</v>
      </c>
      <c r="Q146" s="453">
        <v>1.0000000000000001E-5</v>
      </c>
      <c r="R146" s="453">
        <f t="shared" si="2"/>
        <v>4.0000000000000002E-4</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1653</v>
      </c>
    </row>
    <row r="147" spans="2:65" s="365" customFormat="1" ht="16.5" customHeight="1" x14ac:dyDescent="0.25">
      <c r="B147" s="364"/>
      <c r="C147" s="445" t="s">
        <v>227</v>
      </c>
      <c r="D147" s="445" t="s">
        <v>218</v>
      </c>
      <c r="E147" s="446" t="s">
        <v>1654</v>
      </c>
      <c r="F147" s="447" t="s">
        <v>1655</v>
      </c>
      <c r="G147" s="448" t="s">
        <v>123</v>
      </c>
      <c r="H147" s="449">
        <v>8</v>
      </c>
      <c r="I147" s="329">
        <v>0</v>
      </c>
      <c r="J147" s="450">
        <f t="shared" si="0"/>
        <v>0</v>
      </c>
      <c r="K147" s="451"/>
      <c r="L147" s="364"/>
      <c r="M147" s="452" t="s">
        <v>171</v>
      </c>
      <c r="N147" s="415" t="s">
        <v>185</v>
      </c>
      <c r="O147" s="453">
        <v>1.4770000000000001</v>
      </c>
      <c r="P147" s="453">
        <f t="shared" si="1"/>
        <v>11.816000000000001</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1656</v>
      </c>
    </row>
    <row r="148" spans="2:65" s="365" customFormat="1" ht="16.5" customHeight="1" x14ac:dyDescent="0.25">
      <c r="B148" s="364"/>
      <c r="C148" s="457" t="s">
        <v>228</v>
      </c>
      <c r="D148" s="457" t="s">
        <v>259</v>
      </c>
      <c r="E148" s="458" t="s">
        <v>1867</v>
      </c>
      <c r="F148" s="459" t="s">
        <v>1658</v>
      </c>
      <c r="G148" s="460" t="s">
        <v>123</v>
      </c>
      <c r="H148" s="461">
        <v>8</v>
      </c>
      <c r="I148" s="330">
        <v>0</v>
      </c>
      <c r="J148" s="462">
        <f t="shared" si="0"/>
        <v>0</v>
      </c>
      <c r="K148" s="463"/>
      <c r="L148" s="464"/>
      <c r="M148" s="465" t="s">
        <v>171</v>
      </c>
      <c r="N148" s="466" t="s">
        <v>185</v>
      </c>
      <c r="O148" s="453">
        <v>0</v>
      </c>
      <c r="P148" s="453">
        <f t="shared" si="1"/>
        <v>0</v>
      </c>
      <c r="Q148" s="453">
        <v>8.8999999999999999E-3</v>
      </c>
      <c r="R148" s="453">
        <f t="shared" si="2"/>
        <v>7.1199999999999999E-2</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2984</v>
      </c>
    </row>
    <row r="149" spans="2:65" s="434" customFormat="1" ht="22.9" customHeight="1" x14ac:dyDescent="0.2">
      <c r="B149" s="433"/>
      <c r="D149" s="435" t="s">
        <v>216</v>
      </c>
      <c r="E149" s="443" t="s">
        <v>162</v>
      </c>
      <c r="F149" s="443" t="s">
        <v>633</v>
      </c>
      <c r="I149" s="467"/>
      <c r="J149" s="444">
        <f>BK149</f>
        <v>0</v>
      </c>
      <c r="L149" s="433"/>
      <c r="M149" s="438"/>
      <c r="P149" s="439">
        <f>P150</f>
        <v>0</v>
      </c>
      <c r="R149" s="439">
        <f>R150</f>
        <v>0</v>
      </c>
      <c r="T149" s="440">
        <f>T150</f>
        <v>0</v>
      </c>
      <c r="AR149" s="435" t="s">
        <v>109</v>
      </c>
      <c r="AT149" s="441" t="s">
        <v>216</v>
      </c>
      <c r="AU149" s="441" t="s">
        <v>109</v>
      </c>
      <c r="AY149" s="435" t="s">
        <v>217</v>
      </c>
      <c r="BK149" s="442">
        <f>BK150</f>
        <v>0</v>
      </c>
    </row>
    <row r="150" spans="2:65" s="365" customFormat="1" ht="66.75" customHeight="1" x14ac:dyDescent="0.25">
      <c r="B150" s="364"/>
      <c r="C150" s="445" t="s">
        <v>229</v>
      </c>
      <c r="D150" s="445" t="s">
        <v>218</v>
      </c>
      <c r="E150" s="446" t="s">
        <v>638</v>
      </c>
      <c r="F150" s="447" t="s">
        <v>3179</v>
      </c>
      <c r="G150" s="448" t="s">
        <v>112</v>
      </c>
      <c r="H150" s="449">
        <f>Ponuka!R150</f>
        <v>31.478999999999996</v>
      </c>
      <c r="I150" s="329">
        <v>0</v>
      </c>
      <c r="J150" s="450">
        <f>ROUND(I150*H150,2)</f>
        <v>0</v>
      </c>
      <c r="K150" s="451"/>
      <c r="L150" s="364"/>
      <c r="M150" s="452" t="s">
        <v>171</v>
      </c>
      <c r="N150" s="415" t="s">
        <v>185</v>
      </c>
      <c r="O150" s="453">
        <v>0</v>
      </c>
      <c r="P150" s="453">
        <f>O150*H150</f>
        <v>0</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2985</v>
      </c>
    </row>
    <row r="151" spans="2:65" s="434" customFormat="1" ht="25.9" customHeight="1" x14ac:dyDescent="0.2">
      <c r="B151" s="433"/>
      <c r="D151" s="435" t="s">
        <v>216</v>
      </c>
      <c r="E151" s="436" t="s">
        <v>259</v>
      </c>
      <c r="F151" s="436" t="s">
        <v>1667</v>
      </c>
      <c r="I151" s="467"/>
      <c r="J151" s="437">
        <f>BK151</f>
        <v>0</v>
      </c>
      <c r="L151" s="433"/>
      <c r="M151" s="438"/>
      <c r="P151" s="439">
        <f>P152+P171+P182</f>
        <v>20002.708500000001</v>
      </c>
      <c r="R151" s="439">
        <f>R152+R171+R182</f>
        <v>1.2433100000000001</v>
      </c>
      <c r="T151" s="440">
        <f>T152+T171+T182</f>
        <v>0</v>
      </c>
      <c r="AR151" s="435" t="s">
        <v>119</v>
      </c>
      <c r="AT151" s="441" t="s">
        <v>216</v>
      </c>
      <c r="AU151" s="441" t="s">
        <v>165</v>
      </c>
      <c r="AY151" s="435" t="s">
        <v>217</v>
      </c>
      <c r="BK151" s="442">
        <f>BK152+BK171+BK182</f>
        <v>0</v>
      </c>
    </row>
    <row r="152" spans="2:65" s="434" customFormat="1" ht="22.9" customHeight="1" x14ac:dyDescent="0.2">
      <c r="B152" s="433"/>
      <c r="D152" s="435" t="s">
        <v>216</v>
      </c>
      <c r="E152" s="443" t="s">
        <v>1668</v>
      </c>
      <c r="F152" s="443" t="s">
        <v>1669</v>
      </c>
      <c r="I152" s="467"/>
      <c r="J152" s="444">
        <f>BK152</f>
        <v>0</v>
      </c>
      <c r="L152" s="433"/>
      <c r="M152" s="438"/>
      <c r="P152" s="439">
        <f>SUM(P153:P170)</f>
        <v>19923.447500000002</v>
      </c>
      <c r="R152" s="439">
        <f>SUM(R153:R170)</f>
        <v>0.71138000000000012</v>
      </c>
      <c r="T152" s="440">
        <f>SUM(T153:T170)</f>
        <v>0</v>
      </c>
      <c r="AR152" s="435" t="s">
        <v>119</v>
      </c>
      <c r="AT152" s="441" t="s">
        <v>216</v>
      </c>
      <c r="AU152" s="441" t="s">
        <v>109</v>
      </c>
      <c r="AY152" s="435" t="s">
        <v>217</v>
      </c>
      <c r="BK152" s="442">
        <f>SUM(BK153:BK170)</f>
        <v>0</v>
      </c>
    </row>
    <row r="153" spans="2:65" s="365" customFormat="1" ht="33" customHeight="1" x14ac:dyDescent="0.25">
      <c r="B153" s="364"/>
      <c r="C153" s="445" t="s">
        <v>231</v>
      </c>
      <c r="D153" s="445" t="s">
        <v>218</v>
      </c>
      <c r="E153" s="446" t="s">
        <v>1676</v>
      </c>
      <c r="F153" s="447" t="s">
        <v>1677</v>
      </c>
      <c r="G153" s="448" t="s">
        <v>113</v>
      </c>
      <c r="H153" s="449">
        <v>250</v>
      </c>
      <c r="I153" s="329">
        <v>0</v>
      </c>
      <c r="J153" s="450">
        <f t="shared" ref="J153:J170" si="10">ROUND(I153*H153,2)</f>
        <v>0</v>
      </c>
      <c r="K153" s="451"/>
      <c r="L153" s="364"/>
      <c r="M153" s="452" t="s">
        <v>171</v>
      </c>
      <c r="N153" s="415" t="s">
        <v>185</v>
      </c>
      <c r="O153" s="453">
        <v>0.13900000000000001</v>
      </c>
      <c r="P153" s="453">
        <f t="shared" ref="P153:P170" si="11">O153*H153</f>
        <v>34.75</v>
      </c>
      <c r="Q153" s="453">
        <v>0</v>
      </c>
      <c r="R153" s="453">
        <f t="shared" ref="R153:R170" si="12">Q153*H153</f>
        <v>0</v>
      </c>
      <c r="S153" s="453">
        <v>0</v>
      </c>
      <c r="T153" s="454">
        <f t="shared" ref="T153:T170" si="13">S153*H153</f>
        <v>0</v>
      </c>
      <c r="AR153" s="455" t="s">
        <v>625</v>
      </c>
      <c r="AT153" s="455" t="s">
        <v>218</v>
      </c>
      <c r="AU153" s="455" t="s">
        <v>108</v>
      </c>
      <c r="AY153" s="357" t="s">
        <v>217</v>
      </c>
      <c r="BE153" s="456">
        <f t="shared" ref="BE153:BE170" si="14">IF(N153="základná",J153,0)</f>
        <v>0</v>
      </c>
      <c r="BF153" s="456">
        <f t="shared" ref="BF153:BF170" si="15">IF(N153="znížená",J153,0)</f>
        <v>0</v>
      </c>
      <c r="BG153" s="456">
        <f t="shared" ref="BG153:BG170" si="16">IF(N153="zákl. prenesená",J153,0)</f>
        <v>0</v>
      </c>
      <c r="BH153" s="456">
        <f t="shared" ref="BH153:BH170" si="17">IF(N153="zníž. prenesená",J153,0)</f>
        <v>0</v>
      </c>
      <c r="BI153" s="456">
        <f t="shared" ref="BI153:BI170" si="18">IF(N153="nulová",J153,0)</f>
        <v>0</v>
      </c>
      <c r="BJ153" s="357" t="s">
        <v>108</v>
      </c>
      <c r="BK153" s="456">
        <f t="shared" ref="BK153:BK170" si="19">ROUND(I153*H153,2)</f>
        <v>0</v>
      </c>
      <c r="BL153" s="357" t="s">
        <v>625</v>
      </c>
      <c r="BM153" s="455" t="s">
        <v>1678</v>
      </c>
    </row>
    <row r="154" spans="2:65" s="365" customFormat="1" ht="21.75" customHeight="1" x14ac:dyDescent="0.25">
      <c r="B154" s="364"/>
      <c r="C154" s="457" t="s">
        <v>232</v>
      </c>
      <c r="D154" s="457" t="s">
        <v>259</v>
      </c>
      <c r="E154" s="458" t="s">
        <v>1679</v>
      </c>
      <c r="F154" s="459" t="s">
        <v>1680</v>
      </c>
      <c r="G154" s="460" t="s">
        <v>113</v>
      </c>
      <c r="H154" s="461">
        <v>250</v>
      </c>
      <c r="I154" s="330">
        <v>0</v>
      </c>
      <c r="J154" s="462">
        <f t="shared" si="10"/>
        <v>0</v>
      </c>
      <c r="K154" s="463"/>
      <c r="L154" s="464"/>
      <c r="M154" s="465" t="s">
        <v>171</v>
      </c>
      <c r="N154" s="466" t="s">
        <v>185</v>
      </c>
      <c r="O154" s="453">
        <v>0</v>
      </c>
      <c r="P154" s="453">
        <f t="shared" si="11"/>
        <v>0</v>
      </c>
      <c r="Q154" s="453">
        <v>1.57E-3</v>
      </c>
      <c r="R154" s="453">
        <f t="shared" si="12"/>
        <v>0.39250000000000002</v>
      </c>
      <c r="S154" s="453">
        <v>0</v>
      </c>
      <c r="T154" s="454">
        <f t="shared" si="13"/>
        <v>0</v>
      </c>
      <c r="AR154" s="455" t="s">
        <v>1631</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1631</v>
      </c>
      <c r="BM154" s="455" t="s">
        <v>1681</v>
      </c>
    </row>
    <row r="155" spans="2:65" s="365" customFormat="1" ht="33" customHeight="1" x14ac:dyDescent="0.25">
      <c r="B155" s="364"/>
      <c r="C155" s="445" t="s">
        <v>234</v>
      </c>
      <c r="D155" s="445" t="s">
        <v>218</v>
      </c>
      <c r="E155" s="446" t="s">
        <v>1688</v>
      </c>
      <c r="F155" s="447" t="s">
        <v>1689</v>
      </c>
      <c r="G155" s="448" t="s">
        <v>123</v>
      </c>
      <c r="H155" s="449">
        <v>10</v>
      </c>
      <c r="I155" s="329">
        <v>0</v>
      </c>
      <c r="J155" s="450">
        <f t="shared" si="10"/>
        <v>0</v>
      </c>
      <c r="K155" s="451"/>
      <c r="L155" s="364"/>
      <c r="M155" s="452" t="s">
        <v>171</v>
      </c>
      <c r="N155" s="415" t="s">
        <v>185</v>
      </c>
      <c r="O155" s="453">
        <v>10.62</v>
      </c>
      <c r="P155" s="453">
        <f t="shared" si="11"/>
        <v>106.19999999999999</v>
      </c>
      <c r="Q155" s="453">
        <v>0</v>
      </c>
      <c r="R155" s="453">
        <f t="shared" si="12"/>
        <v>0</v>
      </c>
      <c r="S155" s="453">
        <v>0</v>
      </c>
      <c r="T155" s="454">
        <f t="shared" si="13"/>
        <v>0</v>
      </c>
      <c r="AR155" s="455" t="s">
        <v>625</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625</v>
      </c>
      <c r="BM155" s="455" t="s">
        <v>1690</v>
      </c>
    </row>
    <row r="156" spans="2:65" s="365" customFormat="1" ht="16.5" customHeight="1" x14ac:dyDescent="0.25">
      <c r="B156" s="364"/>
      <c r="C156" s="457" t="s">
        <v>235</v>
      </c>
      <c r="D156" s="457" t="s">
        <v>259</v>
      </c>
      <c r="E156" s="458" t="s">
        <v>1691</v>
      </c>
      <c r="F156" s="459" t="s">
        <v>1692</v>
      </c>
      <c r="G156" s="460" t="s">
        <v>123</v>
      </c>
      <c r="H156" s="461">
        <v>10</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1631</v>
      </c>
      <c r="AT156" s="455" t="s">
        <v>259</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1631</v>
      </c>
      <c r="BM156" s="455" t="s">
        <v>1693</v>
      </c>
    </row>
    <row r="157" spans="2:65" s="365" customFormat="1" ht="24.2" customHeight="1" x14ac:dyDescent="0.25">
      <c r="B157" s="364"/>
      <c r="C157" s="445" t="s">
        <v>236</v>
      </c>
      <c r="D157" s="445" t="s">
        <v>218</v>
      </c>
      <c r="E157" s="446" t="s">
        <v>1694</v>
      </c>
      <c r="F157" s="447" t="s">
        <v>1695</v>
      </c>
      <c r="G157" s="448" t="s">
        <v>123</v>
      </c>
      <c r="H157" s="449">
        <v>30</v>
      </c>
      <c r="I157" s="329">
        <v>0</v>
      </c>
      <c r="J157" s="450">
        <f t="shared" si="10"/>
        <v>0</v>
      </c>
      <c r="K157" s="451"/>
      <c r="L157" s="364"/>
      <c r="M157" s="452" t="s">
        <v>171</v>
      </c>
      <c r="N157" s="415" t="s">
        <v>185</v>
      </c>
      <c r="O157" s="453">
        <v>1.4750000000000001</v>
      </c>
      <c r="P157" s="453">
        <f t="shared" si="11"/>
        <v>44.25</v>
      </c>
      <c r="Q157" s="453">
        <v>0</v>
      </c>
      <c r="R157" s="453">
        <f t="shared" si="12"/>
        <v>0</v>
      </c>
      <c r="S157" s="453">
        <v>0</v>
      </c>
      <c r="T157" s="454">
        <f t="shared" si="13"/>
        <v>0</v>
      </c>
      <c r="AR157" s="455" t="s">
        <v>625</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625</v>
      </c>
      <c r="BM157" s="455" t="s">
        <v>1696</v>
      </c>
    </row>
    <row r="158" spans="2:65" s="365" customFormat="1" ht="33" customHeight="1" x14ac:dyDescent="0.25">
      <c r="B158" s="364"/>
      <c r="C158" s="445" t="s">
        <v>237</v>
      </c>
      <c r="D158" s="445" t="s">
        <v>218</v>
      </c>
      <c r="E158" s="446" t="s">
        <v>1697</v>
      </c>
      <c r="F158" s="447" t="s">
        <v>1698</v>
      </c>
      <c r="G158" s="448" t="s">
        <v>1699</v>
      </c>
      <c r="H158" s="449">
        <v>300</v>
      </c>
      <c r="I158" s="329">
        <v>0</v>
      </c>
      <c r="J158" s="450">
        <f t="shared" si="10"/>
        <v>0</v>
      </c>
      <c r="K158" s="451"/>
      <c r="L158" s="364"/>
      <c r="M158" s="452" t="s">
        <v>171</v>
      </c>
      <c r="N158" s="415" t="s">
        <v>185</v>
      </c>
      <c r="O158" s="453">
        <v>0.26600000000000001</v>
      </c>
      <c r="P158" s="453">
        <f t="shared" si="11"/>
        <v>79.800000000000011</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1700</v>
      </c>
    </row>
    <row r="159" spans="2:65" s="365" customFormat="1" ht="24.2" customHeight="1" x14ac:dyDescent="0.25">
      <c r="B159" s="364"/>
      <c r="C159" s="445" t="s">
        <v>238</v>
      </c>
      <c r="D159" s="445" t="s">
        <v>218</v>
      </c>
      <c r="E159" s="446" t="s">
        <v>1731</v>
      </c>
      <c r="F159" s="447" t="s">
        <v>1732</v>
      </c>
      <c r="G159" s="448" t="s">
        <v>123</v>
      </c>
      <c r="H159" s="449">
        <v>1</v>
      </c>
      <c r="I159" s="329">
        <v>0</v>
      </c>
      <c r="J159" s="450">
        <f t="shared" si="10"/>
        <v>0</v>
      </c>
      <c r="K159" s="451"/>
      <c r="L159" s="364"/>
      <c r="M159" s="452" t="s">
        <v>171</v>
      </c>
      <c r="N159" s="415" t="s">
        <v>185</v>
      </c>
      <c r="O159" s="453">
        <v>1.69</v>
      </c>
      <c r="P159" s="453">
        <f t="shared" si="11"/>
        <v>1.69</v>
      </c>
      <c r="Q159" s="453">
        <v>0</v>
      </c>
      <c r="R159" s="453">
        <f t="shared" si="12"/>
        <v>0</v>
      </c>
      <c r="S159" s="453">
        <v>0</v>
      </c>
      <c r="T159" s="454">
        <f t="shared" si="13"/>
        <v>0</v>
      </c>
      <c r="AR159" s="455" t="s">
        <v>625</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625</v>
      </c>
      <c r="BM159" s="455" t="s">
        <v>2986</v>
      </c>
    </row>
    <row r="160" spans="2:65" s="365" customFormat="1" ht="24.2" customHeight="1" x14ac:dyDescent="0.25">
      <c r="B160" s="364"/>
      <c r="C160" s="445" t="s">
        <v>239</v>
      </c>
      <c r="D160" s="445" t="s">
        <v>218</v>
      </c>
      <c r="E160" s="446" t="s">
        <v>1734</v>
      </c>
      <c r="F160" s="447" t="s">
        <v>1735</v>
      </c>
      <c r="G160" s="448" t="s">
        <v>123</v>
      </c>
      <c r="H160" s="449">
        <v>1</v>
      </c>
      <c r="I160" s="329">
        <v>0</v>
      </c>
      <c r="J160" s="450">
        <f t="shared" si="10"/>
        <v>0</v>
      </c>
      <c r="K160" s="451"/>
      <c r="L160" s="364"/>
      <c r="M160" s="452" t="s">
        <v>171</v>
      </c>
      <c r="N160" s="415" t="s">
        <v>185</v>
      </c>
      <c r="O160" s="453">
        <v>1.9784999999999999</v>
      </c>
      <c r="P160" s="453">
        <f t="shared" si="11"/>
        <v>1.9784999999999999</v>
      </c>
      <c r="Q160" s="453">
        <v>0</v>
      </c>
      <c r="R160" s="453">
        <f t="shared" si="12"/>
        <v>0</v>
      </c>
      <c r="S160" s="453">
        <v>0</v>
      </c>
      <c r="T160" s="454">
        <f t="shared" si="13"/>
        <v>0</v>
      </c>
      <c r="AR160" s="455" t="s">
        <v>625</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625</v>
      </c>
      <c r="BM160" s="455" t="s">
        <v>1736</v>
      </c>
    </row>
    <row r="161" spans="2:65" s="365" customFormat="1" ht="24.2" customHeight="1" x14ac:dyDescent="0.25">
      <c r="B161" s="364"/>
      <c r="C161" s="445" t="s">
        <v>240</v>
      </c>
      <c r="D161" s="445" t="s">
        <v>218</v>
      </c>
      <c r="E161" s="446" t="s">
        <v>1737</v>
      </c>
      <c r="F161" s="447" t="s">
        <v>1738</v>
      </c>
      <c r="G161" s="448" t="s">
        <v>123</v>
      </c>
      <c r="H161" s="449">
        <v>1</v>
      </c>
      <c r="I161" s="329">
        <v>0</v>
      </c>
      <c r="J161" s="450">
        <f t="shared" si="10"/>
        <v>0</v>
      </c>
      <c r="K161" s="451"/>
      <c r="L161" s="364"/>
      <c r="M161" s="452" t="s">
        <v>171</v>
      </c>
      <c r="N161" s="415" t="s">
        <v>185</v>
      </c>
      <c r="O161" s="453">
        <v>2.46</v>
      </c>
      <c r="P161" s="453">
        <f t="shared" si="11"/>
        <v>2.46</v>
      </c>
      <c r="Q161" s="453">
        <v>0</v>
      </c>
      <c r="R161" s="453">
        <f t="shared" si="12"/>
        <v>0</v>
      </c>
      <c r="S161" s="453">
        <v>0</v>
      </c>
      <c r="T161" s="454">
        <f t="shared" si="13"/>
        <v>0</v>
      </c>
      <c r="AR161" s="455" t="s">
        <v>625</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625</v>
      </c>
      <c r="BM161" s="455" t="s">
        <v>1739</v>
      </c>
    </row>
    <row r="162" spans="2:65" s="365" customFormat="1" ht="24.2" customHeight="1" x14ac:dyDescent="0.25">
      <c r="B162" s="364"/>
      <c r="C162" s="445" t="s">
        <v>241</v>
      </c>
      <c r="D162" s="445" t="s">
        <v>218</v>
      </c>
      <c r="E162" s="446" t="s">
        <v>1740</v>
      </c>
      <c r="F162" s="447" t="s">
        <v>1741</v>
      </c>
      <c r="G162" s="448" t="s">
        <v>113</v>
      </c>
      <c r="H162" s="449">
        <v>2295</v>
      </c>
      <c r="I162" s="329">
        <v>0</v>
      </c>
      <c r="J162" s="450">
        <f t="shared" si="10"/>
        <v>0</v>
      </c>
      <c r="K162" s="451"/>
      <c r="L162" s="364"/>
      <c r="M162" s="452" t="s">
        <v>171</v>
      </c>
      <c r="N162" s="415" t="s">
        <v>185</v>
      </c>
      <c r="O162" s="453">
        <v>1.4999999999999999E-2</v>
      </c>
      <c r="P162" s="453">
        <f t="shared" si="11"/>
        <v>34.424999999999997</v>
      </c>
      <c r="Q162" s="453">
        <v>0</v>
      </c>
      <c r="R162" s="453">
        <f t="shared" si="12"/>
        <v>0</v>
      </c>
      <c r="S162" s="453">
        <v>0</v>
      </c>
      <c r="T162" s="454">
        <f t="shared" si="13"/>
        <v>0</v>
      </c>
      <c r="AR162" s="455" t="s">
        <v>625</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625</v>
      </c>
      <c r="BM162" s="455" t="s">
        <v>1742</v>
      </c>
    </row>
    <row r="163" spans="2:65" s="365" customFormat="1" ht="24.2" customHeight="1" x14ac:dyDescent="0.25">
      <c r="B163" s="364"/>
      <c r="C163" s="445" t="s">
        <v>242</v>
      </c>
      <c r="D163" s="445" t="s">
        <v>218</v>
      </c>
      <c r="E163" s="446" t="s">
        <v>1743</v>
      </c>
      <c r="F163" s="447" t="s">
        <v>1744</v>
      </c>
      <c r="G163" s="448" t="s">
        <v>113</v>
      </c>
      <c r="H163" s="449">
        <v>6281</v>
      </c>
      <c r="I163" s="329">
        <v>0</v>
      </c>
      <c r="J163" s="450">
        <f t="shared" si="10"/>
        <v>0</v>
      </c>
      <c r="K163" s="451"/>
      <c r="L163" s="364"/>
      <c r="M163" s="452" t="s">
        <v>171</v>
      </c>
      <c r="N163" s="415" t="s">
        <v>185</v>
      </c>
      <c r="O163" s="453">
        <v>1.7000000000000001E-2</v>
      </c>
      <c r="P163" s="453">
        <f t="shared" si="11"/>
        <v>106.777</v>
      </c>
      <c r="Q163" s="453">
        <v>0</v>
      </c>
      <c r="R163" s="453">
        <f t="shared" si="12"/>
        <v>0</v>
      </c>
      <c r="S163" s="453">
        <v>0</v>
      </c>
      <c r="T163" s="454">
        <f t="shared" si="13"/>
        <v>0</v>
      </c>
      <c r="AR163" s="455" t="s">
        <v>625</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625</v>
      </c>
      <c r="BM163" s="455" t="s">
        <v>1745</v>
      </c>
    </row>
    <row r="164" spans="2:65" s="365" customFormat="1" ht="16.5" customHeight="1" x14ac:dyDescent="0.25">
      <c r="B164" s="364"/>
      <c r="C164" s="457" t="s">
        <v>243</v>
      </c>
      <c r="D164" s="457" t="s">
        <v>259</v>
      </c>
      <c r="E164" s="458" t="s">
        <v>1746</v>
      </c>
      <c r="F164" s="459" t="s">
        <v>1747</v>
      </c>
      <c r="G164" s="460" t="s">
        <v>113</v>
      </c>
      <c r="H164" s="461">
        <v>3986</v>
      </c>
      <c r="I164" s="330">
        <v>0</v>
      </c>
      <c r="J164" s="462">
        <f t="shared" si="10"/>
        <v>0</v>
      </c>
      <c r="K164" s="463"/>
      <c r="L164" s="464"/>
      <c r="M164" s="465" t="s">
        <v>171</v>
      </c>
      <c r="N164" s="466" t="s">
        <v>185</v>
      </c>
      <c r="O164" s="453">
        <v>0</v>
      </c>
      <c r="P164" s="453">
        <f t="shared" si="11"/>
        <v>0</v>
      </c>
      <c r="Q164" s="453">
        <v>8.0000000000000007E-5</v>
      </c>
      <c r="R164" s="453">
        <f t="shared" si="12"/>
        <v>0.31888000000000005</v>
      </c>
      <c r="S164" s="453">
        <v>0</v>
      </c>
      <c r="T164" s="454">
        <f t="shared" si="13"/>
        <v>0</v>
      </c>
      <c r="AR164" s="455" t="s">
        <v>1631</v>
      </c>
      <c r="AT164" s="455" t="s">
        <v>259</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1631</v>
      </c>
      <c r="BM164" s="455" t="s">
        <v>1748</v>
      </c>
    </row>
    <row r="165" spans="2:65" s="365" customFormat="1" ht="24.2" customHeight="1" x14ac:dyDescent="0.25">
      <c r="B165" s="364"/>
      <c r="C165" s="445" t="s">
        <v>244</v>
      </c>
      <c r="D165" s="445" t="s">
        <v>218</v>
      </c>
      <c r="E165" s="446" t="s">
        <v>1752</v>
      </c>
      <c r="F165" s="447" t="s">
        <v>1753</v>
      </c>
      <c r="G165" s="448" t="s">
        <v>123</v>
      </c>
      <c r="H165" s="449">
        <v>1</v>
      </c>
      <c r="I165" s="329">
        <v>0</v>
      </c>
      <c r="J165" s="450">
        <f t="shared" si="10"/>
        <v>0</v>
      </c>
      <c r="K165" s="451"/>
      <c r="L165" s="364"/>
      <c r="M165" s="452" t="s">
        <v>171</v>
      </c>
      <c r="N165" s="415" t="s">
        <v>185</v>
      </c>
      <c r="O165" s="453">
        <v>3.38</v>
      </c>
      <c r="P165" s="453">
        <f t="shared" si="11"/>
        <v>3.38</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2987</v>
      </c>
    </row>
    <row r="166" spans="2:65" s="365" customFormat="1" ht="24.2" customHeight="1" x14ac:dyDescent="0.25">
      <c r="B166" s="364"/>
      <c r="C166" s="445" t="s">
        <v>245</v>
      </c>
      <c r="D166" s="445" t="s">
        <v>218</v>
      </c>
      <c r="E166" s="446" t="s">
        <v>1755</v>
      </c>
      <c r="F166" s="447" t="s">
        <v>1756</v>
      </c>
      <c r="G166" s="448" t="s">
        <v>123</v>
      </c>
      <c r="H166" s="449">
        <v>1</v>
      </c>
      <c r="I166" s="329">
        <v>0</v>
      </c>
      <c r="J166" s="450">
        <f t="shared" si="10"/>
        <v>0</v>
      </c>
      <c r="K166" s="451"/>
      <c r="L166" s="364"/>
      <c r="M166" s="452" t="s">
        <v>171</v>
      </c>
      <c r="N166" s="415" t="s">
        <v>185</v>
      </c>
      <c r="O166" s="453">
        <v>3.9569999999999999</v>
      </c>
      <c r="P166" s="453">
        <f t="shared" si="11"/>
        <v>3.9569999999999999</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1757</v>
      </c>
    </row>
    <row r="167" spans="2:65" s="365" customFormat="1" ht="24.2" customHeight="1" x14ac:dyDescent="0.25">
      <c r="B167" s="364"/>
      <c r="C167" s="445" t="s">
        <v>246</v>
      </c>
      <c r="D167" s="445" t="s">
        <v>218</v>
      </c>
      <c r="E167" s="446" t="s">
        <v>1758</v>
      </c>
      <c r="F167" s="447" t="s">
        <v>1759</v>
      </c>
      <c r="G167" s="448" t="s">
        <v>123</v>
      </c>
      <c r="H167" s="449">
        <v>1</v>
      </c>
      <c r="I167" s="329">
        <v>0</v>
      </c>
      <c r="J167" s="450">
        <f t="shared" si="10"/>
        <v>0</v>
      </c>
      <c r="K167" s="451"/>
      <c r="L167" s="364"/>
      <c r="M167" s="452" t="s">
        <v>171</v>
      </c>
      <c r="N167" s="415" t="s">
        <v>185</v>
      </c>
      <c r="O167" s="453">
        <v>4.92</v>
      </c>
      <c r="P167" s="453">
        <f t="shared" si="11"/>
        <v>4.92</v>
      </c>
      <c r="Q167" s="453">
        <v>0</v>
      </c>
      <c r="R167" s="453">
        <f t="shared" si="12"/>
        <v>0</v>
      </c>
      <c r="S167" s="453">
        <v>0</v>
      </c>
      <c r="T167" s="454">
        <f t="shared" si="13"/>
        <v>0</v>
      </c>
      <c r="AR167" s="455" t="s">
        <v>625</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625</v>
      </c>
      <c r="BM167" s="455" t="s">
        <v>1760</v>
      </c>
    </row>
    <row r="168" spans="2:65" s="365" customFormat="1" ht="21.75" customHeight="1" x14ac:dyDescent="0.25">
      <c r="B168" s="364"/>
      <c r="C168" s="445" t="s">
        <v>247</v>
      </c>
      <c r="D168" s="445" t="s">
        <v>218</v>
      </c>
      <c r="E168" s="446" t="s">
        <v>1761</v>
      </c>
      <c r="F168" s="447" t="s">
        <v>1762</v>
      </c>
      <c r="G168" s="448" t="s">
        <v>123</v>
      </c>
      <c r="H168" s="449">
        <v>132</v>
      </c>
      <c r="I168" s="329">
        <v>0</v>
      </c>
      <c r="J168" s="450">
        <f t="shared" si="10"/>
        <v>0</v>
      </c>
      <c r="K168" s="451"/>
      <c r="L168" s="364"/>
      <c r="M168" s="452" t="s">
        <v>171</v>
      </c>
      <c r="N168" s="415" t="s">
        <v>185</v>
      </c>
      <c r="O168" s="453">
        <v>0.375</v>
      </c>
      <c r="P168" s="453">
        <f t="shared" si="11"/>
        <v>49.5</v>
      </c>
      <c r="Q168" s="453">
        <v>0</v>
      </c>
      <c r="R168" s="453">
        <f t="shared" si="12"/>
        <v>0</v>
      </c>
      <c r="S168" s="453">
        <v>0</v>
      </c>
      <c r="T168" s="454">
        <f t="shared" si="13"/>
        <v>0</v>
      </c>
      <c r="AR168" s="455" t="s">
        <v>625</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625</v>
      </c>
      <c r="BM168" s="455" t="s">
        <v>1763</v>
      </c>
    </row>
    <row r="169" spans="2:65" s="365" customFormat="1" ht="24.2" customHeight="1" x14ac:dyDescent="0.25">
      <c r="B169" s="364"/>
      <c r="C169" s="445" t="s">
        <v>248</v>
      </c>
      <c r="D169" s="445" t="s">
        <v>218</v>
      </c>
      <c r="E169" s="446" t="s">
        <v>1764</v>
      </c>
      <c r="F169" s="447" t="s">
        <v>1765</v>
      </c>
      <c r="G169" s="448" t="s">
        <v>123</v>
      </c>
      <c r="H169" s="449">
        <v>204</v>
      </c>
      <c r="I169" s="329">
        <v>0</v>
      </c>
      <c r="J169" s="450">
        <f t="shared" si="10"/>
        <v>0</v>
      </c>
      <c r="K169" s="451"/>
      <c r="L169" s="364"/>
      <c r="M169" s="452" t="s">
        <v>171</v>
      </c>
      <c r="N169" s="415" t="s">
        <v>185</v>
      </c>
      <c r="O169" s="453">
        <v>47.67</v>
      </c>
      <c r="P169" s="453">
        <f t="shared" si="11"/>
        <v>9724.68</v>
      </c>
      <c r="Q169" s="453">
        <v>0</v>
      </c>
      <c r="R169" s="453">
        <f t="shared" si="12"/>
        <v>0</v>
      </c>
      <c r="S169" s="453">
        <v>0</v>
      </c>
      <c r="T169" s="454">
        <f t="shared" si="13"/>
        <v>0</v>
      </c>
      <c r="AR169" s="455" t="s">
        <v>625</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625</v>
      </c>
      <c r="BM169" s="455" t="s">
        <v>1766</v>
      </c>
    </row>
    <row r="170" spans="2:65" s="365" customFormat="1" ht="16.5" customHeight="1" x14ac:dyDescent="0.25">
      <c r="B170" s="364"/>
      <c r="C170" s="445" t="s">
        <v>249</v>
      </c>
      <c r="D170" s="445" t="s">
        <v>218</v>
      </c>
      <c r="E170" s="446" t="s">
        <v>1767</v>
      </c>
      <c r="F170" s="447" t="s">
        <v>1768</v>
      </c>
      <c r="G170" s="448" t="s">
        <v>123</v>
      </c>
      <c r="H170" s="449">
        <v>204</v>
      </c>
      <c r="I170" s="329">
        <v>0</v>
      </c>
      <c r="J170" s="450">
        <f t="shared" si="10"/>
        <v>0</v>
      </c>
      <c r="K170" s="451"/>
      <c r="L170" s="364"/>
      <c r="M170" s="452" t="s">
        <v>171</v>
      </c>
      <c r="N170" s="415" t="s">
        <v>185</v>
      </c>
      <c r="O170" s="453">
        <v>47.67</v>
      </c>
      <c r="P170" s="453">
        <f t="shared" si="11"/>
        <v>9724.68</v>
      </c>
      <c r="Q170" s="453">
        <v>0</v>
      </c>
      <c r="R170" s="453">
        <f t="shared" si="12"/>
        <v>0</v>
      </c>
      <c r="S170" s="453">
        <v>0</v>
      </c>
      <c r="T170" s="454">
        <f t="shared" si="13"/>
        <v>0</v>
      </c>
      <c r="AR170" s="455" t="s">
        <v>625</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625</v>
      </c>
      <c r="BM170" s="455" t="s">
        <v>1769</v>
      </c>
    </row>
    <row r="171" spans="2:65" s="434" customFormat="1" ht="22.9" customHeight="1" x14ac:dyDescent="0.2">
      <c r="B171" s="433"/>
      <c r="D171" s="435" t="s">
        <v>216</v>
      </c>
      <c r="E171" s="443" t="s">
        <v>1770</v>
      </c>
      <c r="F171" s="443" t="s">
        <v>1771</v>
      </c>
      <c r="I171" s="467"/>
      <c r="J171" s="444">
        <f>BK171</f>
        <v>0</v>
      </c>
      <c r="L171" s="433"/>
      <c r="M171" s="438"/>
      <c r="P171" s="439">
        <f>SUM(P172:P181)</f>
        <v>79.26100000000001</v>
      </c>
      <c r="R171" s="439">
        <f>SUM(R172:R181)</f>
        <v>0.53193000000000001</v>
      </c>
      <c r="T171" s="440">
        <f>SUM(T172:T181)</f>
        <v>0</v>
      </c>
      <c r="AR171" s="435" t="s">
        <v>119</v>
      </c>
      <c r="AT171" s="441" t="s">
        <v>216</v>
      </c>
      <c r="AU171" s="441" t="s">
        <v>109</v>
      </c>
      <c r="AY171" s="435" t="s">
        <v>217</v>
      </c>
      <c r="BK171" s="442">
        <f>SUM(BK172:BK181)</f>
        <v>0</v>
      </c>
    </row>
    <row r="172" spans="2:65" s="365" customFormat="1" ht="24.2" customHeight="1" x14ac:dyDescent="0.25">
      <c r="B172" s="364"/>
      <c r="C172" s="445" t="s">
        <v>250</v>
      </c>
      <c r="D172" s="445" t="s">
        <v>218</v>
      </c>
      <c r="E172" s="446" t="s">
        <v>1772</v>
      </c>
      <c r="F172" s="447" t="s">
        <v>1773</v>
      </c>
      <c r="G172" s="448" t="s">
        <v>113</v>
      </c>
      <c r="H172" s="449">
        <v>38</v>
      </c>
      <c r="I172" s="329">
        <v>0</v>
      </c>
      <c r="J172" s="450">
        <f t="shared" ref="J172:J181" si="20">ROUND(I172*H172,2)</f>
        <v>0</v>
      </c>
      <c r="K172" s="451"/>
      <c r="L172" s="364"/>
      <c r="M172" s="452" t="s">
        <v>171</v>
      </c>
      <c r="N172" s="415" t="s">
        <v>185</v>
      </c>
      <c r="O172" s="453">
        <v>0.38740000000000002</v>
      </c>
      <c r="P172" s="453">
        <f t="shared" ref="P172:P181" si="21">O172*H172</f>
        <v>14.721200000000001</v>
      </c>
      <c r="Q172" s="453">
        <v>0</v>
      </c>
      <c r="R172" s="453">
        <f t="shared" ref="R172:R181" si="22">Q172*H172</f>
        <v>0</v>
      </c>
      <c r="S172" s="453">
        <v>0</v>
      </c>
      <c r="T172" s="454">
        <f t="shared" ref="T172:T181" si="23">S172*H172</f>
        <v>0</v>
      </c>
      <c r="AR172" s="455" t="s">
        <v>625</v>
      </c>
      <c r="AT172" s="455" t="s">
        <v>218</v>
      </c>
      <c r="AU172" s="455" t="s">
        <v>108</v>
      </c>
      <c r="AY172" s="357" t="s">
        <v>217</v>
      </c>
      <c r="BE172" s="456">
        <f t="shared" ref="BE172:BE181" si="24">IF(N172="základná",J172,0)</f>
        <v>0</v>
      </c>
      <c r="BF172" s="456">
        <f t="shared" ref="BF172:BF181" si="25">IF(N172="znížená",J172,0)</f>
        <v>0</v>
      </c>
      <c r="BG172" s="456">
        <f t="shared" ref="BG172:BG181" si="26">IF(N172="zákl. prenesená",J172,0)</f>
        <v>0</v>
      </c>
      <c r="BH172" s="456">
        <f t="shared" ref="BH172:BH181" si="27">IF(N172="zníž. prenesená",J172,0)</f>
        <v>0</v>
      </c>
      <c r="BI172" s="456">
        <f t="shared" ref="BI172:BI181" si="28">IF(N172="nulová",J172,0)</f>
        <v>0</v>
      </c>
      <c r="BJ172" s="357" t="s">
        <v>108</v>
      </c>
      <c r="BK172" s="456">
        <f t="shared" ref="BK172:BK181" si="29">ROUND(I172*H172,2)</f>
        <v>0</v>
      </c>
      <c r="BL172" s="357" t="s">
        <v>625</v>
      </c>
      <c r="BM172" s="455" t="s">
        <v>1774</v>
      </c>
    </row>
    <row r="173" spans="2:65" s="365" customFormat="1" ht="24.2" customHeight="1" x14ac:dyDescent="0.25">
      <c r="B173" s="364"/>
      <c r="C173" s="445" t="s">
        <v>251</v>
      </c>
      <c r="D173" s="445" t="s">
        <v>218</v>
      </c>
      <c r="E173" s="446" t="s">
        <v>1787</v>
      </c>
      <c r="F173" s="447" t="s">
        <v>1788</v>
      </c>
      <c r="G173" s="448" t="s">
        <v>114</v>
      </c>
      <c r="H173" s="449">
        <v>15</v>
      </c>
      <c r="I173" s="329">
        <v>0</v>
      </c>
      <c r="J173" s="450">
        <f t="shared" si="20"/>
        <v>0</v>
      </c>
      <c r="K173" s="451"/>
      <c r="L173" s="364"/>
      <c r="M173" s="452" t="s">
        <v>171</v>
      </c>
      <c r="N173" s="415" t="s">
        <v>185</v>
      </c>
      <c r="O173" s="453">
        <v>2.9211</v>
      </c>
      <c r="P173" s="453">
        <f t="shared" si="21"/>
        <v>43.816499999999998</v>
      </c>
      <c r="Q173" s="453">
        <v>0</v>
      </c>
      <c r="R173" s="453">
        <f t="shared" si="22"/>
        <v>0</v>
      </c>
      <c r="S173" s="453">
        <v>0</v>
      </c>
      <c r="T173" s="454">
        <f t="shared" si="23"/>
        <v>0</v>
      </c>
      <c r="AR173" s="455" t="s">
        <v>625</v>
      </c>
      <c r="AT173" s="455" t="s">
        <v>218</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625</v>
      </c>
      <c r="BM173" s="455" t="s">
        <v>1789</v>
      </c>
    </row>
    <row r="174" spans="2:65" s="365" customFormat="1" ht="33" customHeight="1" x14ac:dyDescent="0.25">
      <c r="B174" s="364"/>
      <c r="C174" s="445" t="s">
        <v>252</v>
      </c>
      <c r="D174" s="445" t="s">
        <v>218</v>
      </c>
      <c r="E174" s="446" t="s">
        <v>2988</v>
      </c>
      <c r="F174" s="447" t="s">
        <v>2989</v>
      </c>
      <c r="G174" s="448" t="s">
        <v>113</v>
      </c>
      <c r="H174" s="449">
        <v>7</v>
      </c>
      <c r="I174" s="329">
        <v>0</v>
      </c>
      <c r="J174" s="450">
        <f t="shared" si="20"/>
        <v>0</v>
      </c>
      <c r="K174" s="451"/>
      <c r="L174" s="364"/>
      <c r="M174" s="452" t="s">
        <v>171</v>
      </c>
      <c r="N174" s="415" t="s">
        <v>185</v>
      </c>
      <c r="O174" s="453">
        <v>0.1469</v>
      </c>
      <c r="P174" s="453">
        <f t="shared" si="21"/>
        <v>1.0283</v>
      </c>
      <c r="Q174" s="453">
        <v>0</v>
      </c>
      <c r="R174" s="453">
        <f t="shared" si="22"/>
        <v>0</v>
      </c>
      <c r="S174" s="453">
        <v>0</v>
      </c>
      <c r="T174" s="454">
        <f t="shared" si="23"/>
        <v>0</v>
      </c>
      <c r="AR174" s="455" t="s">
        <v>625</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625</v>
      </c>
      <c r="BM174" s="455" t="s">
        <v>2990</v>
      </c>
    </row>
    <row r="175" spans="2:65" s="365" customFormat="1" ht="24.2" customHeight="1" x14ac:dyDescent="0.25">
      <c r="B175" s="364"/>
      <c r="C175" s="457" t="s">
        <v>253</v>
      </c>
      <c r="D175" s="457" t="s">
        <v>259</v>
      </c>
      <c r="E175" s="458" t="s">
        <v>1812</v>
      </c>
      <c r="F175" s="459" t="s">
        <v>1813</v>
      </c>
      <c r="G175" s="460" t="s">
        <v>112</v>
      </c>
      <c r="H175" s="461">
        <v>0.52500000000000002</v>
      </c>
      <c r="I175" s="330">
        <v>0</v>
      </c>
      <c r="J175" s="462">
        <f t="shared" si="20"/>
        <v>0</v>
      </c>
      <c r="K175" s="463"/>
      <c r="L175" s="464"/>
      <c r="M175" s="465" t="s">
        <v>171</v>
      </c>
      <c r="N175" s="466" t="s">
        <v>185</v>
      </c>
      <c r="O175" s="453">
        <v>0</v>
      </c>
      <c r="P175" s="453">
        <f t="shared" si="21"/>
        <v>0</v>
      </c>
      <c r="Q175" s="453">
        <v>1</v>
      </c>
      <c r="R175" s="453">
        <f t="shared" si="22"/>
        <v>0.52500000000000002</v>
      </c>
      <c r="S175" s="453">
        <v>0</v>
      </c>
      <c r="T175" s="454">
        <f t="shared" si="23"/>
        <v>0</v>
      </c>
      <c r="AR175" s="455" t="s">
        <v>1631</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1631</v>
      </c>
      <c r="BM175" s="455" t="s">
        <v>2991</v>
      </c>
    </row>
    <row r="176" spans="2:65" s="365" customFormat="1" ht="24.2" customHeight="1" x14ac:dyDescent="0.25">
      <c r="B176" s="364"/>
      <c r="C176" s="457" t="s">
        <v>254</v>
      </c>
      <c r="D176" s="457" t="s">
        <v>259</v>
      </c>
      <c r="E176" s="458" t="s">
        <v>1815</v>
      </c>
      <c r="F176" s="459" t="s">
        <v>1816</v>
      </c>
      <c r="G176" s="460" t="s">
        <v>113</v>
      </c>
      <c r="H176" s="461">
        <v>14</v>
      </c>
      <c r="I176" s="330">
        <v>0</v>
      </c>
      <c r="J176" s="462">
        <f t="shared" si="20"/>
        <v>0</v>
      </c>
      <c r="K176" s="463"/>
      <c r="L176" s="464"/>
      <c r="M176" s="465" t="s">
        <v>171</v>
      </c>
      <c r="N176" s="466" t="s">
        <v>185</v>
      </c>
      <c r="O176" s="453">
        <v>0</v>
      </c>
      <c r="P176" s="453">
        <f t="shared" si="21"/>
        <v>0</v>
      </c>
      <c r="Q176" s="453">
        <v>3.8999999999999999E-4</v>
      </c>
      <c r="R176" s="453">
        <f t="shared" si="22"/>
        <v>5.4599999999999996E-3</v>
      </c>
      <c r="S176" s="453">
        <v>0</v>
      </c>
      <c r="T176" s="454">
        <f t="shared" si="23"/>
        <v>0</v>
      </c>
      <c r="AR176" s="455" t="s">
        <v>1631</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1631</v>
      </c>
      <c r="BM176" s="455" t="s">
        <v>2992</v>
      </c>
    </row>
    <row r="177" spans="2:65" s="365" customFormat="1" ht="24.2" customHeight="1" x14ac:dyDescent="0.25">
      <c r="B177" s="364"/>
      <c r="C177" s="445" t="s">
        <v>255</v>
      </c>
      <c r="D177" s="445" t="s">
        <v>218</v>
      </c>
      <c r="E177" s="446" t="s">
        <v>1818</v>
      </c>
      <c r="F177" s="447" t="s">
        <v>1819</v>
      </c>
      <c r="G177" s="448" t="s">
        <v>113</v>
      </c>
      <c r="H177" s="449">
        <v>7</v>
      </c>
      <c r="I177" s="329">
        <v>0</v>
      </c>
      <c r="J177" s="450">
        <f t="shared" si="20"/>
        <v>0</v>
      </c>
      <c r="K177" s="451"/>
      <c r="L177" s="364"/>
      <c r="M177" s="452" t="s">
        <v>171</v>
      </c>
      <c r="N177" s="415" t="s">
        <v>185</v>
      </c>
      <c r="O177" s="453">
        <v>3.2500000000000001E-2</v>
      </c>
      <c r="P177" s="453">
        <f t="shared" si="21"/>
        <v>0.22750000000000001</v>
      </c>
      <c r="Q177" s="453">
        <v>0</v>
      </c>
      <c r="R177" s="453">
        <f t="shared" si="22"/>
        <v>0</v>
      </c>
      <c r="S177" s="453">
        <v>0</v>
      </c>
      <c r="T177" s="454">
        <f t="shared" si="23"/>
        <v>0</v>
      </c>
      <c r="AR177" s="455" t="s">
        <v>625</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625</v>
      </c>
      <c r="BM177" s="455" t="s">
        <v>1820</v>
      </c>
    </row>
    <row r="178" spans="2:65" s="365" customFormat="1" ht="16.5" customHeight="1" x14ac:dyDescent="0.25">
      <c r="B178" s="364"/>
      <c r="C178" s="457" t="s">
        <v>256</v>
      </c>
      <c r="D178" s="457" t="s">
        <v>259</v>
      </c>
      <c r="E178" s="458" t="s">
        <v>1821</v>
      </c>
      <c r="F178" s="459" t="s">
        <v>1822</v>
      </c>
      <c r="G178" s="460" t="s">
        <v>113</v>
      </c>
      <c r="H178" s="461">
        <v>7</v>
      </c>
      <c r="I178" s="330">
        <v>0</v>
      </c>
      <c r="J178" s="462">
        <f t="shared" si="20"/>
        <v>0</v>
      </c>
      <c r="K178" s="463"/>
      <c r="L178" s="464"/>
      <c r="M178" s="465" t="s">
        <v>171</v>
      </c>
      <c r="N178" s="466" t="s">
        <v>185</v>
      </c>
      <c r="O178" s="453">
        <v>0</v>
      </c>
      <c r="P178" s="453">
        <f t="shared" si="21"/>
        <v>0</v>
      </c>
      <c r="Q178" s="453">
        <v>2.1000000000000001E-4</v>
      </c>
      <c r="R178" s="453">
        <f t="shared" si="22"/>
        <v>1.47E-3</v>
      </c>
      <c r="S178" s="453">
        <v>0</v>
      </c>
      <c r="T178" s="454">
        <f t="shared" si="23"/>
        <v>0</v>
      </c>
      <c r="AR178" s="455" t="s">
        <v>1631</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1631</v>
      </c>
      <c r="BM178" s="455" t="s">
        <v>1823</v>
      </c>
    </row>
    <row r="179" spans="2:65" s="365" customFormat="1" ht="24.2" customHeight="1" x14ac:dyDescent="0.25">
      <c r="B179" s="364"/>
      <c r="C179" s="445" t="s">
        <v>257</v>
      </c>
      <c r="D179" s="445" t="s">
        <v>218</v>
      </c>
      <c r="E179" s="446" t="s">
        <v>1824</v>
      </c>
      <c r="F179" s="447" t="s">
        <v>1825</v>
      </c>
      <c r="G179" s="448" t="s">
        <v>114</v>
      </c>
      <c r="H179" s="449">
        <v>15</v>
      </c>
      <c r="I179" s="329">
        <v>0</v>
      </c>
      <c r="J179" s="450">
        <f t="shared" si="20"/>
        <v>0</v>
      </c>
      <c r="K179" s="451"/>
      <c r="L179" s="364"/>
      <c r="M179" s="452" t="s">
        <v>171</v>
      </c>
      <c r="N179" s="415" t="s">
        <v>185</v>
      </c>
      <c r="O179" s="453">
        <v>0.79559999999999997</v>
      </c>
      <c r="P179" s="453">
        <f t="shared" si="21"/>
        <v>11.933999999999999</v>
      </c>
      <c r="Q179" s="453">
        <v>0</v>
      </c>
      <c r="R179" s="453">
        <f t="shared" si="22"/>
        <v>0</v>
      </c>
      <c r="S179" s="453">
        <v>0</v>
      </c>
      <c r="T179" s="454">
        <f t="shared" si="23"/>
        <v>0</v>
      </c>
      <c r="AR179" s="455" t="s">
        <v>625</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625</v>
      </c>
      <c r="BM179" s="455" t="s">
        <v>1826</v>
      </c>
    </row>
    <row r="180" spans="2:65" s="365" customFormat="1" ht="33" customHeight="1" x14ac:dyDescent="0.25">
      <c r="B180" s="364"/>
      <c r="C180" s="445" t="s">
        <v>258</v>
      </c>
      <c r="D180" s="445" t="s">
        <v>218</v>
      </c>
      <c r="E180" s="446" t="s">
        <v>1827</v>
      </c>
      <c r="F180" s="447" t="s">
        <v>1828</v>
      </c>
      <c r="G180" s="448" t="s">
        <v>113</v>
      </c>
      <c r="H180" s="449">
        <v>38</v>
      </c>
      <c r="I180" s="329">
        <v>0</v>
      </c>
      <c r="J180" s="450">
        <f t="shared" si="20"/>
        <v>0</v>
      </c>
      <c r="K180" s="451"/>
      <c r="L180" s="364"/>
      <c r="M180" s="452" t="s">
        <v>171</v>
      </c>
      <c r="N180" s="415" t="s">
        <v>185</v>
      </c>
      <c r="O180" s="453">
        <v>0.1482</v>
      </c>
      <c r="P180" s="453">
        <f t="shared" si="21"/>
        <v>5.6315999999999997</v>
      </c>
      <c r="Q180" s="453">
        <v>0</v>
      </c>
      <c r="R180" s="453">
        <f t="shared" si="22"/>
        <v>0</v>
      </c>
      <c r="S180" s="453">
        <v>0</v>
      </c>
      <c r="T180" s="454">
        <f t="shared" si="23"/>
        <v>0</v>
      </c>
      <c r="AR180" s="455" t="s">
        <v>625</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625</v>
      </c>
      <c r="BM180" s="455" t="s">
        <v>1829</v>
      </c>
    </row>
    <row r="181" spans="2:65" s="365" customFormat="1" ht="33" customHeight="1" x14ac:dyDescent="0.25">
      <c r="B181" s="364"/>
      <c r="C181" s="445" t="s">
        <v>260</v>
      </c>
      <c r="D181" s="445" t="s">
        <v>218</v>
      </c>
      <c r="E181" s="446" t="s">
        <v>1839</v>
      </c>
      <c r="F181" s="447" t="s">
        <v>1840</v>
      </c>
      <c r="G181" s="448" t="s">
        <v>111</v>
      </c>
      <c r="H181" s="449">
        <v>13.3</v>
      </c>
      <c r="I181" s="329">
        <v>0</v>
      </c>
      <c r="J181" s="450">
        <f t="shared" si="20"/>
        <v>0</v>
      </c>
      <c r="K181" s="451"/>
      <c r="L181" s="364"/>
      <c r="M181" s="452" t="s">
        <v>171</v>
      </c>
      <c r="N181" s="415" t="s">
        <v>185</v>
      </c>
      <c r="O181" s="453">
        <v>0.14299999999999999</v>
      </c>
      <c r="P181" s="453">
        <f t="shared" si="21"/>
        <v>1.9018999999999999</v>
      </c>
      <c r="Q181" s="453">
        <v>0</v>
      </c>
      <c r="R181" s="453">
        <f t="shared" si="22"/>
        <v>0</v>
      </c>
      <c r="S181" s="453">
        <v>0</v>
      </c>
      <c r="T181" s="454">
        <f t="shared" si="23"/>
        <v>0</v>
      </c>
      <c r="AR181" s="455" t="s">
        <v>625</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625</v>
      </c>
      <c r="BM181" s="455" t="s">
        <v>1841</v>
      </c>
    </row>
    <row r="182" spans="2:65" s="434" customFormat="1" ht="22.9" customHeight="1" x14ac:dyDescent="0.2">
      <c r="B182" s="433"/>
      <c r="D182" s="435" t="s">
        <v>216</v>
      </c>
      <c r="E182" s="443" t="s">
        <v>1842</v>
      </c>
      <c r="F182" s="443" t="s">
        <v>1843</v>
      </c>
      <c r="I182" s="467"/>
      <c r="J182" s="444">
        <f>BK182</f>
        <v>0</v>
      </c>
      <c r="L182" s="433"/>
      <c r="M182" s="438"/>
      <c r="P182" s="439">
        <f>SUM(P183:P184)</f>
        <v>0</v>
      </c>
      <c r="R182" s="439">
        <f>SUM(R183:R184)</f>
        <v>0</v>
      </c>
      <c r="T182" s="440">
        <f>SUM(T183:T184)</f>
        <v>0</v>
      </c>
      <c r="AR182" s="435" t="s">
        <v>119</v>
      </c>
      <c r="AT182" s="441" t="s">
        <v>216</v>
      </c>
      <c r="AU182" s="441" t="s">
        <v>109</v>
      </c>
      <c r="AY182" s="435" t="s">
        <v>217</v>
      </c>
      <c r="BK182" s="442">
        <f>SUM(BK183:BK184)</f>
        <v>0</v>
      </c>
    </row>
    <row r="183" spans="2:65" s="365" customFormat="1" ht="49.15" customHeight="1" x14ac:dyDescent="0.25">
      <c r="B183" s="364"/>
      <c r="C183" s="445" t="s">
        <v>262</v>
      </c>
      <c r="D183" s="445" t="s">
        <v>218</v>
      </c>
      <c r="E183" s="446" t="s">
        <v>1844</v>
      </c>
      <c r="F183" s="447" t="s">
        <v>1845</v>
      </c>
      <c r="G183" s="448" t="s">
        <v>1846</v>
      </c>
      <c r="H183" s="449">
        <v>6</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625</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625</v>
      </c>
      <c r="BM183" s="455" t="s">
        <v>1847</v>
      </c>
    </row>
    <row r="184" spans="2:65" s="365" customFormat="1" ht="66.75" customHeight="1" x14ac:dyDescent="0.25">
      <c r="B184" s="364"/>
      <c r="C184" s="445" t="s">
        <v>263</v>
      </c>
      <c r="D184" s="445" t="s">
        <v>218</v>
      </c>
      <c r="E184" s="446" t="s">
        <v>1848</v>
      </c>
      <c r="F184" s="447" t="s">
        <v>1849</v>
      </c>
      <c r="G184" s="448" t="s">
        <v>1846</v>
      </c>
      <c r="H184" s="449">
        <v>6</v>
      </c>
      <c r="I184" s="329">
        <v>0</v>
      </c>
      <c r="J184" s="450">
        <f>ROUND(I184*H184,2)</f>
        <v>0</v>
      </c>
      <c r="K184" s="451"/>
      <c r="L184" s="364"/>
      <c r="M184" s="468" t="s">
        <v>171</v>
      </c>
      <c r="N184" s="469" t="s">
        <v>185</v>
      </c>
      <c r="O184" s="470">
        <v>0</v>
      </c>
      <c r="P184" s="470">
        <f>O184*H184</f>
        <v>0</v>
      </c>
      <c r="Q184" s="470">
        <v>0</v>
      </c>
      <c r="R184" s="470">
        <f>Q184*H184</f>
        <v>0</v>
      </c>
      <c r="S184" s="470">
        <v>0</v>
      </c>
      <c r="T184" s="471">
        <f>S184*H184</f>
        <v>0</v>
      </c>
      <c r="AR184" s="455" t="s">
        <v>625</v>
      </c>
      <c r="AT184" s="455" t="s">
        <v>218</v>
      </c>
      <c r="AU184" s="455" t="s">
        <v>108</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625</v>
      </c>
      <c r="BM184" s="455" t="s">
        <v>1850</v>
      </c>
    </row>
    <row r="185" spans="2:65" s="365" customFormat="1" ht="6.95" customHeight="1" x14ac:dyDescent="0.25">
      <c r="B185" s="397"/>
      <c r="C185" s="398"/>
      <c r="D185" s="398"/>
      <c r="E185" s="398"/>
      <c r="F185" s="398"/>
      <c r="G185" s="398"/>
      <c r="H185" s="398"/>
      <c r="I185" s="398"/>
      <c r="J185" s="398"/>
      <c r="K185" s="398"/>
      <c r="L185" s="364"/>
    </row>
  </sheetData>
  <sheetProtection algorithmName="SHA-512" hashValue="sJwLPPl76zZGhIEZ0hVVbizrGgQcz19FiQF6lxY5eIm6vjFk/UprTur7xg6xt20mLDgExxZ06jtmgB5TUrXpzA==" saltValue="cAkOreL/Dxyf0sZI1lZLLA==" spinCount="100000" sheet="1" objects="1" scenarios="1"/>
  <autoFilter ref="C128:K184" xr:uid="{00000000-0009-0000-0000-000005000000}"/>
  <mergeCells count="10">
    <mergeCell ref="E87:H87"/>
    <mergeCell ref="D108:F108"/>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918FC-A070-426D-9FFF-E8826E04EDEE}">
  <sheetPr codeName="Hárok38">
    <pageSetUpPr fitToPage="1"/>
  </sheetPr>
  <dimension ref="B2:BM185"/>
  <sheetViews>
    <sheetView topLeftCell="A196" workbookViewId="0">
      <selection activeCell="I171" sqref="I171"/>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2829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 ÚSEK F '!K6</f>
        <v>Cyklotrasa - Devín_F</v>
      </c>
      <c r="F7" s="860"/>
      <c r="G7" s="860"/>
      <c r="H7" s="860"/>
      <c r="L7" s="360"/>
    </row>
    <row r="8" spans="2:46" s="365" customFormat="1" ht="12" customHeight="1" x14ac:dyDescent="0.25">
      <c r="B8" s="364"/>
      <c r="D8" s="363" t="s">
        <v>408</v>
      </c>
      <c r="L8" s="364"/>
    </row>
    <row r="9" spans="2:46" s="365" customFormat="1" ht="30" customHeight="1" x14ac:dyDescent="0.25">
      <c r="B9" s="364"/>
      <c r="E9" s="857" t="s">
        <v>2993</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63" t="str">
        <f>'Rekapitulácia stavby - ÚSEK F '!E14</f>
        <v>Údaj sa automaticky zobrazí aj vo Výkaze výmer</v>
      </c>
      <c r="F18" s="863"/>
      <c r="G18" s="863"/>
      <c r="H18" s="863"/>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3191</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SUM(BE130:BE184)),  2)</f>
        <v>0</v>
      </c>
      <c r="G35" s="380"/>
      <c r="H35" s="380"/>
      <c r="I35" s="381">
        <v>0.23</v>
      </c>
      <c r="J35" s="379">
        <f>ROUND(((SUM(BE108:BE110) + SUM(BE130:BE184))*I35),  2)</f>
        <v>0</v>
      </c>
      <c r="L35" s="364"/>
    </row>
    <row r="36" spans="2:12" s="365" customFormat="1" ht="14.45" customHeight="1" x14ac:dyDescent="0.25">
      <c r="B36" s="364"/>
      <c r="E36" s="378" t="s">
        <v>185</v>
      </c>
      <c r="F36" s="382">
        <f>ROUND((SUM(BF108:BF110) + SUM(BF130:BF184)),  2)</f>
        <v>0</v>
      </c>
      <c r="I36" s="383">
        <v>0.23</v>
      </c>
      <c r="J36" s="382">
        <f>ROUND(((SUM(BF108:BF110) + SUM(BF130:BF184))*I36),  2)</f>
        <v>0</v>
      </c>
      <c r="L36" s="364"/>
    </row>
    <row r="37" spans="2:12" s="365" customFormat="1" ht="14.45" hidden="1" customHeight="1" x14ac:dyDescent="0.25">
      <c r="B37" s="364"/>
      <c r="E37" s="363" t="s">
        <v>186</v>
      </c>
      <c r="F37" s="382">
        <f>ROUND((SUM(BG108:BG110) + SUM(BG130:BG184)),  2)</f>
        <v>0</v>
      </c>
      <c r="I37" s="383">
        <v>0.23</v>
      </c>
      <c r="J37" s="382">
        <f>0</f>
        <v>0</v>
      </c>
      <c r="L37" s="364"/>
    </row>
    <row r="38" spans="2:12" s="365" customFormat="1" ht="14.45" hidden="1" customHeight="1" x14ac:dyDescent="0.25">
      <c r="B38" s="364"/>
      <c r="E38" s="363" t="s">
        <v>187</v>
      </c>
      <c r="F38" s="382">
        <f>ROUND((SUM(BH108:BH110) + SUM(BH130:BH184)),  2)</f>
        <v>0</v>
      </c>
      <c r="I38" s="383">
        <v>0.23</v>
      </c>
      <c r="J38" s="382">
        <f>0</f>
        <v>0</v>
      </c>
      <c r="L38" s="364"/>
    </row>
    <row r="39" spans="2:12" s="365" customFormat="1" ht="14.45" hidden="1" customHeight="1" x14ac:dyDescent="0.25">
      <c r="B39" s="364"/>
      <c r="E39" s="378" t="s">
        <v>188</v>
      </c>
      <c r="F39" s="379">
        <f>ROUND((SUM(BI108:BI110) + SUM(BI130:BI184)),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Devín_F</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402-F - SO 402  Preložka telekomunikačných vedení UPC s.r.o., úsek F</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953</v>
      </c>
      <c r="E100" s="412"/>
      <c r="F100" s="412"/>
      <c r="G100" s="412"/>
      <c r="H100" s="412"/>
      <c r="I100" s="412"/>
      <c r="J100" s="413">
        <f>J147</f>
        <v>0</v>
      </c>
      <c r="L100" s="409"/>
    </row>
    <row r="101" spans="2:62" s="410" customFormat="1" ht="19.899999999999999" customHeight="1" x14ac:dyDescent="0.25">
      <c r="B101" s="409"/>
      <c r="D101" s="411" t="s">
        <v>414</v>
      </c>
      <c r="E101" s="412"/>
      <c r="F101" s="412"/>
      <c r="G101" s="412"/>
      <c r="H101" s="412"/>
      <c r="I101" s="412"/>
      <c r="J101" s="413">
        <f>J152</f>
        <v>0</v>
      </c>
      <c r="L101" s="409"/>
    </row>
    <row r="102" spans="2:62" s="405" customFormat="1" ht="24.95" customHeight="1" x14ac:dyDescent="0.25">
      <c r="B102" s="404"/>
      <c r="D102" s="406" t="s">
        <v>1616</v>
      </c>
      <c r="E102" s="407"/>
      <c r="F102" s="407"/>
      <c r="G102" s="407"/>
      <c r="H102" s="407"/>
      <c r="I102" s="407"/>
      <c r="J102" s="408">
        <f>J154</f>
        <v>0</v>
      </c>
      <c r="L102" s="404"/>
    </row>
    <row r="103" spans="2:62" s="410" customFormat="1" ht="19.899999999999999" customHeight="1" x14ac:dyDescent="0.25">
      <c r="B103" s="409"/>
      <c r="D103" s="411" t="s">
        <v>1617</v>
      </c>
      <c r="E103" s="412"/>
      <c r="F103" s="412"/>
      <c r="G103" s="412"/>
      <c r="H103" s="412"/>
      <c r="I103" s="412"/>
      <c r="J103" s="413">
        <f>J155</f>
        <v>0</v>
      </c>
      <c r="L103" s="409"/>
    </row>
    <row r="104" spans="2:62" s="410" customFormat="1" ht="19.899999999999999" customHeight="1" x14ac:dyDescent="0.25">
      <c r="B104" s="409"/>
      <c r="D104" s="411" t="s">
        <v>1618</v>
      </c>
      <c r="E104" s="412"/>
      <c r="F104" s="412"/>
      <c r="G104" s="412"/>
      <c r="H104" s="412"/>
      <c r="I104" s="412"/>
      <c r="J104" s="413">
        <f>J167</f>
        <v>0</v>
      </c>
      <c r="L104" s="409"/>
    </row>
    <row r="105" spans="2:62" s="410" customFormat="1" ht="19.899999999999999" customHeight="1" x14ac:dyDescent="0.25">
      <c r="B105" s="409"/>
      <c r="D105" s="411" t="s">
        <v>1619</v>
      </c>
      <c r="E105" s="412"/>
      <c r="F105" s="412"/>
      <c r="G105" s="412"/>
      <c r="H105" s="412"/>
      <c r="I105" s="412"/>
      <c r="J105" s="413">
        <f>J182</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3066</v>
      </c>
      <c r="J108" s="414">
        <f>ROUND(J109,2)</f>
        <v>0</v>
      </c>
      <c r="L108" s="364"/>
      <c r="N108" s="415" t="s">
        <v>183</v>
      </c>
    </row>
    <row r="109" spans="2:62" s="365" customFormat="1" ht="18" customHeight="1" x14ac:dyDescent="0.25">
      <c r="B109" s="364"/>
      <c r="D109" s="865" t="s">
        <v>3126</v>
      </c>
      <c r="E109" s="865"/>
      <c r="F109" s="865"/>
      <c r="J109" s="482">
        <f>J96*0.032</f>
        <v>0</v>
      </c>
      <c r="L109" s="364"/>
      <c r="N109" s="483" t="s">
        <v>185</v>
      </c>
      <c r="AY109" s="357" t="s">
        <v>1333</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3063</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59" t="str">
        <f>E7</f>
        <v>Cyklotrasa - Devín_F</v>
      </c>
      <c r="F120" s="860"/>
      <c r="G120" s="860"/>
      <c r="H120" s="860"/>
      <c r="L120" s="364"/>
    </row>
    <row r="121" spans="2:12" s="365" customFormat="1" ht="12" customHeight="1" x14ac:dyDescent="0.25">
      <c r="B121" s="364"/>
      <c r="C121" s="363" t="s">
        <v>408</v>
      </c>
      <c r="L121" s="364"/>
    </row>
    <row r="122" spans="2:12" s="365" customFormat="1" ht="30" customHeight="1" x14ac:dyDescent="0.25">
      <c r="B122" s="364"/>
      <c r="E122" s="857" t="str">
        <f>E9</f>
        <v>402-F - SO 402  Preložka telekomunikačných vedení UPC s.r.o., úsek F</v>
      </c>
      <c r="F122" s="858"/>
      <c r="G122" s="858"/>
      <c r="H122" s="858"/>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P131+P154</f>
        <v>11025.512070000002</v>
      </c>
      <c r="Q130" s="371"/>
      <c r="R130" s="430">
        <f>R131+R154</f>
        <v>69.142179999999996</v>
      </c>
      <c r="S130" s="371"/>
      <c r="T130" s="431">
        <f>T131+T154</f>
        <v>0</v>
      </c>
      <c r="AT130" s="357" t="s">
        <v>216</v>
      </c>
      <c r="AU130" s="357" t="s">
        <v>202</v>
      </c>
      <c r="BK130" s="432">
        <f>BK131+BK154</f>
        <v>0</v>
      </c>
    </row>
    <row r="131" spans="2:65" s="434" customFormat="1" ht="25.9" customHeight="1" x14ac:dyDescent="0.2">
      <c r="B131" s="433"/>
      <c r="D131" s="435" t="s">
        <v>216</v>
      </c>
      <c r="E131" s="436" t="s">
        <v>418</v>
      </c>
      <c r="F131" s="436" t="s">
        <v>419</v>
      </c>
      <c r="J131" s="437">
        <f>BK131</f>
        <v>0</v>
      </c>
      <c r="L131" s="433"/>
      <c r="M131" s="438"/>
      <c r="P131" s="439">
        <f>P132+P137+P147+P152</f>
        <v>174.13541999999998</v>
      </c>
      <c r="R131" s="439">
        <f>R132+R137+R147+R152</f>
        <v>0.93813000000000002</v>
      </c>
      <c r="T131" s="440">
        <f>T132+T137+T147+T152</f>
        <v>0</v>
      </c>
      <c r="AR131" s="435" t="s">
        <v>109</v>
      </c>
      <c r="AT131" s="441" t="s">
        <v>216</v>
      </c>
      <c r="AU131" s="441" t="s">
        <v>165</v>
      </c>
      <c r="AY131" s="435" t="s">
        <v>217</v>
      </c>
      <c r="BK131" s="442">
        <f>BK132+BK137+BK147+BK152</f>
        <v>0</v>
      </c>
    </row>
    <row r="132" spans="2:65" s="434" customFormat="1" ht="22.9" customHeight="1" x14ac:dyDescent="0.2">
      <c r="B132" s="433"/>
      <c r="D132" s="435" t="s">
        <v>216</v>
      </c>
      <c r="E132" s="443" t="s">
        <v>109</v>
      </c>
      <c r="F132" s="443" t="s">
        <v>220</v>
      </c>
      <c r="J132" s="444">
        <f>BK132</f>
        <v>0</v>
      </c>
      <c r="L132" s="433"/>
      <c r="M132" s="438"/>
      <c r="P132" s="439">
        <f>SUM(P133:P136)</f>
        <v>3.0634200000000003</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712</v>
      </c>
      <c r="F133" s="447" t="s">
        <v>2994</v>
      </c>
      <c r="G133" s="448" t="s">
        <v>114</v>
      </c>
      <c r="H133" s="449">
        <v>18.600000000000001</v>
      </c>
      <c r="I133" s="329">
        <v>0</v>
      </c>
      <c r="J133" s="450">
        <f>ROUND(I133*H133,2)</f>
        <v>0</v>
      </c>
      <c r="K133" s="451"/>
      <c r="L133" s="364"/>
      <c r="M133" s="452" t="s">
        <v>171</v>
      </c>
      <c r="N133" s="415" t="s">
        <v>185</v>
      </c>
      <c r="O133" s="453">
        <v>4.8899999999999999E-2</v>
      </c>
      <c r="P133" s="453">
        <f>O133*H133</f>
        <v>0.90954000000000002</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2995</v>
      </c>
    </row>
    <row r="134" spans="2:65" s="365" customFormat="1" ht="44.25" customHeight="1" x14ac:dyDescent="0.25">
      <c r="B134" s="364"/>
      <c r="C134" s="445" t="s">
        <v>108</v>
      </c>
      <c r="D134" s="445" t="s">
        <v>218</v>
      </c>
      <c r="E134" s="446" t="s">
        <v>714</v>
      </c>
      <c r="F134" s="447" t="s">
        <v>2996</v>
      </c>
      <c r="G134" s="448" t="s">
        <v>114</v>
      </c>
      <c r="H134" s="449">
        <v>372</v>
      </c>
      <c r="I134" s="329">
        <v>0</v>
      </c>
      <c r="J134" s="450">
        <f>ROUND(I134*H134,2)</f>
        <v>0</v>
      </c>
      <c r="K134" s="451"/>
      <c r="L134" s="364"/>
      <c r="M134" s="452" t="s">
        <v>171</v>
      </c>
      <c r="N134" s="415" t="s">
        <v>185</v>
      </c>
      <c r="O134" s="453">
        <v>5.3899999999999998E-3</v>
      </c>
      <c r="P134" s="453">
        <f>O134*H134</f>
        <v>2.00508</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2997</v>
      </c>
    </row>
    <row r="135" spans="2:65" s="365" customFormat="1" ht="21.75" customHeight="1" x14ac:dyDescent="0.25">
      <c r="B135" s="364"/>
      <c r="C135" s="445" t="s">
        <v>119</v>
      </c>
      <c r="D135" s="445" t="s">
        <v>218</v>
      </c>
      <c r="E135" s="446" t="s">
        <v>717</v>
      </c>
      <c r="F135" s="447" t="s">
        <v>224</v>
      </c>
      <c r="G135" s="448" t="s">
        <v>114</v>
      </c>
      <c r="H135" s="449">
        <v>18.600000000000001</v>
      </c>
      <c r="I135" s="329">
        <v>0</v>
      </c>
      <c r="J135" s="450">
        <f>ROUND(I135*H135,2)</f>
        <v>0</v>
      </c>
      <c r="K135" s="451"/>
      <c r="L135" s="364"/>
      <c r="M135" s="452" t="s">
        <v>171</v>
      </c>
      <c r="N135" s="415" t="s">
        <v>185</v>
      </c>
      <c r="O135" s="453">
        <v>8.0000000000000002E-3</v>
      </c>
      <c r="P135" s="453">
        <f>O135*H135</f>
        <v>0.14880000000000002</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2998</v>
      </c>
    </row>
    <row r="136" spans="2:65" s="365" customFormat="1" ht="21.75" customHeight="1" x14ac:dyDescent="0.25">
      <c r="B136" s="364"/>
      <c r="C136" s="445" t="s">
        <v>110</v>
      </c>
      <c r="D136" s="445" t="s">
        <v>218</v>
      </c>
      <c r="E136" s="446" t="s">
        <v>1101</v>
      </c>
      <c r="F136" s="447" t="s">
        <v>3180</v>
      </c>
      <c r="G136" s="448" t="s">
        <v>112</v>
      </c>
      <c r="H136" s="449">
        <f>Ponuka!S151</f>
        <v>29.760000000000005</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2999</v>
      </c>
    </row>
    <row r="137" spans="2:65" s="434" customFormat="1" ht="22.9" customHeight="1" x14ac:dyDescent="0.2">
      <c r="B137" s="433"/>
      <c r="D137" s="435" t="s">
        <v>216</v>
      </c>
      <c r="E137" s="443" t="s">
        <v>119</v>
      </c>
      <c r="F137" s="443" t="s">
        <v>541</v>
      </c>
      <c r="I137" s="467"/>
      <c r="J137" s="444">
        <f>BK137</f>
        <v>0</v>
      </c>
      <c r="L137" s="433"/>
      <c r="M137" s="438"/>
      <c r="P137" s="439">
        <f>SUM(P138:P146)</f>
        <v>152.59199999999998</v>
      </c>
      <c r="R137" s="439">
        <f>SUM(R138:R146)</f>
        <v>0.53012999999999999</v>
      </c>
      <c r="T137" s="440">
        <f>SUM(T138:T146)</f>
        <v>0</v>
      </c>
      <c r="AR137" s="435" t="s">
        <v>109</v>
      </c>
      <c r="AT137" s="441" t="s">
        <v>216</v>
      </c>
      <c r="AU137" s="441" t="s">
        <v>109</v>
      </c>
      <c r="AY137" s="435" t="s">
        <v>217</v>
      </c>
      <c r="BK137" s="442">
        <f>SUM(BK138:BK146)</f>
        <v>0</v>
      </c>
    </row>
    <row r="138" spans="2:65" s="365" customFormat="1" ht="24.2" customHeight="1" x14ac:dyDescent="0.25">
      <c r="B138" s="364"/>
      <c r="C138" s="445" t="s">
        <v>118</v>
      </c>
      <c r="D138" s="445" t="s">
        <v>218</v>
      </c>
      <c r="E138" s="446" t="s">
        <v>1858</v>
      </c>
      <c r="F138" s="447" t="s">
        <v>1859</v>
      </c>
      <c r="G138" s="448" t="s">
        <v>113</v>
      </c>
      <c r="H138" s="449">
        <v>610</v>
      </c>
      <c r="I138" s="329">
        <v>0</v>
      </c>
      <c r="J138" s="450">
        <f t="shared" ref="J138:J146" si="0">ROUND(I138*H138,2)</f>
        <v>0</v>
      </c>
      <c r="K138" s="451"/>
      <c r="L138" s="364"/>
      <c r="M138" s="452" t="s">
        <v>171</v>
      </c>
      <c r="N138" s="415" t="s">
        <v>185</v>
      </c>
      <c r="O138" s="453">
        <v>4.4999999999999998E-2</v>
      </c>
      <c r="P138" s="453">
        <f t="shared" ref="P138:P146" si="1">O138*H138</f>
        <v>27.45</v>
      </c>
      <c r="Q138" s="453">
        <v>0</v>
      </c>
      <c r="R138" s="453">
        <f t="shared" ref="R138:R146" si="2">Q138*H138</f>
        <v>0</v>
      </c>
      <c r="S138" s="453">
        <v>0</v>
      </c>
      <c r="T138" s="454">
        <f t="shared" ref="T138:T146" si="3">S138*H138</f>
        <v>0</v>
      </c>
      <c r="AR138" s="455" t="s">
        <v>110</v>
      </c>
      <c r="AT138" s="455" t="s">
        <v>218</v>
      </c>
      <c r="AU138" s="455" t="s">
        <v>108</v>
      </c>
      <c r="AY138" s="357" t="s">
        <v>217</v>
      </c>
      <c r="BE138" s="456">
        <f t="shared" ref="BE138:BE146" si="4">IF(N138="základná",J138,0)</f>
        <v>0</v>
      </c>
      <c r="BF138" s="456">
        <f t="shared" ref="BF138:BF146" si="5">IF(N138="znížená",J138,0)</f>
        <v>0</v>
      </c>
      <c r="BG138" s="456">
        <f t="shared" ref="BG138:BG146" si="6">IF(N138="zákl. prenesená",J138,0)</f>
        <v>0</v>
      </c>
      <c r="BH138" s="456">
        <f t="shared" ref="BH138:BH146" si="7">IF(N138="zníž. prenesená",J138,0)</f>
        <v>0</v>
      </c>
      <c r="BI138" s="456">
        <f t="shared" ref="BI138:BI146" si="8">IF(N138="nulová",J138,0)</f>
        <v>0</v>
      </c>
      <c r="BJ138" s="357" t="s">
        <v>108</v>
      </c>
      <c r="BK138" s="456">
        <f t="shared" ref="BK138:BK146" si="9">ROUND(I138*H138,2)</f>
        <v>0</v>
      </c>
      <c r="BL138" s="357" t="s">
        <v>110</v>
      </c>
      <c r="BM138" s="455" t="s">
        <v>1860</v>
      </c>
    </row>
    <row r="139" spans="2:65" s="365" customFormat="1" ht="16.5" customHeight="1" x14ac:dyDescent="0.25">
      <c r="B139" s="364"/>
      <c r="C139" s="457" t="s">
        <v>117</v>
      </c>
      <c r="D139" s="457" t="s">
        <v>259</v>
      </c>
      <c r="E139" s="458" t="s">
        <v>1861</v>
      </c>
      <c r="F139" s="459" t="s">
        <v>1862</v>
      </c>
      <c r="G139" s="460" t="s">
        <v>113</v>
      </c>
      <c r="H139" s="461">
        <v>610</v>
      </c>
      <c r="I139" s="330">
        <v>0</v>
      </c>
      <c r="J139" s="462">
        <f t="shared" si="0"/>
        <v>0</v>
      </c>
      <c r="K139" s="463"/>
      <c r="L139" s="464"/>
      <c r="M139" s="465" t="s">
        <v>171</v>
      </c>
      <c r="N139" s="466" t="s">
        <v>185</v>
      </c>
      <c r="O139" s="453">
        <v>0</v>
      </c>
      <c r="P139" s="453">
        <f t="shared" si="1"/>
        <v>0</v>
      </c>
      <c r="Q139" s="453">
        <v>4.6999999999999999E-4</v>
      </c>
      <c r="R139" s="453">
        <f t="shared" si="2"/>
        <v>0.28670000000000001</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1863</v>
      </c>
    </row>
    <row r="140" spans="2:65" s="365" customFormat="1" ht="16.5" customHeight="1" x14ac:dyDescent="0.25">
      <c r="B140" s="364"/>
      <c r="C140" s="457" t="s">
        <v>116</v>
      </c>
      <c r="D140" s="457" t="s">
        <v>259</v>
      </c>
      <c r="E140" s="458" t="s">
        <v>1633</v>
      </c>
      <c r="F140" s="459" t="s">
        <v>1634</v>
      </c>
      <c r="G140" s="460" t="s">
        <v>123</v>
      </c>
      <c r="H140" s="461">
        <v>50</v>
      </c>
      <c r="I140" s="330">
        <v>0</v>
      </c>
      <c r="J140" s="462">
        <f t="shared" si="0"/>
        <v>0</v>
      </c>
      <c r="K140" s="463"/>
      <c r="L140" s="464"/>
      <c r="M140" s="465" t="s">
        <v>171</v>
      </c>
      <c r="N140" s="466" t="s">
        <v>185</v>
      </c>
      <c r="O140" s="453">
        <v>0</v>
      </c>
      <c r="P140" s="453">
        <f t="shared" si="1"/>
        <v>0</v>
      </c>
      <c r="Q140" s="453">
        <v>4.0000000000000002E-4</v>
      </c>
      <c r="R140" s="453">
        <f t="shared" si="2"/>
        <v>0.02</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1635</v>
      </c>
    </row>
    <row r="141" spans="2:65" s="365" customFormat="1" ht="24.2" customHeight="1" x14ac:dyDescent="0.25">
      <c r="B141" s="364"/>
      <c r="C141" s="445" t="s">
        <v>115</v>
      </c>
      <c r="D141" s="445" t="s">
        <v>218</v>
      </c>
      <c r="E141" s="446" t="s">
        <v>1636</v>
      </c>
      <c r="F141" s="447" t="s">
        <v>1637</v>
      </c>
      <c r="G141" s="448" t="s">
        <v>113</v>
      </c>
      <c r="H141" s="449">
        <v>650</v>
      </c>
      <c r="I141" s="329">
        <v>0</v>
      </c>
      <c r="J141" s="450">
        <f t="shared" si="0"/>
        <v>0</v>
      </c>
      <c r="K141" s="451"/>
      <c r="L141" s="364"/>
      <c r="M141" s="452" t="s">
        <v>171</v>
      </c>
      <c r="N141" s="415" t="s">
        <v>185</v>
      </c>
      <c r="O141" s="453">
        <v>0.19</v>
      </c>
      <c r="P141" s="453">
        <f t="shared" si="1"/>
        <v>123.5</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1638</v>
      </c>
    </row>
    <row r="142" spans="2:65" s="365" customFormat="1" ht="16.5" customHeight="1" x14ac:dyDescent="0.25">
      <c r="B142" s="364"/>
      <c r="C142" s="457" t="s">
        <v>162</v>
      </c>
      <c r="D142" s="457" t="s">
        <v>259</v>
      </c>
      <c r="E142" s="458" t="s">
        <v>1639</v>
      </c>
      <c r="F142" s="459" t="s">
        <v>1640</v>
      </c>
      <c r="G142" s="460" t="s">
        <v>113</v>
      </c>
      <c r="H142" s="461">
        <v>1950</v>
      </c>
      <c r="I142" s="330">
        <v>0</v>
      </c>
      <c r="J142" s="462">
        <f t="shared" si="0"/>
        <v>0</v>
      </c>
      <c r="K142" s="463"/>
      <c r="L142" s="464"/>
      <c r="M142" s="465" t="s">
        <v>171</v>
      </c>
      <c r="N142" s="466" t="s">
        <v>185</v>
      </c>
      <c r="O142" s="453">
        <v>0</v>
      </c>
      <c r="P142" s="453">
        <f t="shared" si="1"/>
        <v>0</v>
      </c>
      <c r="Q142" s="453">
        <v>1.1E-4</v>
      </c>
      <c r="R142" s="453">
        <f t="shared" si="2"/>
        <v>0.2145</v>
      </c>
      <c r="S142" s="453">
        <v>0</v>
      </c>
      <c r="T142" s="454">
        <f t="shared" si="3"/>
        <v>0</v>
      </c>
      <c r="AR142" s="455" t="s">
        <v>1631</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1631</v>
      </c>
      <c r="BM142" s="455" t="s">
        <v>1641</v>
      </c>
    </row>
    <row r="143" spans="2:65" s="365" customFormat="1" ht="16.5" customHeight="1" x14ac:dyDescent="0.25">
      <c r="B143" s="364"/>
      <c r="C143" s="445" t="s">
        <v>221</v>
      </c>
      <c r="D143" s="445" t="s">
        <v>218</v>
      </c>
      <c r="E143" s="446" t="s">
        <v>1648</v>
      </c>
      <c r="F143" s="447" t="s">
        <v>1649</v>
      </c>
      <c r="G143" s="448" t="s">
        <v>123</v>
      </c>
      <c r="H143" s="449">
        <v>3</v>
      </c>
      <c r="I143" s="329">
        <v>0</v>
      </c>
      <c r="J143" s="450">
        <f t="shared" si="0"/>
        <v>0</v>
      </c>
      <c r="K143" s="451"/>
      <c r="L143" s="364"/>
      <c r="M143" s="452" t="s">
        <v>171</v>
      </c>
      <c r="N143" s="415" t="s">
        <v>185</v>
      </c>
      <c r="O143" s="453">
        <v>5.5E-2</v>
      </c>
      <c r="P143" s="453">
        <f t="shared" si="1"/>
        <v>0.16500000000000001</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1650</v>
      </c>
    </row>
    <row r="144" spans="2:65" s="365" customFormat="1" ht="16.5" customHeight="1" x14ac:dyDescent="0.25">
      <c r="B144" s="364"/>
      <c r="C144" s="457" t="s">
        <v>222</v>
      </c>
      <c r="D144" s="457" t="s">
        <v>259</v>
      </c>
      <c r="E144" s="458" t="s">
        <v>1651</v>
      </c>
      <c r="F144" s="459" t="s">
        <v>1652</v>
      </c>
      <c r="G144" s="460" t="s">
        <v>123</v>
      </c>
      <c r="H144" s="461">
        <v>3</v>
      </c>
      <c r="I144" s="330">
        <v>0</v>
      </c>
      <c r="J144" s="462">
        <f t="shared" si="0"/>
        <v>0</v>
      </c>
      <c r="K144" s="463"/>
      <c r="L144" s="464"/>
      <c r="M144" s="465" t="s">
        <v>171</v>
      </c>
      <c r="N144" s="466" t="s">
        <v>185</v>
      </c>
      <c r="O144" s="453">
        <v>0</v>
      </c>
      <c r="P144" s="453">
        <f t="shared" si="1"/>
        <v>0</v>
      </c>
      <c r="Q144" s="453">
        <v>1.0000000000000001E-5</v>
      </c>
      <c r="R144" s="453">
        <f t="shared" si="2"/>
        <v>3.0000000000000004E-5</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1653</v>
      </c>
    </row>
    <row r="145" spans="2:65" s="365" customFormat="1" ht="16.5" customHeight="1" x14ac:dyDescent="0.25">
      <c r="B145" s="364"/>
      <c r="C145" s="445" t="s">
        <v>223</v>
      </c>
      <c r="D145" s="445" t="s">
        <v>218</v>
      </c>
      <c r="E145" s="446" t="s">
        <v>1654</v>
      </c>
      <c r="F145" s="447" t="s">
        <v>1655</v>
      </c>
      <c r="G145" s="448" t="s">
        <v>123</v>
      </c>
      <c r="H145" s="449">
        <v>1</v>
      </c>
      <c r="I145" s="329">
        <v>0</v>
      </c>
      <c r="J145" s="450">
        <f t="shared" si="0"/>
        <v>0</v>
      </c>
      <c r="K145" s="451"/>
      <c r="L145" s="364"/>
      <c r="M145" s="452" t="s">
        <v>171</v>
      </c>
      <c r="N145" s="415" t="s">
        <v>185</v>
      </c>
      <c r="O145" s="453">
        <v>1.4770000000000001</v>
      </c>
      <c r="P145" s="453">
        <f t="shared" si="1"/>
        <v>1.4770000000000001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1656</v>
      </c>
    </row>
    <row r="146" spans="2:65" s="365" customFormat="1" ht="16.5" customHeight="1" x14ac:dyDescent="0.25">
      <c r="B146" s="364"/>
      <c r="C146" s="457" t="s">
        <v>225</v>
      </c>
      <c r="D146" s="457" t="s">
        <v>259</v>
      </c>
      <c r="E146" s="458" t="s">
        <v>1864</v>
      </c>
      <c r="F146" s="459" t="s">
        <v>1865</v>
      </c>
      <c r="G146" s="460" t="s">
        <v>123</v>
      </c>
      <c r="H146" s="461">
        <v>1</v>
      </c>
      <c r="I146" s="330">
        <v>0</v>
      </c>
      <c r="J146" s="462">
        <f t="shared" si="0"/>
        <v>0</v>
      </c>
      <c r="K146" s="463"/>
      <c r="L146" s="464"/>
      <c r="M146" s="465" t="s">
        <v>171</v>
      </c>
      <c r="N146" s="466" t="s">
        <v>185</v>
      </c>
      <c r="O146" s="453">
        <v>0</v>
      </c>
      <c r="P146" s="453">
        <f t="shared" si="1"/>
        <v>0</v>
      </c>
      <c r="Q146" s="453">
        <v>8.8999999999999999E-3</v>
      </c>
      <c r="R146" s="453">
        <f t="shared" si="2"/>
        <v>8.8999999999999999E-3</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1866</v>
      </c>
    </row>
    <row r="147" spans="2:65" s="434" customFormat="1" ht="22.9" customHeight="1" x14ac:dyDescent="0.2">
      <c r="B147" s="433"/>
      <c r="D147" s="435" t="s">
        <v>216</v>
      </c>
      <c r="E147" s="443" t="s">
        <v>115</v>
      </c>
      <c r="F147" s="443" t="s">
        <v>1023</v>
      </c>
      <c r="I147" s="467"/>
      <c r="J147" s="444">
        <f>BK147</f>
        <v>0</v>
      </c>
      <c r="L147" s="433"/>
      <c r="M147" s="438"/>
      <c r="P147" s="439">
        <f>SUM(P148:P151)</f>
        <v>18.48</v>
      </c>
      <c r="R147" s="439">
        <f>SUM(R148:R151)</f>
        <v>0.40800000000000003</v>
      </c>
      <c r="T147" s="440">
        <f>SUM(T148:T151)</f>
        <v>0</v>
      </c>
      <c r="AR147" s="435" t="s">
        <v>109</v>
      </c>
      <c r="AT147" s="441" t="s">
        <v>216</v>
      </c>
      <c r="AU147" s="441" t="s">
        <v>109</v>
      </c>
      <c r="AY147" s="435" t="s">
        <v>217</v>
      </c>
      <c r="BK147" s="442">
        <f>SUM(BK148:BK151)</f>
        <v>0</v>
      </c>
    </row>
    <row r="148" spans="2:65" s="365" customFormat="1" ht="24.2" customHeight="1" x14ac:dyDescent="0.25">
      <c r="B148" s="364"/>
      <c r="C148" s="445" t="s">
        <v>226</v>
      </c>
      <c r="D148" s="445" t="s">
        <v>218</v>
      </c>
      <c r="E148" s="446" t="s">
        <v>3000</v>
      </c>
      <c r="F148" s="447" t="s">
        <v>1871</v>
      </c>
      <c r="G148" s="448" t="s">
        <v>123</v>
      </c>
      <c r="H148" s="449">
        <v>2</v>
      </c>
      <c r="I148" s="329">
        <v>0</v>
      </c>
      <c r="J148" s="450">
        <f>ROUND(I148*H148,2)</f>
        <v>0</v>
      </c>
      <c r="K148" s="451"/>
      <c r="L148" s="364"/>
      <c r="M148" s="452" t="s">
        <v>171</v>
      </c>
      <c r="N148" s="415" t="s">
        <v>185</v>
      </c>
      <c r="O148" s="453">
        <v>4.62</v>
      </c>
      <c r="P148" s="453">
        <f>O148*H148</f>
        <v>9.24</v>
      </c>
      <c r="Q148" s="453">
        <v>8.5999999999999993E-2</v>
      </c>
      <c r="R148" s="453">
        <f>Q148*H148</f>
        <v>0.17199999999999999</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1872</v>
      </c>
    </row>
    <row r="149" spans="2:65" s="365" customFormat="1" ht="24.2" customHeight="1" x14ac:dyDescent="0.25">
      <c r="B149" s="364"/>
      <c r="C149" s="445" t="s">
        <v>227</v>
      </c>
      <c r="D149" s="445" t="s">
        <v>218</v>
      </c>
      <c r="E149" s="446" t="s">
        <v>1873</v>
      </c>
      <c r="F149" s="447" t="s">
        <v>1874</v>
      </c>
      <c r="G149" s="448" t="s">
        <v>123</v>
      </c>
      <c r="H149" s="449">
        <v>2</v>
      </c>
      <c r="I149" s="329">
        <v>0</v>
      </c>
      <c r="J149" s="450">
        <f>ROUND(I149*H149,2)</f>
        <v>0</v>
      </c>
      <c r="K149" s="451"/>
      <c r="L149" s="364"/>
      <c r="M149" s="452" t="s">
        <v>171</v>
      </c>
      <c r="N149" s="415" t="s">
        <v>185</v>
      </c>
      <c r="O149" s="453">
        <v>4.62</v>
      </c>
      <c r="P149" s="453">
        <f>O149*H149</f>
        <v>9.24</v>
      </c>
      <c r="Q149" s="453">
        <v>8.5999999999999993E-2</v>
      </c>
      <c r="R149" s="453">
        <f>Q149*H149</f>
        <v>0.17199999999999999</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1875</v>
      </c>
    </row>
    <row r="150" spans="2:65" s="365" customFormat="1" ht="16.5" customHeight="1" x14ac:dyDescent="0.25">
      <c r="B150" s="364"/>
      <c r="C150" s="457" t="s">
        <v>228</v>
      </c>
      <c r="D150" s="457" t="s">
        <v>259</v>
      </c>
      <c r="E150" s="458" t="s">
        <v>1876</v>
      </c>
      <c r="F150" s="459" t="s">
        <v>3001</v>
      </c>
      <c r="G150" s="460" t="s">
        <v>123</v>
      </c>
      <c r="H150" s="461">
        <v>2</v>
      </c>
      <c r="I150" s="330">
        <v>0</v>
      </c>
      <c r="J150" s="462">
        <f>ROUND(I150*H150,2)</f>
        <v>0</v>
      </c>
      <c r="K150" s="463"/>
      <c r="L150" s="464"/>
      <c r="M150" s="465" t="s">
        <v>171</v>
      </c>
      <c r="N150" s="466" t="s">
        <v>185</v>
      </c>
      <c r="O150" s="453">
        <v>0</v>
      </c>
      <c r="P150" s="453">
        <f>O150*H150</f>
        <v>0</v>
      </c>
      <c r="Q150" s="453">
        <v>1.6E-2</v>
      </c>
      <c r="R150" s="453">
        <f>Q150*H150</f>
        <v>3.2000000000000001E-2</v>
      </c>
      <c r="S150" s="453">
        <v>0</v>
      </c>
      <c r="T150" s="454">
        <f>S150*H150</f>
        <v>0</v>
      </c>
      <c r="AR150" s="455" t="s">
        <v>115</v>
      </c>
      <c r="AT150" s="455" t="s">
        <v>259</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1878</v>
      </c>
    </row>
    <row r="151" spans="2:65" s="365" customFormat="1" ht="16.5" customHeight="1" x14ac:dyDescent="0.25">
      <c r="B151" s="364"/>
      <c r="C151" s="457" t="s">
        <v>229</v>
      </c>
      <c r="D151" s="457" t="s">
        <v>259</v>
      </c>
      <c r="E151" s="458" t="s">
        <v>1879</v>
      </c>
      <c r="F151" s="459" t="s">
        <v>3002</v>
      </c>
      <c r="G151" s="460" t="s">
        <v>123</v>
      </c>
      <c r="H151" s="461">
        <v>2</v>
      </c>
      <c r="I151" s="330">
        <v>0</v>
      </c>
      <c r="J151" s="462">
        <f>ROUND(I151*H151,2)</f>
        <v>0</v>
      </c>
      <c r="K151" s="463"/>
      <c r="L151" s="464"/>
      <c r="M151" s="465" t="s">
        <v>171</v>
      </c>
      <c r="N151" s="466" t="s">
        <v>185</v>
      </c>
      <c r="O151" s="453">
        <v>0</v>
      </c>
      <c r="P151" s="453">
        <f>O151*H151</f>
        <v>0</v>
      </c>
      <c r="Q151" s="453">
        <v>1.6E-2</v>
      </c>
      <c r="R151" s="453">
        <f>Q151*H151</f>
        <v>3.2000000000000001E-2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1665</v>
      </c>
    </row>
    <row r="152" spans="2:65" s="434" customFormat="1" ht="22.9" customHeight="1" x14ac:dyDescent="0.2">
      <c r="B152" s="433"/>
      <c r="D152" s="435" t="s">
        <v>216</v>
      </c>
      <c r="E152" s="443" t="s">
        <v>162</v>
      </c>
      <c r="F152" s="443" t="s">
        <v>633</v>
      </c>
      <c r="I152" s="467"/>
      <c r="J152" s="444">
        <f>BK152</f>
        <v>0</v>
      </c>
      <c r="L152" s="433"/>
      <c r="M152" s="438"/>
      <c r="P152" s="439">
        <f>P153</f>
        <v>0</v>
      </c>
      <c r="R152" s="439">
        <f>R153</f>
        <v>0</v>
      </c>
      <c r="T152" s="440">
        <f>T153</f>
        <v>0</v>
      </c>
      <c r="AR152" s="435" t="s">
        <v>109</v>
      </c>
      <c r="AT152" s="441" t="s">
        <v>216</v>
      </c>
      <c r="AU152" s="441" t="s">
        <v>109</v>
      </c>
      <c r="AY152" s="435" t="s">
        <v>217</v>
      </c>
      <c r="BK152" s="442">
        <f>BK153</f>
        <v>0</v>
      </c>
    </row>
    <row r="153" spans="2:65" s="365" customFormat="1" ht="66.75" customHeight="1" x14ac:dyDescent="0.25">
      <c r="B153" s="364"/>
      <c r="C153" s="445" t="s">
        <v>231</v>
      </c>
      <c r="D153" s="445" t="s">
        <v>218</v>
      </c>
      <c r="E153" s="446" t="s">
        <v>638</v>
      </c>
      <c r="F153" s="447" t="s">
        <v>3181</v>
      </c>
      <c r="G153" s="448" t="s">
        <v>112</v>
      </c>
      <c r="H153" s="449">
        <f>Ponuka!R151</f>
        <v>69.44</v>
      </c>
      <c r="I153" s="329">
        <v>0</v>
      </c>
      <c r="J153" s="450">
        <f>ROUND(I153*H153,2)</f>
        <v>0</v>
      </c>
      <c r="K153" s="451"/>
      <c r="L153" s="364"/>
      <c r="M153" s="452" t="s">
        <v>171</v>
      </c>
      <c r="N153" s="415" t="s">
        <v>185</v>
      </c>
      <c r="O153" s="453">
        <v>0</v>
      </c>
      <c r="P153" s="453">
        <f>O153*H153</f>
        <v>0</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3003</v>
      </c>
    </row>
    <row r="154" spans="2:65" s="434" customFormat="1" ht="25.9" customHeight="1" x14ac:dyDescent="0.2">
      <c r="B154" s="433"/>
      <c r="D154" s="435" t="s">
        <v>216</v>
      </c>
      <c r="E154" s="436" t="s">
        <v>259</v>
      </c>
      <c r="F154" s="436" t="s">
        <v>1667</v>
      </c>
      <c r="I154" s="467"/>
      <c r="J154" s="437">
        <f>BK154</f>
        <v>0</v>
      </c>
      <c r="L154" s="433"/>
      <c r="M154" s="438"/>
      <c r="P154" s="439">
        <f>P155+P167+P182</f>
        <v>10851.376650000002</v>
      </c>
      <c r="R154" s="439">
        <f>R155+R167+R182</f>
        <v>68.204049999999995</v>
      </c>
      <c r="T154" s="440">
        <f>T155+T167+T182</f>
        <v>0</v>
      </c>
      <c r="AR154" s="435" t="s">
        <v>119</v>
      </c>
      <c r="AT154" s="441" t="s">
        <v>216</v>
      </c>
      <c r="AU154" s="441" t="s">
        <v>165</v>
      </c>
      <c r="AY154" s="435" t="s">
        <v>217</v>
      </c>
      <c r="BK154" s="442">
        <f>BK155+BK167+BK182</f>
        <v>0</v>
      </c>
    </row>
    <row r="155" spans="2:65" s="434" customFormat="1" ht="22.9" customHeight="1" x14ac:dyDescent="0.2">
      <c r="B155" s="433"/>
      <c r="D155" s="435" t="s">
        <v>216</v>
      </c>
      <c r="E155" s="443" t="s">
        <v>1668</v>
      </c>
      <c r="F155" s="443" t="s">
        <v>1669</v>
      </c>
      <c r="I155" s="467"/>
      <c r="J155" s="444">
        <f>BK155</f>
        <v>0</v>
      </c>
      <c r="L155" s="433"/>
      <c r="M155" s="438"/>
      <c r="P155" s="439">
        <f>SUM(P156:P166)</f>
        <v>10282.853500000001</v>
      </c>
      <c r="R155" s="439">
        <f>SUM(R156:R166)</f>
        <v>0.11300000000000002</v>
      </c>
      <c r="T155" s="440">
        <f>SUM(T156:T166)</f>
        <v>0</v>
      </c>
      <c r="AR155" s="435" t="s">
        <v>119</v>
      </c>
      <c r="AT155" s="441" t="s">
        <v>216</v>
      </c>
      <c r="AU155" s="441" t="s">
        <v>109</v>
      </c>
      <c r="AY155" s="435" t="s">
        <v>217</v>
      </c>
      <c r="BK155" s="442">
        <f>SUM(BK156:BK166)</f>
        <v>0</v>
      </c>
    </row>
    <row r="156" spans="2:65" s="365" customFormat="1" ht="24.2" customHeight="1" x14ac:dyDescent="0.25">
      <c r="B156" s="364"/>
      <c r="C156" s="445" t="s">
        <v>232</v>
      </c>
      <c r="D156" s="445" t="s">
        <v>218</v>
      </c>
      <c r="E156" s="446" t="s">
        <v>1885</v>
      </c>
      <c r="F156" s="447" t="s">
        <v>1886</v>
      </c>
      <c r="G156" s="448" t="s">
        <v>123</v>
      </c>
      <c r="H156" s="449">
        <v>1</v>
      </c>
      <c r="I156" s="329">
        <v>0</v>
      </c>
      <c r="J156" s="450">
        <f t="shared" ref="J156:J166" si="10">ROUND(I156*H156,2)</f>
        <v>0</v>
      </c>
      <c r="K156" s="451"/>
      <c r="L156" s="364"/>
      <c r="M156" s="452" t="s">
        <v>171</v>
      </c>
      <c r="N156" s="415" t="s">
        <v>185</v>
      </c>
      <c r="O156" s="453">
        <v>2.952</v>
      </c>
      <c r="P156" s="453">
        <f t="shared" ref="P156:P166" si="11">O156*H156</f>
        <v>2.952</v>
      </c>
      <c r="Q156" s="453">
        <v>0</v>
      </c>
      <c r="R156" s="453">
        <f t="shared" ref="R156:R166" si="12">Q156*H156</f>
        <v>0</v>
      </c>
      <c r="S156" s="453">
        <v>0</v>
      </c>
      <c r="T156" s="454">
        <f t="shared" ref="T156:T166" si="13">S156*H156</f>
        <v>0</v>
      </c>
      <c r="AR156" s="455" t="s">
        <v>625</v>
      </c>
      <c r="AT156" s="455" t="s">
        <v>218</v>
      </c>
      <c r="AU156" s="455" t="s">
        <v>108</v>
      </c>
      <c r="AY156" s="357" t="s">
        <v>217</v>
      </c>
      <c r="BE156" s="456">
        <f t="shared" ref="BE156:BE166" si="14">IF(N156="základná",J156,0)</f>
        <v>0</v>
      </c>
      <c r="BF156" s="456">
        <f t="shared" ref="BF156:BF166" si="15">IF(N156="znížená",J156,0)</f>
        <v>0</v>
      </c>
      <c r="BG156" s="456">
        <f t="shared" ref="BG156:BG166" si="16">IF(N156="zákl. prenesená",J156,0)</f>
        <v>0</v>
      </c>
      <c r="BH156" s="456">
        <f t="shared" ref="BH156:BH166" si="17">IF(N156="zníž. prenesená",J156,0)</f>
        <v>0</v>
      </c>
      <c r="BI156" s="456">
        <f t="shared" ref="BI156:BI166" si="18">IF(N156="nulová",J156,0)</f>
        <v>0</v>
      </c>
      <c r="BJ156" s="357" t="s">
        <v>108</v>
      </c>
      <c r="BK156" s="456">
        <f t="shared" ref="BK156:BK166" si="19">ROUND(I156*H156,2)</f>
        <v>0</v>
      </c>
      <c r="BL156" s="357" t="s">
        <v>625</v>
      </c>
      <c r="BM156" s="455" t="s">
        <v>1887</v>
      </c>
    </row>
    <row r="157" spans="2:65" s="365" customFormat="1" ht="24.2" customHeight="1" x14ac:dyDescent="0.25">
      <c r="B157" s="364"/>
      <c r="C157" s="445" t="s">
        <v>234</v>
      </c>
      <c r="D157" s="445" t="s">
        <v>218</v>
      </c>
      <c r="E157" s="446" t="s">
        <v>3004</v>
      </c>
      <c r="F157" s="447" t="s">
        <v>3005</v>
      </c>
      <c r="G157" s="448" t="s">
        <v>123</v>
      </c>
      <c r="H157" s="449">
        <v>1</v>
      </c>
      <c r="I157" s="329">
        <v>0</v>
      </c>
      <c r="J157" s="450">
        <f t="shared" si="10"/>
        <v>0</v>
      </c>
      <c r="K157" s="451"/>
      <c r="L157" s="364"/>
      <c r="M157" s="452" t="s">
        <v>171</v>
      </c>
      <c r="N157" s="415" t="s">
        <v>185</v>
      </c>
      <c r="O157" s="453">
        <v>3.4485000000000001</v>
      </c>
      <c r="P157" s="453">
        <f t="shared" si="11"/>
        <v>3.4485000000000001</v>
      </c>
      <c r="Q157" s="453">
        <v>0</v>
      </c>
      <c r="R157" s="453">
        <f t="shared" si="12"/>
        <v>0</v>
      </c>
      <c r="S157" s="453">
        <v>0</v>
      </c>
      <c r="T157" s="454">
        <f t="shared" si="13"/>
        <v>0</v>
      </c>
      <c r="AR157" s="455" t="s">
        <v>625</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625</v>
      </c>
      <c r="BM157" s="455" t="s">
        <v>3006</v>
      </c>
    </row>
    <row r="158" spans="2:65" s="365" customFormat="1" ht="24.2" customHeight="1" x14ac:dyDescent="0.25">
      <c r="B158" s="364"/>
      <c r="C158" s="445" t="s">
        <v>235</v>
      </c>
      <c r="D158" s="445" t="s">
        <v>218</v>
      </c>
      <c r="E158" s="446" t="s">
        <v>1740</v>
      </c>
      <c r="F158" s="447" t="s">
        <v>1741</v>
      </c>
      <c r="G158" s="448" t="s">
        <v>113</v>
      </c>
      <c r="H158" s="449">
        <v>1340</v>
      </c>
      <c r="I158" s="329">
        <v>0</v>
      </c>
      <c r="J158" s="450">
        <f t="shared" si="10"/>
        <v>0</v>
      </c>
      <c r="K158" s="451"/>
      <c r="L158" s="364"/>
      <c r="M158" s="452" t="s">
        <v>171</v>
      </c>
      <c r="N158" s="415" t="s">
        <v>185</v>
      </c>
      <c r="O158" s="453">
        <v>1.4999999999999999E-2</v>
      </c>
      <c r="P158" s="453">
        <f t="shared" si="11"/>
        <v>20.099999999999998</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1742</v>
      </c>
    </row>
    <row r="159" spans="2:65" s="365" customFormat="1" ht="24.2" customHeight="1" x14ac:dyDescent="0.25">
      <c r="B159" s="364"/>
      <c r="C159" s="445" t="s">
        <v>236</v>
      </c>
      <c r="D159" s="445" t="s">
        <v>218</v>
      </c>
      <c r="E159" s="446" t="s">
        <v>1743</v>
      </c>
      <c r="F159" s="447" t="s">
        <v>1744</v>
      </c>
      <c r="G159" s="448" t="s">
        <v>113</v>
      </c>
      <c r="H159" s="449">
        <v>1380</v>
      </c>
      <c r="I159" s="329">
        <v>0</v>
      </c>
      <c r="J159" s="450">
        <f t="shared" si="10"/>
        <v>0</v>
      </c>
      <c r="K159" s="451"/>
      <c r="L159" s="364"/>
      <c r="M159" s="452" t="s">
        <v>171</v>
      </c>
      <c r="N159" s="415" t="s">
        <v>185</v>
      </c>
      <c r="O159" s="453">
        <v>1.7000000000000001E-2</v>
      </c>
      <c r="P159" s="453">
        <f t="shared" si="11"/>
        <v>23.46</v>
      </c>
      <c r="Q159" s="453">
        <v>0</v>
      </c>
      <c r="R159" s="453">
        <f t="shared" si="12"/>
        <v>0</v>
      </c>
      <c r="S159" s="453">
        <v>0</v>
      </c>
      <c r="T159" s="454">
        <f t="shared" si="13"/>
        <v>0</v>
      </c>
      <c r="AR159" s="455" t="s">
        <v>625</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625</v>
      </c>
      <c r="BM159" s="455" t="s">
        <v>1745</v>
      </c>
    </row>
    <row r="160" spans="2:65" s="365" customFormat="1" ht="16.5" customHeight="1" x14ac:dyDescent="0.25">
      <c r="B160" s="364"/>
      <c r="C160" s="457" t="s">
        <v>237</v>
      </c>
      <c r="D160" s="457" t="s">
        <v>259</v>
      </c>
      <c r="E160" s="458" t="s">
        <v>1888</v>
      </c>
      <c r="F160" s="459" t="s">
        <v>1889</v>
      </c>
      <c r="G160" s="460" t="s">
        <v>113</v>
      </c>
      <c r="H160" s="461">
        <v>1380</v>
      </c>
      <c r="I160" s="330">
        <v>0</v>
      </c>
      <c r="J160" s="462">
        <f t="shared" si="10"/>
        <v>0</v>
      </c>
      <c r="K160" s="463"/>
      <c r="L160" s="464"/>
      <c r="M160" s="465" t="s">
        <v>171</v>
      </c>
      <c r="N160" s="466" t="s">
        <v>185</v>
      </c>
      <c r="O160" s="453">
        <v>0</v>
      </c>
      <c r="P160" s="453">
        <f t="shared" si="11"/>
        <v>0</v>
      </c>
      <c r="Q160" s="453">
        <v>8.0000000000000007E-5</v>
      </c>
      <c r="R160" s="453">
        <f t="shared" si="12"/>
        <v>0.11040000000000001</v>
      </c>
      <c r="S160" s="453">
        <v>0</v>
      </c>
      <c r="T160" s="454">
        <f t="shared" si="13"/>
        <v>0</v>
      </c>
      <c r="AR160" s="455" t="s">
        <v>1631</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1631</v>
      </c>
      <c r="BM160" s="455" t="s">
        <v>1751</v>
      </c>
    </row>
    <row r="161" spans="2:65" s="365" customFormat="1" ht="24.2" customHeight="1" x14ac:dyDescent="0.25">
      <c r="B161" s="364"/>
      <c r="C161" s="445" t="s">
        <v>238</v>
      </c>
      <c r="D161" s="445" t="s">
        <v>218</v>
      </c>
      <c r="E161" s="446" t="s">
        <v>1890</v>
      </c>
      <c r="F161" s="447" t="s">
        <v>1891</v>
      </c>
      <c r="G161" s="448" t="s">
        <v>123</v>
      </c>
      <c r="H161" s="449">
        <v>1</v>
      </c>
      <c r="I161" s="329">
        <v>0</v>
      </c>
      <c r="J161" s="450">
        <f t="shared" si="10"/>
        <v>0</v>
      </c>
      <c r="K161" s="451"/>
      <c r="L161" s="364"/>
      <c r="M161" s="452" t="s">
        <v>171</v>
      </c>
      <c r="N161" s="415" t="s">
        <v>185</v>
      </c>
      <c r="O161" s="453">
        <v>2.302</v>
      </c>
      <c r="P161" s="453">
        <f t="shared" si="11"/>
        <v>2.302</v>
      </c>
      <c r="Q161" s="453">
        <v>0</v>
      </c>
      <c r="R161" s="453">
        <f t="shared" si="12"/>
        <v>0</v>
      </c>
      <c r="S161" s="453">
        <v>0</v>
      </c>
      <c r="T161" s="454">
        <f t="shared" si="13"/>
        <v>0</v>
      </c>
      <c r="AR161" s="455" t="s">
        <v>625</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625</v>
      </c>
      <c r="BM161" s="455" t="s">
        <v>1892</v>
      </c>
    </row>
    <row r="162" spans="2:65" s="365" customFormat="1" ht="16.5" customHeight="1" x14ac:dyDescent="0.25">
      <c r="B162" s="364"/>
      <c r="C162" s="457" t="s">
        <v>239</v>
      </c>
      <c r="D162" s="457" t="s">
        <v>259</v>
      </c>
      <c r="E162" s="458" t="s">
        <v>1893</v>
      </c>
      <c r="F162" s="459" t="s">
        <v>1894</v>
      </c>
      <c r="G162" s="460" t="s">
        <v>123</v>
      </c>
      <c r="H162" s="461">
        <v>2</v>
      </c>
      <c r="I162" s="330">
        <v>0</v>
      </c>
      <c r="J162" s="462">
        <f t="shared" si="10"/>
        <v>0</v>
      </c>
      <c r="K162" s="463"/>
      <c r="L162" s="464"/>
      <c r="M162" s="465" t="s">
        <v>171</v>
      </c>
      <c r="N162" s="466" t="s">
        <v>185</v>
      </c>
      <c r="O162" s="453">
        <v>0</v>
      </c>
      <c r="P162" s="453">
        <f t="shared" si="11"/>
        <v>0</v>
      </c>
      <c r="Q162" s="453">
        <v>1.2999999999999999E-3</v>
      </c>
      <c r="R162" s="453">
        <f t="shared" si="12"/>
        <v>2.5999999999999999E-3</v>
      </c>
      <c r="S162" s="453">
        <v>0</v>
      </c>
      <c r="T162" s="454">
        <f t="shared" si="13"/>
        <v>0</v>
      </c>
      <c r="AR162" s="455" t="s">
        <v>115</v>
      </c>
      <c r="AT162" s="455" t="s">
        <v>259</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1895</v>
      </c>
    </row>
    <row r="163" spans="2:65" s="365" customFormat="1" ht="24.2" customHeight="1" x14ac:dyDescent="0.25">
      <c r="B163" s="364"/>
      <c r="C163" s="445" t="s">
        <v>240</v>
      </c>
      <c r="D163" s="445" t="s">
        <v>218</v>
      </c>
      <c r="E163" s="446" t="s">
        <v>1896</v>
      </c>
      <c r="F163" s="447" t="s">
        <v>1897</v>
      </c>
      <c r="G163" s="448" t="s">
        <v>123</v>
      </c>
      <c r="H163" s="449">
        <v>1</v>
      </c>
      <c r="I163" s="329">
        <v>0</v>
      </c>
      <c r="J163" s="450">
        <f t="shared" si="10"/>
        <v>0</v>
      </c>
      <c r="K163" s="451"/>
      <c r="L163" s="364"/>
      <c r="M163" s="452" t="s">
        <v>171</v>
      </c>
      <c r="N163" s="415" t="s">
        <v>185</v>
      </c>
      <c r="O163" s="453">
        <v>5.9039999999999999</v>
      </c>
      <c r="P163" s="453">
        <f t="shared" si="11"/>
        <v>5.9039999999999999</v>
      </c>
      <c r="Q163" s="453">
        <v>0</v>
      </c>
      <c r="R163" s="453">
        <f t="shared" si="12"/>
        <v>0</v>
      </c>
      <c r="S163" s="453">
        <v>0</v>
      </c>
      <c r="T163" s="454">
        <f t="shared" si="13"/>
        <v>0</v>
      </c>
      <c r="AR163" s="455" t="s">
        <v>625</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625</v>
      </c>
      <c r="BM163" s="455" t="s">
        <v>1898</v>
      </c>
    </row>
    <row r="164" spans="2:65" s="365" customFormat="1" ht="24.2" customHeight="1" x14ac:dyDescent="0.25">
      <c r="B164" s="364"/>
      <c r="C164" s="445" t="s">
        <v>241</v>
      </c>
      <c r="D164" s="445" t="s">
        <v>218</v>
      </c>
      <c r="E164" s="446" t="s">
        <v>3007</v>
      </c>
      <c r="F164" s="447" t="s">
        <v>3008</v>
      </c>
      <c r="G164" s="448" t="s">
        <v>123</v>
      </c>
      <c r="H164" s="449">
        <v>1</v>
      </c>
      <c r="I164" s="329">
        <v>0</v>
      </c>
      <c r="J164" s="450">
        <f t="shared" si="10"/>
        <v>0</v>
      </c>
      <c r="K164" s="451"/>
      <c r="L164" s="364"/>
      <c r="M164" s="452" t="s">
        <v>171</v>
      </c>
      <c r="N164" s="415" t="s">
        <v>185</v>
      </c>
      <c r="O164" s="453">
        <v>6.8970000000000002</v>
      </c>
      <c r="P164" s="453">
        <f t="shared" si="11"/>
        <v>6.8970000000000002</v>
      </c>
      <c r="Q164" s="453">
        <v>0</v>
      </c>
      <c r="R164" s="453">
        <f t="shared" si="12"/>
        <v>0</v>
      </c>
      <c r="S164" s="453">
        <v>0</v>
      </c>
      <c r="T164" s="454">
        <f t="shared" si="13"/>
        <v>0</v>
      </c>
      <c r="AR164" s="455" t="s">
        <v>625</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625</v>
      </c>
      <c r="BM164" s="455" t="s">
        <v>3009</v>
      </c>
    </row>
    <row r="165" spans="2:65" s="365" customFormat="1" ht="21.75" customHeight="1" x14ac:dyDescent="0.25">
      <c r="B165" s="364"/>
      <c r="C165" s="445" t="s">
        <v>242</v>
      </c>
      <c r="D165" s="445" t="s">
        <v>218</v>
      </c>
      <c r="E165" s="446" t="s">
        <v>1761</v>
      </c>
      <c r="F165" s="447" t="s">
        <v>1762</v>
      </c>
      <c r="G165" s="448" t="s">
        <v>123</v>
      </c>
      <c r="H165" s="449">
        <v>298</v>
      </c>
      <c r="I165" s="329">
        <v>0</v>
      </c>
      <c r="J165" s="450">
        <f t="shared" si="10"/>
        <v>0</v>
      </c>
      <c r="K165" s="451"/>
      <c r="L165" s="364"/>
      <c r="M165" s="452" t="s">
        <v>171</v>
      </c>
      <c r="N165" s="415" t="s">
        <v>185</v>
      </c>
      <c r="O165" s="453">
        <v>0.375</v>
      </c>
      <c r="P165" s="453">
        <f t="shared" si="11"/>
        <v>111.75</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1763</v>
      </c>
    </row>
    <row r="166" spans="2:65" s="365" customFormat="1" ht="24.2" customHeight="1" x14ac:dyDescent="0.25">
      <c r="B166" s="364"/>
      <c r="C166" s="445" t="s">
        <v>243</v>
      </c>
      <c r="D166" s="445" t="s">
        <v>218</v>
      </c>
      <c r="E166" s="446" t="s">
        <v>1899</v>
      </c>
      <c r="F166" s="447" t="s">
        <v>1900</v>
      </c>
      <c r="G166" s="448" t="s">
        <v>123</v>
      </c>
      <c r="H166" s="449">
        <v>212</v>
      </c>
      <c r="I166" s="329">
        <v>0</v>
      </c>
      <c r="J166" s="450">
        <f t="shared" si="10"/>
        <v>0</v>
      </c>
      <c r="K166" s="451"/>
      <c r="L166" s="364"/>
      <c r="M166" s="452" t="s">
        <v>171</v>
      </c>
      <c r="N166" s="415" t="s">
        <v>185</v>
      </c>
      <c r="O166" s="453">
        <v>47.67</v>
      </c>
      <c r="P166" s="453">
        <f t="shared" si="11"/>
        <v>10106.040000000001</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1901</v>
      </c>
    </row>
    <row r="167" spans="2:65" s="434" customFormat="1" ht="22.9" customHeight="1" x14ac:dyDescent="0.2">
      <c r="B167" s="433"/>
      <c r="D167" s="435" t="s">
        <v>216</v>
      </c>
      <c r="E167" s="443" t="s">
        <v>1770</v>
      </c>
      <c r="F167" s="443" t="s">
        <v>1771</v>
      </c>
      <c r="I167" s="467"/>
      <c r="J167" s="444">
        <f>BK167</f>
        <v>0</v>
      </c>
      <c r="L167" s="433"/>
      <c r="M167" s="438"/>
      <c r="P167" s="439">
        <f>SUM(P168:P181)</f>
        <v>568.52314999999999</v>
      </c>
      <c r="R167" s="439">
        <f>SUM(R168:R181)</f>
        <v>68.091049999999996</v>
      </c>
      <c r="T167" s="440">
        <f>SUM(T168:T181)</f>
        <v>0</v>
      </c>
      <c r="AR167" s="435" t="s">
        <v>119</v>
      </c>
      <c r="AT167" s="441" t="s">
        <v>216</v>
      </c>
      <c r="AU167" s="441" t="s">
        <v>109</v>
      </c>
      <c r="AY167" s="435" t="s">
        <v>217</v>
      </c>
      <c r="BK167" s="442">
        <f>SUM(BK168:BK181)</f>
        <v>0</v>
      </c>
    </row>
    <row r="168" spans="2:65" s="365" customFormat="1" ht="24.2" customHeight="1" x14ac:dyDescent="0.25">
      <c r="B168" s="364"/>
      <c r="C168" s="445" t="s">
        <v>244</v>
      </c>
      <c r="D168" s="445" t="s">
        <v>218</v>
      </c>
      <c r="E168" s="446" t="s">
        <v>1772</v>
      </c>
      <c r="F168" s="447" t="s">
        <v>1773</v>
      </c>
      <c r="G168" s="448" t="s">
        <v>113</v>
      </c>
      <c r="H168" s="449">
        <v>590</v>
      </c>
      <c r="I168" s="329">
        <v>0</v>
      </c>
      <c r="J168" s="450">
        <f t="shared" ref="J168:J181" si="20">ROUND(I168*H168,2)</f>
        <v>0</v>
      </c>
      <c r="K168" s="451"/>
      <c r="L168" s="364"/>
      <c r="M168" s="452" t="s">
        <v>171</v>
      </c>
      <c r="N168" s="415" t="s">
        <v>185</v>
      </c>
      <c r="O168" s="453">
        <v>0.38740000000000002</v>
      </c>
      <c r="P168" s="453">
        <f t="shared" ref="P168:P181" si="21">O168*H168</f>
        <v>228.566</v>
      </c>
      <c r="Q168" s="453">
        <v>0</v>
      </c>
      <c r="R168" s="453">
        <f t="shared" ref="R168:R181" si="22">Q168*H168</f>
        <v>0</v>
      </c>
      <c r="S168" s="453">
        <v>0</v>
      </c>
      <c r="T168" s="454">
        <f t="shared" ref="T168:T181" si="23">S168*H168</f>
        <v>0</v>
      </c>
      <c r="AR168" s="455" t="s">
        <v>625</v>
      </c>
      <c r="AT168" s="455" t="s">
        <v>218</v>
      </c>
      <c r="AU168" s="455" t="s">
        <v>108</v>
      </c>
      <c r="AY168" s="357" t="s">
        <v>217</v>
      </c>
      <c r="BE168" s="456">
        <f t="shared" ref="BE168:BE181" si="24">IF(N168="základná",J168,0)</f>
        <v>0</v>
      </c>
      <c r="BF168" s="456">
        <f t="shared" ref="BF168:BF181" si="25">IF(N168="znížená",J168,0)</f>
        <v>0</v>
      </c>
      <c r="BG168" s="456">
        <f t="shared" ref="BG168:BG181" si="26">IF(N168="zákl. prenesená",J168,0)</f>
        <v>0</v>
      </c>
      <c r="BH168" s="456">
        <f t="shared" ref="BH168:BH181" si="27">IF(N168="zníž. prenesená",J168,0)</f>
        <v>0</v>
      </c>
      <c r="BI168" s="456">
        <f t="shared" ref="BI168:BI181" si="28">IF(N168="nulová",J168,0)</f>
        <v>0</v>
      </c>
      <c r="BJ168" s="357" t="s">
        <v>108</v>
      </c>
      <c r="BK168" s="456">
        <f t="shared" ref="BK168:BK181" si="29">ROUND(I168*H168,2)</f>
        <v>0</v>
      </c>
      <c r="BL168" s="357" t="s">
        <v>625</v>
      </c>
      <c r="BM168" s="455" t="s">
        <v>1774</v>
      </c>
    </row>
    <row r="169" spans="2:65" s="365" customFormat="1" ht="24.2" customHeight="1" x14ac:dyDescent="0.25">
      <c r="B169" s="364"/>
      <c r="C169" s="445" t="s">
        <v>245</v>
      </c>
      <c r="D169" s="445" t="s">
        <v>218</v>
      </c>
      <c r="E169" s="446" t="s">
        <v>1787</v>
      </c>
      <c r="F169" s="447" t="s">
        <v>1788</v>
      </c>
      <c r="G169" s="448" t="s">
        <v>114</v>
      </c>
      <c r="H169" s="449">
        <v>4.5</v>
      </c>
      <c r="I169" s="329">
        <v>0</v>
      </c>
      <c r="J169" s="450">
        <f t="shared" si="20"/>
        <v>0</v>
      </c>
      <c r="K169" s="451"/>
      <c r="L169" s="364"/>
      <c r="M169" s="452" t="s">
        <v>171</v>
      </c>
      <c r="N169" s="415" t="s">
        <v>185</v>
      </c>
      <c r="O169" s="453">
        <v>2.9211</v>
      </c>
      <c r="P169" s="453">
        <f t="shared" si="21"/>
        <v>13.14495</v>
      </c>
      <c r="Q169" s="453">
        <v>0</v>
      </c>
      <c r="R169" s="453">
        <f t="shared" si="22"/>
        <v>0</v>
      </c>
      <c r="S169" s="453">
        <v>0</v>
      </c>
      <c r="T169" s="454">
        <f t="shared" si="23"/>
        <v>0</v>
      </c>
      <c r="AR169" s="455" t="s">
        <v>625</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625</v>
      </c>
      <c r="BM169" s="455" t="s">
        <v>1789</v>
      </c>
    </row>
    <row r="170" spans="2:65" s="365" customFormat="1" ht="24.2" customHeight="1" x14ac:dyDescent="0.25">
      <c r="B170" s="364"/>
      <c r="C170" s="445" t="s">
        <v>246</v>
      </c>
      <c r="D170" s="445" t="s">
        <v>218</v>
      </c>
      <c r="E170" s="446" t="s">
        <v>1800</v>
      </c>
      <c r="F170" s="447" t="s">
        <v>1801</v>
      </c>
      <c r="G170" s="448" t="s">
        <v>113</v>
      </c>
      <c r="H170" s="449">
        <v>590</v>
      </c>
      <c r="I170" s="329">
        <v>0</v>
      </c>
      <c r="J170" s="450">
        <f t="shared" si="20"/>
        <v>0</v>
      </c>
      <c r="K170" s="451"/>
      <c r="L170" s="364"/>
      <c r="M170" s="452" t="s">
        <v>171</v>
      </c>
      <c r="N170" s="415" t="s">
        <v>185</v>
      </c>
      <c r="O170" s="453">
        <v>0.25219999999999998</v>
      </c>
      <c r="P170" s="453">
        <f t="shared" si="21"/>
        <v>148.798</v>
      </c>
      <c r="Q170" s="453">
        <v>0</v>
      </c>
      <c r="R170" s="453">
        <f t="shared" si="22"/>
        <v>0</v>
      </c>
      <c r="S170" s="453">
        <v>0</v>
      </c>
      <c r="T170" s="454">
        <f t="shared" si="23"/>
        <v>0</v>
      </c>
      <c r="AR170" s="455" t="s">
        <v>625</v>
      </c>
      <c r="AT170" s="455" t="s">
        <v>218</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625</v>
      </c>
      <c r="BM170" s="455" t="s">
        <v>3010</v>
      </c>
    </row>
    <row r="171" spans="2:65" s="365" customFormat="1" ht="24.2" customHeight="1" x14ac:dyDescent="0.25">
      <c r="B171" s="364"/>
      <c r="C171" s="900">
        <v>45</v>
      </c>
      <c r="D171" s="900" t="s">
        <v>218</v>
      </c>
      <c r="E171" s="901" t="s">
        <v>2988</v>
      </c>
      <c r="F171" s="902" t="s">
        <v>2989</v>
      </c>
      <c r="G171" s="903" t="s">
        <v>113</v>
      </c>
      <c r="H171" s="904">
        <v>590</v>
      </c>
      <c r="I171" s="329">
        <v>0</v>
      </c>
      <c r="J171" s="450">
        <f t="shared" si="20"/>
        <v>0</v>
      </c>
      <c r="K171" s="451"/>
      <c r="L171" s="364"/>
      <c r="M171" s="452"/>
      <c r="N171" s="415"/>
      <c r="O171" s="453"/>
      <c r="P171" s="453"/>
      <c r="Q171" s="453"/>
      <c r="R171" s="453"/>
      <c r="S171" s="453"/>
      <c r="T171" s="454"/>
      <c r="AR171" s="455"/>
      <c r="AT171" s="455"/>
      <c r="AU171" s="455"/>
      <c r="AY171" s="357"/>
      <c r="BE171" s="456"/>
      <c r="BF171" s="456"/>
      <c r="BG171" s="456"/>
      <c r="BH171" s="456"/>
      <c r="BI171" s="456"/>
      <c r="BJ171" s="357"/>
      <c r="BK171" s="456">
        <f t="shared" si="29"/>
        <v>0</v>
      </c>
      <c r="BL171" s="357"/>
      <c r="BM171" s="455"/>
    </row>
    <row r="172" spans="2:65" s="365" customFormat="1" ht="37.9" customHeight="1" x14ac:dyDescent="0.25">
      <c r="B172" s="364"/>
      <c r="C172" s="457" t="s">
        <v>247</v>
      </c>
      <c r="D172" s="457" t="s">
        <v>259</v>
      </c>
      <c r="E172" s="458" t="s">
        <v>1803</v>
      </c>
      <c r="F172" s="459" t="s">
        <v>1804</v>
      </c>
      <c r="G172" s="460" t="s">
        <v>123</v>
      </c>
      <c r="H172" s="461">
        <v>590</v>
      </c>
      <c r="I172" s="330">
        <v>0</v>
      </c>
      <c r="J172" s="462">
        <f t="shared" si="20"/>
        <v>0</v>
      </c>
      <c r="K172" s="463"/>
      <c r="L172" s="464"/>
      <c r="M172" s="465" t="s">
        <v>171</v>
      </c>
      <c r="N172" s="466" t="s">
        <v>185</v>
      </c>
      <c r="O172" s="453">
        <v>0</v>
      </c>
      <c r="P172" s="453">
        <f t="shared" si="21"/>
        <v>0</v>
      </c>
      <c r="Q172" s="453">
        <v>2.8000000000000001E-2</v>
      </c>
      <c r="R172" s="453">
        <f t="shared" si="22"/>
        <v>16.52</v>
      </c>
      <c r="S172" s="453">
        <v>0</v>
      </c>
      <c r="T172" s="454">
        <f t="shared" si="23"/>
        <v>0</v>
      </c>
      <c r="AR172" s="455" t="s">
        <v>1631</v>
      </c>
      <c r="AT172" s="455" t="s">
        <v>259</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1631</v>
      </c>
      <c r="BM172" s="455" t="s">
        <v>3011</v>
      </c>
    </row>
    <row r="173" spans="2:65" s="365" customFormat="1" ht="21.75" customHeight="1" x14ac:dyDescent="0.25">
      <c r="B173" s="364"/>
      <c r="C173" s="457" t="s">
        <v>248</v>
      </c>
      <c r="D173" s="457" t="s">
        <v>259</v>
      </c>
      <c r="E173" s="458" t="s">
        <v>1806</v>
      </c>
      <c r="F173" s="459" t="s">
        <v>1807</v>
      </c>
      <c r="G173" s="460" t="s">
        <v>123</v>
      </c>
      <c r="H173" s="461">
        <v>1180</v>
      </c>
      <c r="I173" s="330">
        <v>0</v>
      </c>
      <c r="J173" s="462">
        <f t="shared" si="20"/>
        <v>0</v>
      </c>
      <c r="K173" s="463"/>
      <c r="L173" s="464"/>
      <c r="M173" s="465" t="s">
        <v>171</v>
      </c>
      <c r="N173" s="466" t="s">
        <v>185</v>
      </c>
      <c r="O173" s="453">
        <v>0</v>
      </c>
      <c r="P173" s="453">
        <f t="shared" si="21"/>
        <v>0</v>
      </c>
      <c r="Q173" s="453">
        <v>6.0000000000000001E-3</v>
      </c>
      <c r="R173" s="453">
        <f t="shared" si="22"/>
        <v>7.08</v>
      </c>
      <c r="S173" s="453">
        <v>0</v>
      </c>
      <c r="T173" s="454">
        <f t="shared" si="23"/>
        <v>0</v>
      </c>
      <c r="AR173" s="455" t="s">
        <v>1631</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1631</v>
      </c>
      <c r="BM173" s="455" t="s">
        <v>3012</v>
      </c>
    </row>
    <row r="174" spans="2:65" s="365" customFormat="1" ht="33" customHeight="1" x14ac:dyDescent="0.25">
      <c r="B174" s="364"/>
      <c r="C174" s="445" t="s">
        <v>249</v>
      </c>
      <c r="D174" s="445" t="s">
        <v>218</v>
      </c>
      <c r="E174" s="446" t="s">
        <v>1809</v>
      </c>
      <c r="F174" s="447" t="s">
        <v>1810</v>
      </c>
      <c r="G174" s="448" t="s">
        <v>113</v>
      </c>
      <c r="H174" s="449">
        <v>295</v>
      </c>
      <c r="I174" s="329">
        <v>0</v>
      </c>
      <c r="J174" s="450">
        <f t="shared" si="20"/>
        <v>0</v>
      </c>
      <c r="K174" s="451"/>
      <c r="L174" s="364"/>
      <c r="M174" s="452" t="s">
        <v>171</v>
      </c>
      <c r="N174" s="415" t="s">
        <v>185</v>
      </c>
      <c r="O174" s="453">
        <v>0.12870000000000001</v>
      </c>
      <c r="P174" s="453">
        <f t="shared" si="21"/>
        <v>37.966500000000003</v>
      </c>
      <c r="Q174" s="453">
        <v>0</v>
      </c>
      <c r="R174" s="453">
        <f t="shared" si="22"/>
        <v>0</v>
      </c>
      <c r="S174" s="453">
        <v>0</v>
      </c>
      <c r="T174" s="454">
        <f t="shared" si="23"/>
        <v>0</v>
      </c>
      <c r="AR174" s="455" t="s">
        <v>625</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625</v>
      </c>
      <c r="BM174" s="455" t="s">
        <v>3013</v>
      </c>
    </row>
    <row r="175" spans="2:65" s="365" customFormat="1" ht="24.2" customHeight="1" x14ac:dyDescent="0.25">
      <c r="B175" s="364"/>
      <c r="C175" s="457" t="s">
        <v>250</v>
      </c>
      <c r="D175" s="457" t="s">
        <v>259</v>
      </c>
      <c r="E175" s="458" t="s">
        <v>1812</v>
      </c>
      <c r="F175" s="459" t="s">
        <v>1813</v>
      </c>
      <c r="G175" s="460" t="s">
        <v>112</v>
      </c>
      <c r="H175" s="906">
        <v>44.25</v>
      </c>
      <c r="I175" s="330">
        <v>0</v>
      </c>
      <c r="J175" s="462">
        <f t="shared" si="20"/>
        <v>0</v>
      </c>
      <c r="K175" s="463"/>
      <c r="L175" s="464"/>
      <c r="M175" s="465" t="s">
        <v>171</v>
      </c>
      <c r="N175" s="466" t="s">
        <v>185</v>
      </c>
      <c r="O175" s="453">
        <v>0</v>
      </c>
      <c r="P175" s="453">
        <f t="shared" si="21"/>
        <v>0</v>
      </c>
      <c r="Q175" s="453">
        <v>1</v>
      </c>
      <c r="R175" s="453">
        <f t="shared" si="22"/>
        <v>44.25</v>
      </c>
      <c r="S175" s="453">
        <v>0</v>
      </c>
      <c r="T175" s="454">
        <f t="shared" si="23"/>
        <v>0</v>
      </c>
      <c r="AR175" s="455" t="s">
        <v>1631</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1631</v>
      </c>
      <c r="BM175" s="455" t="s">
        <v>3014</v>
      </c>
    </row>
    <row r="176" spans="2:65" s="365" customFormat="1" ht="24.2" customHeight="1" x14ac:dyDescent="0.25">
      <c r="B176" s="364"/>
      <c r="C176" s="457" t="s">
        <v>251</v>
      </c>
      <c r="D176" s="457" t="s">
        <v>259</v>
      </c>
      <c r="E176" s="458" t="s">
        <v>1815</v>
      </c>
      <c r="F176" s="459" t="s">
        <v>1816</v>
      </c>
      <c r="G176" s="460" t="s">
        <v>113</v>
      </c>
      <c r="H176" s="461">
        <v>295</v>
      </c>
      <c r="I176" s="330">
        <v>0</v>
      </c>
      <c r="J176" s="462">
        <f t="shared" si="20"/>
        <v>0</v>
      </c>
      <c r="K176" s="463"/>
      <c r="L176" s="464"/>
      <c r="M176" s="465" t="s">
        <v>171</v>
      </c>
      <c r="N176" s="466" t="s">
        <v>185</v>
      </c>
      <c r="O176" s="453">
        <v>0</v>
      </c>
      <c r="P176" s="453">
        <f t="shared" si="21"/>
        <v>0</v>
      </c>
      <c r="Q176" s="453">
        <v>3.8999999999999999E-4</v>
      </c>
      <c r="R176" s="453">
        <f t="shared" si="22"/>
        <v>0.11505</v>
      </c>
      <c r="S176" s="453">
        <v>0</v>
      </c>
      <c r="T176" s="454">
        <f t="shared" si="23"/>
        <v>0</v>
      </c>
      <c r="AR176" s="455" t="s">
        <v>1631</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1631</v>
      </c>
      <c r="BM176" s="455" t="s">
        <v>3015</v>
      </c>
    </row>
    <row r="177" spans="2:65" s="365" customFormat="1" ht="24.2" customHeight="1" x14ac:dyDescent="0.25">
      <c r="B177" s="364"/>
      <c r="C177" s="445" t="s">
        <v>252</v>
      </c>
      <c r="D177" s="445" t="s">
        <v>218</v>
      </c>
      <c r="E177" s="446" t="s">
        <v>1818</v>
      </c>
      <c r="F177" s="447" t="s">
        <v>1819</v>
      </c>
      <c r="G177" s="448" t="s">
        <v>113</v>
      </c>
      <c r="H177" s="449">
        <v>600</v>
      </c>
      <c r="I177" s="329">
        <v>0</v>
      </c>
      <c r="J177" s="450">
        <f t="shared" si="20"/>
        <v>0</v>
      </c>
      <c r="K177" s="451"/>
      <c r="L177" s="364"/>
      <c r="M177" s="452" t="s">
        <v>171</v>
      </c>
      <c r="N177" s="415" t="s">
        <v>185</v>
      </c>
      <c r="O177" s="453">
        <v>3.2500000000000001E-2</v>
      </c>
      <c r="P177" s="453">
        <f t="shared" si="21"/>
        <v>19.5</v>
      </c>
      <c r="Q177" s="453">
        <v>0</v>
      </c>
      <c r="R177" s="453">
        <f t="shared" si="22"/>
        <v>0</v>
      </c>
      <c r="S177" s="453">
        <v>0</v>
      </c>
      <c r="T177" s="454">
        <f t="shared" si="23"/>
        <v>0</v>
      </c>
      <c r="AR177" s="455" t="s">
        <v>625</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625</v>
      </c>
      <c r="BM177" s="455" t="s">
        <v>1820</v>
      </c>
    </row>
    <row r="178" spans="2:65" s="365" customFormat="1" ht="16.5" customHeight="1" x14ac:dyDescent="0.25">
      <c r="B178" s="364"/>
      <c r="C178" s="457" t="s">
        <v>253</v>
      </c>
      <c r="D178" s="457" t="s">
        <v>259</v>
      </c>
      <c r="E178" s="458" t="s">
        <v>1821</v>
      </c>
      <c r="F178" s="459" t="s">
        <v>1822</v>
      </c>
      <c r="G178" s="460" t="s">
        <v>113</v>
      </c>
      <c r="H178" s="461">
        <v>600</v>
      </c>
      <c r="I178" s="330">
        <v>0</v>
      </c>
      <c r="J178" s="462">
        <f t="shared" si="20"/>
        <v>0</v>
      </c>
      <c r="K178" s="463"/>
      <c r="L178" s="464"/>
      <c r="M178" s="465" t="s">
        <v>171</v>
      </c>
      <c r="N178" s="466" t="s">
        <v>185</v>
      </c>
      <c r="O178" s="453">
        <v>0</v>
      </c>
      <c r="P178" s="453">
        <f t="shared" si="21"/>
        <v>0</v>
      </c>
      <c r="Q178" s="453">
        <v>2.1000000000000001E-4</v>
      </c>
      <c r="R178" s="453">
        <f t="shared" si="22"/>
        <v>0.126</v>
      </c>
      <c r="S178" s="453">
        <v>0</v>
      </c>
      <c r="T178" s="454">
        <f t="shared" si="23"/>
        <v>0</v>
      </c>
      <c r="AR178" s="455" t="s">
        <v>1631</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1631</v>
      </c>
      <c r="BM178" s="455" t="s">
        <v>1823</v>
      </c>
    </row>
    <row r="179" spans="2:65" s="365" customFormat="1" ht="24.2" customHeight="1" x14ac:dyDescent="0.25">
      <c r="B179" s="364"/>
      <c r="C179" s="445" t="s">
        <v>254</v>
      </c>
      <c r="D179" s="445" t="s">
        <v>218</v>
      </c>
      <c r="E179" s="446" t="s">
        <v>1824</v>
      </c>
      <c r="F179" s="447" t="s">
        <v>1825</v>
      </c>
      <c r="G179" s="448" t="s">
        <v>114</v>
      </c>
      <c r="H179" s="449">
        <v>4.5</v>
      </c>
      <c r="I179" s="329">
        <v>0</v>
      </c>
      <c r="J179" s="450">
        <f t="shared" si="20"/>
        <v>0</v>
      </c>
      <c r="K179" s="451"/>
      <c r="L179" s="364"/>
      <c r="M179" s="452" t="s">
        <v>171</v>
      </c>
      <c r="N179" s="415" t="s">
        <v>185</v>
      </c>
      <c r="O179" s="453">
        <v>0.79559999999999997</v>
      </c>
      <c r="P179" s="453">
        <f t="shared" si="21"/>
        <v>3.5802</v>
      </c>
      <c r="Q179" s="453">
        <v>0</v>
      </c>
      <c r="R179" s="453">
        <f t="shared" si="22"/>
        <v>0</v>
      </c>
      <c r="S179" s="453">
        <v>0</v>
      </c>
      <c r="T179" s="454">
        <f t="shared" si="23"/>
        <v>0</v>
      </c>
      <c r="AR179" s="455" t="s">
        <v>625</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625</v>
      </c>
      <c r="BM179" s="455" t="s">
        <v>1826</v>
      </c>
    </row>
    <row r="180" spans="2:65" s="365" customFormat="1" ht="33" customHeight="1" x14ac:dyDescent="0.25">
      <c r="B180" s="364"/>
      <c r="C180" s="445" t="s">
        <v>255</v>
      </c>
      <c r="D180" s="445" t="s">
        <v>218</v>
      </c>
      <c r="E180" s="446" t="s">
        <v>1827</v>
      </c>
      <c r="F180" s="447" t="s">
        <v>1828</v>
      </c>
      <c r="G180" s="448" t="s">
        <v>113</v>
      </c>
      <c r="H180" s="449">
        <v>590</v>
      </c>
      <c r="I180" s="329">
        <v>0</v>
      </c>
      <c r="J180" s="450">
        <f t="shared" si="20"/>
        <v>0</v>
      </c>
      <c r="K180" s="451"/>
      <c r="L180" s="364"/>
      <c r="M180" s="452" t="s">
        <v>171</v>
      </c>
      <c r="N180" s="415" t="s">
        <v>185</v>
      </c>
      <c r="O180" s="453">
        <v>0.1482</v>
      </c>
      <c r="P180" s="453">
        <f t="shared" si="21"/>
        <v>87.438000000000002</v>
      </c>
      <c r="Q180" s="453">
        <v>0</v>
      </c>
      <c r="R180" s="453">
        <f t="shared" si="22"/>
        <v>0</v>
      </c>
      <c r="S180" s="453">
        <v>0</v>
      </c>
      <c r="T180" s="454">
        <f t="shared" si="23"/>
        <v>0</v>
      </c>
      <c r="AR180" s="455" t="s">
        <v>625</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625</v>
      </c>
      <c r="BM180" s="455" t="s">
        <v>1829</v>
      </c>
    </row>
    <row r="181" spans="2:65" s="365" customFormat="1" ht="33" customHeight="1" x14ac:dyDescent="0.25">
      <c r="B181" s="364"/>
      <c r="C181" s="445" t="s">
        <v>256</v>
      </c>
      <c r="D181" s="445" t="s">
        <v>218</v>
      </c>
      <c r="E181" s="446" t="s">
        <v>1839</v>
      </c>
      <c r="F181" s="447" t="s">
        <v>1840</v>
      </c>
      <c r="G181" s="448" t="s">
        <v>111</v>
      </c>
      <c r="H181" s="449">
        <v>206.5</v>
      </c>
      <c r="I181" s="329">
        <v>0</v>
      </c>
      <c r="J181" s="450">
        <f t="shared" si="20"/>
        <v>0</v>
      </c>
      <c r="K181" s="451"/>
      <c r="L181" s="364"/>
      <c r="M181" s="452" t="s">
        <v>171</v>
      </c>
      <c r="N181" s="415" t="s">
        <v>185</v>
      </c>
      <c r="O181" s="453">
        <v>0.14299999999999999</v>
      </c>
      <c r="P181" s="453">
        <f t="shared" si="21"/>
        <v>29.529499999999999</v>
      </c>
      <c r="Q181" s="453">
        <v>0</v>
      </c>
      <c r="R181" s="453">
        <f t="shared" si="22"/>
        <v>0</v>
      </c>
      <c r="S181" s="453">
        <v>0</v>
      </c>
      <c r="T181" s="454">
        <f t="shared" si="23"/>
        <v>0</v>
      </c>
      <c r="AR181" s="455" t="s">
        <v>625</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625</v>
      </c>
      <c r="BM181" s="455" t="s">
        <v>1841</v>
      </c>
    </row>
    <row r="182" spans="2:65" s="434" customFormat="1" ht="22.9" customHeight="1" x14ac:dyDescent="0.2">
      <c r="B182" s="433"/>
      <c r="D182" s="435" t="s">
        <v>216</v>
      </c>
      <c r="E182" s="443" t="s">
        <v>1842</v>
      </c>
      <c r="F182" s="443" t="s">
        <v>1843</v>
      </c>
      <c r="I182" s="467"/>
      <c r="J182" s="444">
        <f>BK182</f>
        <v>0</v>
      </c>
      <c r="L182" s="433"/>
      <c r="M182" s="438"/>
      <c r="P182" s="439">
        <f>SUM(P183:P184)</f>
        <v>0</v>
      </c>
      <c r="R182" s="439">
        <f>SUM(R183:R184)</f>
        <v>0</v>
      </c>
      <c r="T182" s="440">
        <f>SUM(T183:T184)</f>
        <v>0</v>
      </c>
      <c r="AR182" s="435" t="s">
        <v>119</v>
      </c>
      <c r="AT182" s="441" t="s">
        <v>216</v>
      </c>
      <c r="AU182" s="441" t="s">
        <v>109</v>
      </c>
      <c r="AY182" s="435" t="s">
        <v>217</v>
      </c>
      <c r="BK182" s="442">
        <f>SUM(BK183:BK184)</f>
        <v>0</v>
      </c>
    </row>
    <row r="183" spans="2:65" s="365" customFormat="1" ht="49.15" customHeight="1" x14ac:dyDescent="0.25">
      <c r="B183" s="364"/>
      <c r="C183" s="445" t="s">
        <v>257</v>
      </c>
      <c r="D183" s="445" t="s">
        <v>218</v>
      </c>
      <c r="E183" s="446" t="s">
        <v>1844</v>
      </c>
      <c r="F183" s="447" t="s">
        <v>1845</v>
      </c>
      <c r="G183" s="448" t="s">
        <v>1846</v>
      </c>
      <c r="H183" s="449">
        <v>6</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625</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625</v>
      </c>
      <c r="BM183" s="455" t="s">
        <v>1847</v>
      </c>
    </row>
    <row r="184" spans="2:65" s="365" customFormat="1" ht="66.75" customHeight="1" x14ac:dyDescent="0.25">
      <c r="B184" s="364"/>
      <c r="C184" s="445" t="s">
        <v>258</v>
      </c>
      <c r="D184" s="445" t="s">
        <v>218</v>
      </c>
      <c r="E184" s="446" t="s">
        <v>1848</v>
      </c>
      <c r="F184" s="447" t="s">
        <v>1849</v>
      </c>
      <c r="G184" s="448" t="s">
        <v>1846</v>
      </c>
      <c r="H184" s="449">
        <v>6</v>
      </c>
      <c r="I184" s="329">
        <v>0</v>
      </c>
      <c r="J184" s="450">
        <f>ROUND(I184*H184,2)</f>
        <v>0</v>
      </c>
      <c r="K184" s="451"/>
      <c r="L184" s="364"/>
      <c r="M184" s="468" t="s">
        <v>171</v>
      </c>
      <c r="N184" s="469" t="s">
        <v>185</v>
      </c>
      <c r="O184" s="470">
        <v>0</v>
      </c>
      <c r="P184" s="470">
        <f>O184*H184</f>
        <v>0</v>
      </c>
      <c r="Q184" s="470">
        <v>0</v>
      </c>
      <c r="R184" s="470">
        <f>Q184*H184</f>
        <v>0</v>
      </c>
      <c r="S184" s="470">
        <v>0</v>
      </c>
      <c r="T184" s="471">
        <f>S184*H184</f>
        <v>0</v>
      </c>
      <c r="AR184" s="455" t="s">
        <v>625</v>
      </c>
      <c r="AT184" s="455" t="s">
        <v>218</v>
      </c>
      <c r="AU184" s="455" t="s">
        <v>108</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625</v>
      </c>
      <c r="BM184" s="455" t="s">
        <v>1850</v>
      </c>
    </row>
    <row r="185" spans="2:65" s="365" customFormat="1" ht="6.95" customHeight="1" x14ac:dyDescent="0.25">
      <c r="B185" s="397"/>
      <c r="C185" s="398"/>
      <c r="D185" s="398"/>
      <c r="E185" s="398"/>
      <c r="F185" s="398"/>
      <c r="G185" s="398"/>
      <c r="H185" s="398"/>
      <c r="I185" s="398"/>
      <c r="J185" s="398"/>
      <c r="K185" s="398"/>
      <c r="L185" s="364"/>
    </row>
  </sheetData>
  <sheetProtection algorithmName="SHA-512" hashValue="+oy7fi6/RsjU9uB+KdXz9OjoIixr4FkmLGAFa9Y+otsBgwtipQ+FwtRv++BFhfcUJScMyw4sQ2xvuwY8l+Ewng==" saltValue="NSoCSsqKHYNu2fL5XpEhVg==" spinCount="100000" sheet="1" objects="1" scenarios="1" selectLockedCells="1"/>
  <autoFilter ref="C129:K184" xr:uid="{00000000-0009-0000-0000-000006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sheetPr codeName="Hárok5"/>
  <dimension ref="B1:B27"/>
  <sheetViews>
    <sheetView workbookViewId="0"/>
  </sheetViews>
  <sheetFormatPr defaultRowHeight="15" x14ac:dyDescent="0.25"/>
  <cols>
    <col min="1" max="1" width="3.7109375" customWidth="1"/>
    <col min="2" max="2" width="98.5703125" customWidth="1"/>
  </cols>
  <sheetData>
    <row r="1" spans="2:2" ht="15.75" thickBot="1" x14ac:dyDescent="0.3"/>
    <row r="2" spans="2:2" ht="42.75" customHeight="1" x14ac:dyDescent="0.25">
      <c r="B2" s="3" t="s">
        <v>40</v>
      </c>
    </row>
    <row r="3" spans="2:2" x14ac:dyDescent="0.25">
      <c r="B3" s="4"/>
    </row>
    <row r="4" spans="2:2" x14ac:dyDescent="0.25">
      <c r="B4" s="10" t="s">
        <v>41</v>
      </c>
    </row>
    <row r="5" spans="2:2" x14ac:dyDescent="0.25">
      <c r="B5" s="4"/>
    </row>
    <row r="6" spans="2:2" x14ac:dyDescent="0.25">
      <c r="B6" s="11" t="s">
        <v>42</v>
      </c>
    </row>
    <row r="7" spans="2:2" x14ac:dyDescent="0.25">
      <c r="B7" s="12"/>
    </row>
    <row r="8" spans="2:2" ht="60.75" customHeight="1" x14ac:dyDescent="0.25">
      <c r="B8" s="5" t="s">
        <v>43</v>
      </c>
    </row>
    <row r="9" spans="2:2" x14ac:dyDescent="0.25">
      <c r="B9" s="5"/>
    </row>
    <row r="10" spans="2:2" x14ac:dyDescent="0.25">
      <c r="B10" s="5" t="s">
        <v>44</v>
      </c>
    </row>
    <row r="11" spans="2:2" x14ac:dyDescent="0.25">
      <c r="B11" s="5" t="s">
        <v>45</v>
      </c>
    </row>
    <row r="12" spans="2:2" x14ac:dyDescent="0.25">
      <c r="B12" s="5" t="s">
        <v>46</v>
      </c>
    </row>
    <row r="13" spans="2:2" x14ac:dyDescent="0.25">
      <c r="B13" s="5" t="s">
        <v>47</v>
      </c>
    </row>
    <row r="14" spans="2:2" x14ac:dyDescent="0.25">
      <c r="B14" s="5" t="s">
        <v>48</v>
      </c>
    </row>
    <row r="15" spans="2:2" x14ac:dyDescent="0.25">
      <c r="B15" s="5" t="s">
        <v>49</v>
      </c>
    </row>
    <row r="16" spans="2:2" x14ac:dyDescent="0.25">
      <c r="B16" s="5" t="s">
        <v>50</v>
      </c>
    </row>
    <row r="17" spans="2:2" ht="30" x14ac:dyDescent="0.25">
      <c r="B17" s="5" t="s">
        <v>51</v>
      </c>
    </row>
    <row r="18" spans="2:2" x14ac:dyDescent="0.25">
      <c r="B18" s="5" t="s">
        <v>52</v>
      </c>
    </row>
    <row r="19" spans="2:2" x14ac:dyDescent="0.25">
      <c r="B19" s="5" t="s">
        <v>53</v>
      </c>
    </row>
    <row r="20" spans="2:2" x14ac:dyDescent="0.25">
      <c r="B20" s="5" t="s">
        <v>54</v>
      </c>
    </row>
    <row r="21" spans="2:2" ht="30" x14ac:dyDescent="0.25">
      <c r="B21" s="5" t="s">
        <v>55</v>
      </c>
    </row>
    <row r="22" spans="2:2" x14ac:dyDescent="0.25">
      <c r="B22" s="5" t="s">
        <v>56</v>
      </c>
    </row>
    <row r="23" spans="2:2" x14ac:dyDescent="0.25">
      <c r="B23" s="6"/>
    </row>
    <row r="24" spans="2:2" ht="60" x14ac:dyDescent="0.25">
      <c r="B24" s="5" t="s">
        <v>57</v>
      </c>
    </row>
    <row r="25" spans="2:2" ht="13.5" customHeight="1" x14ac:dyDescent="0.25">
      <c r="B25" s="5"/>
    </row>
    <row r="26" spans="2:2" ht="30" x14ac:dyDescent="0.25">
      <c r="B26" s="5" t="s">
        <v>58</v>
      </c>
    </row>
    <row r="27" spans="2:2" ht="15.75" thickBot="1" x14ac:dyDescent="0.3">
      <c r="B27" s="13"/>
    </row>
  </sheetData>
  <sheetProtection algorithmName="SHA-512" hashValue="cAZ34OOCx7OH5wMO2S9buHf5o+RVekNV7DXnVeTHrHkRS0hUpNBQ53tW1p47iRdk3vdxoNXxeUm90Q9KH0itEA==" saltValue="AwukBxtwawH78Lok4UlaIA==" spinCount="100000" sheet="1" objects="1" scenarios="1"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sheetPr codeName="Hárok6"/>
  <dimension ref="B1:B26"/>
  <sheetViews>
    <sheetView workbookViewId="0"/>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59</v>
      </c>
    </row>
    <row r="3" spans="2:2" x14ac:dyDescent="0.25">
      <c r="B3" s="4"/>
    </row>
    <row r="4" spans="2:2" x14ac:dyDescent="0.25">
      <c r="B4" s="5" t="s">
        <v>41</v>
      </c>
    </row>
    <row r="5" spans="2:2" x14ac:dyDescent="0.25">
      <c r="B5" s="6"/>
    </row>
    <row r="6" spans="2:2" x14ac:dyDescent="0.25">
      <c r="B6" s="7" t="s">
        <v>42</v>
      </c>
    </row>
    <row r="7" spans="2:2" x14ac:dyDescent="0.25">
      <c r="B7" s="5"/>
    </row>
    <row r="8" spans="2:2" ht="60.75" customHeight="1" x14ac:dyDescent="0.25">
      <c r="B8" s="5" t="s">
        <v>60</v>
      </c>
    </row>
    <row r="9" spans="2:2" x14ac:dyDescent="0.25">
      <c r="B9" s="5" t="s">
        <v>61</v>
      </c>
    </row>
    <row r="10" spans="2:2" x14ac:dyDescent="0.25">
      <c r="B10" s="8"/>
    </row>
    <row r="11" spans="2:2" ht="30" x14ac:dyDescent="0.25">
      <c r="B11" s="5" t="s">
        <v>62</v>
      </c>
    </row>
    <row r="12" spans="2:2" x14ac:dyDescent="0.25">
      <c r="B12" s="5"/>
    </row>
    <row r="13" spans="2:2" ht="45" x14ac:dyDescent="0.25">
      <c r="B13" s="5" t="s">
        <v>63</v>
      </c>
    </row>
    <row r="14" spans="2:2" x14ac:dyDescent="0.25">
      <c r="B14" s="5"/>
    </row>
    <row r="15" spans="2:2" ht="45" x14ac:dyDescent="0.25">
      <c r="B15" s="5" t="s">
        <v>64</v>
      </c>
    </row>
    <row r="16" spans="2:2" x14ac:dyDescent="0.25">
      <c r="B16" s="5"/>
    </row>
    <row r="17" spans="2:2" ht="60" x14ac:dyDescent="0.25">
      <c r="B17" s="5" t="s">
        <v>65</v>
      </c>
    </row>
    <row r="18" spans="2:2" x14ac:dyDescent="0.25">
      <c r="B18" s="5"/>
    </row>
    <row r="19" spans="2:2" ht="75" x14ac:dyDescent="0.25">
      <c r="B19" s="5" t="s">
        <v>66</v>
      </c>
    </row>
    <row r="20" spans="2:2" ht="15.75" thickBot="1" x14ac:dyDescent="0.3">
      <c r="B20" s="9"/>
    </row>
    <row r="21" spans="2:2" x14ac:dyDescent="0.25">
      <c r="B21" s="1"/>
    </row>
    <row r="22" spans="2:2" x14ac:dyDescent="0.25">
      <c r="B22" s="1"/>
    </row>
    <row r="23" spans="2:2" x14ac:dyDescent="0.25">
      <c r="B23" s="1"/>
    </row>
    <row r="24" spans="2:2" x14ac:dyDescent="0.25">
      <c r="B24" s="1"/>
    </row>
    <row r="25" spans="2:2" ht="13.5" customHeight="1" x14ac:dyDescent="0.25">
      <c r="B25" s="1"/>
    </row>
    <row r="26" spans="2:2" ht="15.75" x14ac:dyDescent="0.25">
      <c r="B26" s="2"/>
    </row>
  </sheetData>
  <sheetProtection algorithmName="SHA-512" hashValue="usL5K5fkCPOZ3t4zl2utpt/AtU58oClcsG3XLQjNYga5KOC6B7e2aVqls5JkjnG05wFhN+E87AzYrpd3IbzisA==" saltValue="ElF0onK1xenhfPeQt99tlw==" spinCount="100000" sheet="1" objects="1" scenarios="1" selectLockedCells="1" selectUnlockedCell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39AA-4AD7-404A-8BFD-7DC284192A2B}">
  <sheetPr codeName="Hárok3">
    <pageSetUpPr fitToPage="1"/>
  </sheetPr>
  <dimension ref="A1:CM124"/>
  <sheetViews>
    <sheetView topLeftCell="A107" workbookViewId="0">
      <selection activeCell="AG118" sqref="AG118:AM118"/>
    </sheetView>
  </sheetViews>
  <sheetFormatPr defaultRowHeight="11.25" x14ac:dyDescent="0.2"/>
  <cols>
    <col min="1" max="1" width="7.140625" style="152" customWidth="1"/>
    <col min="2" max="2" width="1.42578125" style="152" customWidth="1"/>
    <col min="3" max="3" width="3.5703125" style="152" customWidth="1"/>
    <col min="4" max="33" width="2.28515625" style="152" customWidth="1"/>
    <col min="34" max="34" width="2.85546875" style="152" customWidth="1"/>
    <col min="35" max="35" width="27.140625" style="152" customWidth="1"/>
    <col min="36" max="37" width="2.140625" style="152" customWidth="1"/>
    <col min="38" max="38" width="7.140625" style="152" customWidth="1"/>
    <col min="39" max="39" width="2.85546875" style="152" customWidth="1"/>
    <col min="40" max="40" width="11.42578125" style="152" customWidth="1"/>
    <col min="41" max="41" width="6.42578125" style="152" customWidth="1"/>
    <col min="42" max="42" width="3.5703125" style="152" customWidth="1"/>
    <col min="43" max="43" width="13.42578125" style="152" hidden="1" customWidth="1"/>
    <col min="44" max="44" width="11.7109375" style="152" customWidth="1"/>
    <col min="45" max="47" width="22.140625" style="152" hidden="1" customWidth="1"/>
    <col min="48" max="49" width="18.5703125" style="152" hidden="1" customWidth="1"/>
    <col min="50" max="51" width="21.42578125" style="152" hidden="1" customWidth="1"/>
    <col min="52" max="52" width="18.5703125" style="152" hidden="1" customWidth="1"/>
    <col min="53" max="53" width="16.42578125" style="152" hidden="1" customWidth="1"/>
    <col min="54" max="54" width="21.42578125" style="152" hidden="1" customWidth="1"/>
    <col min="55" max="55" width="18.5703125" style="152" hidden="1" customWidth="1"/>
    <col min="56" max="56" width="16.42578125" style="152" hidden="1" customWidth="1"/>
    <col min="57" max="57" width="57" style="152" customWidth="1"/>
    <col min="58" max="16384" width="9.140625" style="152"/>
  </cols>
  <sheetData>
    <row r="1" spans="1:74" x14ac:dyDescent="0.2">
      <c r="A1" s="151" t="s">
        <v>301</v>
      </c>
      <c r="AZ1" s="151" t="s">
        <v>171</v>
      </c>
      <c r="BA1" s="151" t="s">
        <v>302</v>
      </c>
      <c r="BB1" s="151" t="s">
        <v>171</v>
      </c>
      <c r="BT1" s="151" t="s">
        <v>168</v>
      </c>
      <c r="BU1" s="151" t="s">
        <v>168</v>
      </c>
      <c r="BV1" s="151" t="s">
        <v>303</v>
      </c>
    </row>
    <row r="2" spans="1:74" ht="36.950000000000003" customHeight="1" x14ac:dyDescent="0.2">
      <c r="AR2" s="814" t="s">
        <v>164</v>
      </c>
      <c r="AS2" s="815"/>
      <c r="AT2" s="815"/>
      <c r="AU2" s="815"/>
      <c r="AV2" s="815"/>
      <c r="AW2" s="815"/>
      <c r="AX2" s="815"/>
      <c r="AY2" s="815"/>
      <c r="AZ2" s="815"/>
      <c r="BA2" s="815"/>
      <c r="BB2" s="815"/>
      <c r="BC2" s="815"/>
      <c r="BD2" s="815"/>
      <c r="BE2" s="815"/>
      <c r="BS2" s="153" t="s">
        <v>304</v>
      </c>
      <c r="BT2" s="153" t="s">
        <v>237</v>
      </c>
    </row>
    <row r="3" spans="1:74" ht="6.95" customHeight="1" x14ac:dyDescent="0.2">
      <c r="B3" s="154"/>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6"/>
      <c r="BS3" s="153" t="s">
        <v>304</v>
      </c>
      <c r="BT3" s="153" t="s">
        <v>237</v>
      </c>
    </row>
    <row r="4" spans="1:74" ht="24.95" customHeight="1" x14ac:dyDescent="0.2">
      <c r="B4" s="156"/>
      <c r="D4" s="157" t="s">
        <v>305</v>
      </c>
      <c r="AR4" s="156"/>
      <c r="AS4" s="158" t="s">
        <v>167</v>
      </c>
      <c r="BS4" s="153" t="s">
        <v>306</v>
      </c>
    </row>
    <row r="5" spans="1:74" ht="12" customHeight="1" x14ac:dyDescent="0.2">
      <c r="B5" s="156"/>
      <c r="D5" s="159" t="s">
        <v>307</v>
      </c>
      <c r="K5" s="816" t="s">
        <v>308</v>
      </c>
      <c r="L5" s="815"/>
      <c r="M5" s="815"/>
      <c r="N5" s="815"/>
      <c r="O5" s="815"/>
      <c r="P5" s="815"/>
      <c r="Q5" s="815"/>
      <c r="R5" s="815"/>
      <c r="S5" s="815"/>
      <c r="T5" s="815"/>
      <c r="U5" s="815"/>
      <c r="V5" s="815"/>
      <c r="W5" s="815"/>
      <c r="X5" s="815"/>
      <c r="Y5" s="815"/>
      <c r="Z5" s="815"/>
      <c r="AA5" s="815"/>
      <c r="AB5" s="815"/>
      <c r="AC5" s="815"/>
      <c r="AD5" s="815"/>
      <c r="AE5" s="815"/>
      <c r="AF5" s="815"/>
      <c r="AG5" s="815"/>
      <c r="AH5" s="815"/>
      <c r="AI5" s="815"/>
      <c r="AJ5" s="815"/>
      <c r="AR5" s="156"/>
      <c r="BS5" s="153" t="s">
        <v>304</v>
      </c>
    </row>
    <row r="6" spans="1:74" ht="36.950000000000003" customHeight="1" x14ac:dyDescent="0.2">
      <c r="B6" s="156"/>
      <c r="D6" s="161" t="s">
        <v>169</v>
      </c>
      <c r="K6" s="817" t="s">
        <v>309</v>
      </c>
      <c r="L6" s="815"/>
      <c r="M6" s="815"/>
      <c r="N6" s="815"/>
      <c r="O6" s="815"/>
      <c r="P6" s="815"/>
      <c r="Q6" s="815"/>
      <c r="R6" s="815"/>
      <c r="S6" s="815"/>
      <c r="T6" s="815"/>
      <c r="U6" s="815"/>
      <c r="V6" s="815"/>
      <c r="W6" s="815"/>
      <c r="X6" s="815"/>
      <c r="Y6" s="815"/>
      <c r="Z6" s="815"/>
      <c r="AA6" s="815"/>
      <c r="AB6" s="815"/>
      <c r="AC6" s="815"/>
      <c r="AD6" s="815"/>
      <c r="AE6" s="815"/>
      <c r="AF6" s="815"/>
      <c r="AG6" s="815"/>
      <c r="AH6" s="815"/>
      <c r="AI6" s="815"/>
      <c r="AJ6" s="815"/>
      <c r="AR6" s="156"/>
      <c r="BS6" s="153" t="s">
        <v>304</v>
      </c>
    </row>
    <row r="7" spans="1:74" ht="12" customHeight="1" x14ac:dyDescent="0.2">
      <c r="B7" s="156"/>
      <c r="D7" s="162" t="s">
        <v>170</v>
      </c>
      <c r="K7" s="160" t="s">
        <v>171</v>
      </c>
      <c r="AK7" s="162" t="s">
        <v>310</v>
      </c>
      <c r="AN7" s="160" t="s">
        <v>171</v>
      </c>
      <c r="AR7" s="156"/>
      <c r="BS7" s="153" t="s">
        <v>304</v>
      </c>
    </row>
    <row r="8" spans="1:74" ht="12" customHeight="1" x14ac:dyDescent="0.2">
      <c r="B8" s="156"/>
      <c r="D8" s="162" t="s">
        <v>172</v>
      </c>
      <c r="K8" s="160" t="s">
        <v>173</v>
      </c>
      <c r="AK8" s="162" t="s">
        <v>174</v>
      </c>
      <c r="AN8" s="326">
        <v>45908</v>
      </c>
      <c r="AR8" s="156"/>
      <c r="BS8" s="153" t="s">
        <v>304</v>
      </c>
    </row>
    <row r="9" spans="1:74" ht="14.45" customHeight="1" x14ac:dyDescent="0.2">
      <c r="B9" s="156"/>
      <c r="AR9" s="156"/>
      <c r="BS9" s="153" t="s">
        <v>304</v>
      </c>
    </row>
    <row r="10" spans="1:74" ht="12" customHeight="1" x14ac:dyDescent="0.2">
      <c r="B10" s="156"/>
      <c r="D10" s="162" t="s">
        <v>122</v>
      </c>
      <c r="AK10" s="162" t="s">
        <v>29</v>
      </c>
      <c r="AN10" s="160" t="s">
        <v>171</v>
      </c>
      <c r="AR10" s="156"/>
      <c r="BS10" s="153" t="s">
        <v>304</v>
      </c>
    </row>
    <row r="11" spans="1:74" ht="18.399999999999999" customHeight="1" x14ac:dyDescent="0.2">
      <c r="B11" s="156"/>
      <c r="E11" s="160" t="s">
        <v>144</v>
      </c>
      <c r="AK11" s="162" t="s">
        <v>30</v>
      </c>
      <c r="AN11" s="160" t="s">
        <v>171</v>
      </c>
      <c r="AR11" s="156"/>
      <c r="BS11" s="153" t="s">
        <v>304</v>
      </c>
    </row>
    <row r="12" spans="1:74" ht="6.95" customHeight="1" x14ac:dyDescent="0.2">
      <c r="B12" s="156"/>
      <c r="AR12" s="156"/>
      <c r="BS12" s="153" t="s">
        <v>304</v>
      </c>
    </row>
    <row r="13" spans="1:74" ht="12" customHeight="1" x14ac:dyDescent="0.2">
      <c r="B13" s="156"/>
      <c r="D13" s="162" t="s">
        <v>175</v>
      </c>
      <c r="AK13" s="162" t="s">
        <v>29</v>
      </c>
      <c r="AN13" s="160" t="str">
        <f>Ponuka!C7</f>
        <v>Údaj sa automaticky zobrazí aj vo Výkaze výmer</v>
      </c>
      <c r="AR13" s="156"/>
      <c r="BS13" s="153" t="s">
        <v>304</v>
      </c>
    </row>
    <row r="14" spans="1:74" ht="12.75" x14ac:dyDescent="0.2">
      <c r="B14" s="156"/>
      <c r="E14" s="160" t="str">
        <f>Ponuka!C4</f>
        <v>Údaj sa automaticky zobrazí aj vo Výkaze výmer</v>
      </c>
      <c r="AK14" s="162" t="s">
        <v>30</v>
      </c>
      <c r="AN14" s="160" t="str">
        <f>Ponuka!C8</f>
        <v>Údaj sa automaticky zobrazí aj vo Výkaze výmer</v>
      </c>
      <c r="AR14" s="156"/>
      <c r="BS14" s="153" t="s">
        <v>304</v>
      </c>
    </row>
    <row r="15" spans="1:74" ht="6.95" customHeight="1" x14ac:dyDescent="0.2">
      <c r="B15" s="156"/>
      <c r="AR15" s="156"/>
      <c r="BS15" s="153" t="s">
        <v>168</v>
      </c>
    </row>
    <row r="16" spans="1:74" ht="12" customHeight="1" x14ac:dyDescent="0.2">
      <c r="B16" s="156"/>
      <c r="D16" s="162" t="s">
        <v>176</v>
      </c>
      <c r="AK16" s="162" t="s">
        <v>29</v>
      </c>
      <c r="AN16" s="353">
        <v>35849657</v>
      </c>
      <c r="AR16" s="156"/>
      <c r="BS16" s="153" t="s">
        <v>168</v>
      </c>
    </row>
    <row r="17" spans="2:71" ht="18.399999999999999" customHeight="1" x14ac:dyDescent="0.2">
      <c r="B17" s="156"/>
      <c r="E17" s="823" t="s">
        <v>3192</v>
      </c>
      <c r="F17" s="823"/>
      <c r="G17" s="823"/>
      <c r="H17" s="823"/>
      <c r="I17" s="823"/>
      <c r="J17" s="823"/>
      <c r="K17" s="823"/>
      <c r="L17" s="823"/>
      <c r="M17" s="823"/>
      <c r="N17" s="823"/>
      <c r="O17" s="823"/>
      <c r="P17" s="823"/>
      <c r="AK17" s="162" t="s">
        <v>30</v>
      </c>
      <c r="AN17" s="160" t="s">
        <v>171</v>
      </c>
      <c r="AR17" s="156"/>
      <c r="BS17" s="153" t="s">
        <v>219</v>
      </c>
    </row>
    <row r="18" spans="2:71" ht="6.95" customHeight="1" x14ac:dyDescent="0.2">
      <c r="B18" s="156"/>
      <c r="AR18" s="156"/>
      <c r="BS18" s="153" t="s">
        <v>304</v>
      </c>
    </row>
    <row r="19" spans="2:71" ht="12" customHeight="1" x14ac:dyDescent="0.2">
      <c r="B19" s="156"/>
      <c r="D19" s="162" t="s">
        <v>177</v>
      </c>
      <c r="AK19" s="162" t="s">
        <v>29</v>
      </c>
      <c r="AN19" s="160" t="s">
        <v>171</v>
      </c>
      <c r="AR19" s="156"/>
      <c r="BS19" s="153" t="s">
        <v>304</v>
      </c>
    </row>
    <row r="20" spans="2:71" ht="18.399999999999999" customHeight="1" x14ac:dyDescent="0.2">
      <c r="B20" s="156"/>
      <c r="E20" s="160" t="s">
        <v>3191</v>
      </c>
      <c r="AK20" s="162" t="s">
        <v>30</v>
      </c>
      <c r="AN20" s="160" t="s">
        <v>171</v>
      </c>
      <c r="AR20" s="156"/>
      <c r="BS20" s="153" t="s">
        <v>219</v>
      </c>
    </row>
    <row r="21" spans="2:71" ht="6.95" customHeight="1" x14ac:dyDescent="0.2">
      <c r="B21" s="156"/>
      <c r="AR21" s="156"/>
    </row>
    <row r="22" spans="2:71" ht="12" customHeight="1" x14ac:dyDescent="0.2">
      <c r="B22" s="156"/>
      <c r="D22" s="162" t="s">
        <v>178</v>
      </c>
      <c r="AR22" s="156"/>
    </row>
    <row r="23" spans="2:71" ht="16.5" customHeight="1" x14ac:dyDescent="0.2">
      <c r="B23" s="156"/>
      <c r="E23" s="818" t="s">
        <v>171</v>
      </c>
      <c r="F23" s="818"/>
      <c r="G23" s="818"/>
      <c r="H23" s="818"/>
      <c r="I23" s="818"/>
      <c r="J23" s="818"/>
      <c r="K23" s="818"/>
      <c r="L23" s="818"/>
      <c r="M23" s="818"/>
      <c r="N23" s="818"/>
      <c r="O23" s="818"/>
      <c r="P23" s="818"/>
      <c r="Q23" s="818"/>
      <c r="R23" s="818"/>
      <c r="S23" s="818"/>
      <c r="T23" s="818"/>
      <c r="U23" s="818"/>
      <c r="V23" s="818"/>
      <c r="W23" s="818"/>
      <c r="X23" s="818"/>
      <c r="Y23" s="818"/>
      <c r="Z23" s="818"/>
      <c r="AA23" s="818"/>
      <c r="AB23" s="818"/>
      <c r="AC23" s="818"/>
      <c r="AD23" s="818"/>
      <c r="AE23" s="818"/>
      <c r="AF23" s="818"/>
      <c r="AG23" s="818"/>
      <c r="AH23" s="818"/>
      <c r="AI23" s="818"/>
      <c r="AJ23" s="818"/>
      <c r="AK23" s="818"/>
      <c r="AL23" s="818"/>
      <c r="AM23" s="818"/>
      <c r="AN23" s="818"/>
      <c r="AR23" s="156"/>
    </row>
    <row r="24" spans="2:71" ht="6.95" customHeight="1" x14ac:dyDescent="0.2">
      <c r="B24" s="156"/>
      <c r="AR24" s="156"/>
    </row>
    <row r="25" spans="2:71" ht="6.95" customHeight="1" x14ac:dyDescent="0.2">
      <c r="B25" s="156"/>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R25" s="156"/>
    </row>
    <row r="26" spans="2:71" ht="14.45" customHeight="1" x14ac:dyDescent="0.2">
      <c r="B26" s="156"/>
      <c r="D26" s="319" t="s">
        <v>327</v>
      </c>
      <c r="AK26" s="819">
        <f>ROUND(AG94,2)</f>
        <v>0</v>
      </c>
      <c r="AL26" s="815"/>
      <c r="AM26" s="815"/>
      <c r="AN26" s="815"/>
      <c r="AO26" s="815"/>
      <c r="AR26" s="156"/>
    </row>
    <row r="27" spans="2:71" ht="14.45" customHeight="1" x14ac:dyDescent="0.2">
      <c r="B27" s="156"/>
      <c r="D27" s="319" t="s">
        <v>3058</v>
      </c>
      <c r="AK27" s="819">
        <f>ROUND(AG121, 2)</f>
        <v>0</v>
      </c>
      <c r="AL27" s="819"/>
      <c r="AM27" s="819"/>
      <c r="AN27" s="819"/>
      <c r="AO27" s="819"/>
      <c r="AR27" s="156"/>
    </row>
    <row r="28" spans="2:71" s="165" customFormat="1" ht="6.95" customHeight="1" x14ac:dyDescent="0.25">
      <c r="B28" s="166"/>
      <c r="AR28" s="166"/>
    </row>
    <row r="29" spans="2:71" s="165" customFormat="1" ht="25.9" customHeight="1" x14ac:dyDescent="0.25">
      <c r="B29" s="166"/>
      <c r="D29" s="167" t="s">
        <v>179</v>
      </c>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824">
        <f>ROUND(AK26 + AK27, 2)</f>
        <v>0</v>
      </c>
      <c r="AL29" s="825"/>
      <c r="AM29" s="825"/>
      <c r="AN29" s="825"/>
      <c r="AO29" s="825"/>
      <c r="AR29" s="166"/>
    </row>
    <row r="30" spans="2:71" s="165" customFormat="1" ht="6.95" customHeight="1" x14ac:dyDescent="0.25">
      <c r="B30" s="166"/>
      <c r="AR30" s="166"/>
    </row>
    <row r="31" spans="2:71" s="165" customFormat="1" ht="12.75" x14ac:dyDescent="0.25">
      <c r="B31" s="166"/>
      <c r="L31" s="826" t="s">
        <v>181</v>
      </c>
      <c r="M31" s="826"/>
      <c r="N31" s="826"/>
      <c r="O31" s="826"/>
      <c r="P31" s="826"/>
      <c r="W31" s="826" t="s">
        <v>180</v>
      </c>
      <c r="X31" s="826"/>
      <c r="Y31" s="826"/>
      <c r="Z31" s="826"/>
      <c r="AA31" s="826"/>
      <c r="AB31" s="826"/>
      <c r="AC31" s="826"/>
      <c r="AD31" s="826"/>
      <c r="AE31" s="826"/>
      <c r="AK31" s="826" t="s">
        <v>182</v>
      </c>
      <c r="AL31" s="826"/>
      <c r="AM31" s="826"/>
      <c r="AN31" s="826"/>
      <c r="AO31" s="826"/>
      <c r="AR31" s="166"/>
    </row>
    <row r="32" spans="2:71" s="170" customFormat="1" ht="14.45" customHeight="1" x14ac:dyDescent="0.25">
      <c r="B32" s="171"/>
      <c r="D32" s="162" t="s">
        <v>183</v>
      </c>
      <c r="F32" s="172" t="s">
        <v>184</v>
      </c>
      <c r="L32" s="827">
        <v>0.23</v>
      </c>
      <c r="M32" s="828"/>
      <c r="N32" s="828"/>
      <c r="O32" s="828"/>
      <c r="P32" s="828"/>
      <c r="Q32" s="173"/>
      <c r="R32" s="173"/>
      <c r="S32" s="173"/>
      <c r="T32" s="173"/>
      <c r="U32" s="173"/>
      <c r="V32" s="173"/>
      <c r="W32" s="829">
        <f>ROUND(AZ94 + SUM(CD121), 2)</f>
        <v>0</v>
      </c>
      <c r="X32" s="828"/>
      <c r="Y32" s="828"/>
      <c r="Z32" s="828"/>
      <c r="AA32" s="828"/>
      <c r="AB32" s="828"/>
      <c r="AC32" s="828"/>
      <c r="AD32" s="828"/>
      <c r="AE32" s="828"/>
      <c r="AF32" s="173"/>
      <c r="AG32" s="173"/>
      <c r="AH32" s="173"/>
      <c r="AI32" s="173"/>
      <c r="AJ32" s="173"/>
      <c r="AK32" s="829">
        <f>ROUND(AV94 + SUM(BY121), 2)</f>
        <v>0</v>
      </c>
      <c r="AL32" s="828"/>
      <c r="AM32" s="828"/>
      <c r="AN32" s="828"/>
      <c r="AO32" s="828"/>
      <c r="AP32" s="173"/>
      <c r="AQ32" s="173"/>
      <c r="AR32" s="174"/>
      <c r="AS32" s="173"/>
      <c r="AT32" s="173"/>
      <c r="AU32" s="173"/>
      <c r="AV32" s="173"/>
      <c r="AW32" s="173"/>
      <c r="AX32" s="173"/>
      <c r="AY32" s="173"/>
      <c r="AZ32" s="173"/>
    </row>
    <row r="33" spans="2:52" s="170" customFormat="1" ht="14.45" customHeight="1" x14ac:dyDescent="0.25">
      <c r="B33" s="171"/>
      <c r="F33" s="172" t="s">
        <v>185</v>
      </c>
      <c r="L33" s="820">
        <v>0.23</v>
      </c>
      <c r="M33" s="821"/>
      <c r="N33" s="821"/>
      <c r="O33" s="821"/>
      <c r="P33" s="821"/>
      <c r="W33" s="822">
        <f>ROUND(BA94 + SUM(CE121), 2)</f>
        <v>0</v>
      </c>
      <c r="X33" s="821"/>
      <c r="Y33" s="821"/>
      <c r="Z33" s="821"/>
      <c r="AA33" s="821"/>
      <c r="AB33" s="821"/>
      <c r="AC33" s="821"/>
      <c r="AD33" s="821"/>
      <c r="AE33" s="821"/>
      <c r="AK33" s="822">
        <f>ROUND(AW94 + SUM(BZ121), 2)</f>
        <v>0</v>
      </c>
      <c r="AL33" s="821"/>
      <c r="AM33" s="821"/>
      <c r="AN33" s="821"/>
      <c r="AO33" s="821"/>
      <c r="AR33" s="171"/>
    </row>
    <row r="34" spans="2:52" s="170" customFormat="1" ht="14.45" hidden="1" customHeight="1" x14ac:dyDescent="0.25">
      <c r="B34" s="171"/>
      <c r="F34" s="162" t="s">
        <v>186</v>
      </c>
      <c r="L34" s="820">
        <v>0.23</v>
      </c>
      <c r="M34" s="821"/>
      <c r="N34" s="821"/>
      <c r="O34" s="821"/>
      <c r="P34" s="821"/>
      <c r="W34" s="822">
        <f>ROUND(BB94 + SUM(CF121), 2)</f>
        <v>0</v>
      </c>
      <c r="X34" s="821"/>
      <c r="Y34" s="821"/>
      <c r="Z34" s="821"/>
      <c r="AA34" s="821"/>
      <c r="AB34" s="821"/>
      <c r="AC34" s="821"/>
      <c r="AD34" s="821"/>
      <c r="AE34" s="821"/>
      <c r="AK34" s="822">
        <v>0</v>
      </c>
      <c r="AL34" s="821"/>
      <c r="AM34" s="821"/>
      <c r="AN34" s="821"/>
      <c r="AO34" s="821"/>
      <c r="AR34" s="171"/>
    </row>
    <row r="35" spans="2:52" s="170" customFormat="1" ht="14.45" hidden="1" customHeight="1" x14ac:dyDescent="0.25">
      <c r="B35" s="171"/>
      <c r="F35" s="162" t="s">
        <v>187</v>
      </c>
      <c r="L35" s="820">
        <v>0.23</v>
      </c>
      <c r="M35" s="821"/>
      <c r="N35" s="821"/>
      <c r="O35" s="821"/>
      <c r="P35" s="821"/>
      <c r="W35" s="822">
        <f>ROUND(BC94 + SUM(CG121), 2)</f>
        <v>0</v>
      </c>
      <c r="X35" s="821"/>
      <c r="Y35" s="821"/>
      <c r="Z35" s="821"/>
      <c r="AA35" s="821"/>
      <c r="AB35" s="821"/>
      <c r="AC35" s="821"/>
      <c r="AD35" s="821"/>
      <c r="AE35" s="821"/>
      <c r="AK35" s="822">
        <v>0</v>
      </c>
      <c r="AL35" s="821"/>
      <c r="AM35" s="821"/>
      <c r="AN35" s="821"/>
      <c r="AO35" s="821"/>
      <c r="AR35" s="171"/>
    </row>
    <row r="36" spans="2:52" s="170" customFormat="1" ht="14.45" hidden="1" customHeight="1" x14ac:dyDescent="0.25">
      <c r="B36" s="171"/>
      <c r="F36" s="172" t="s">
        <v>188</v>
      </c>
      <c r="L36" s="827">
        <v>0</v>
      </c>
      <c r="M36" s="828"/>
      <c r="N36" s="828"/>
      <c r="O36" s="828"/>
      <c r="P36" s="828"/>
      <c r="Q36" s="173"/>
      <c r="R36" s="173"/>
      <c r="S36" s="173"/>
      <c r="T36" s="173"/>
      <c r="U36" s="173"/>
      <c r="V36" s="173"/>
      <c r="W36" s="829">
        <f>ROUND(BD94 + SUM(CH121), 2)</f>
        <v>0</v>
      </c>
      <c r="X36" s="828"/>
      <c r="Y36" s="828"/>
      <c r="Z36" s="828"/>
      <c r="AA36" s="828"/>
      <c r="AB36" s="828"/>
      <c r="AC36" s="828"/>
      <c r="AD36" s="828"/>
      <c r="AE36" s="828"/>
      <c r="AF36" s="173"/>
      <c r="AG36" s="173"/>
      <c r="AH36" s="173"/>
      <c r="AI36" s="173"/>
      <c r="AJ36" s="173"/>
      <c r="AK36" s="829">
        <v>0</v>
      </c>
      <c r="AL36" s="828"/>
      <c r="AM36" s="828"/>
      <c r="AN36" s="828"/>
      <c r="AO36" s="828"/>
      <c r="AP36" s="173"/>
      <c r="AQ36" s="173"/>
      <c r="AR36" s="174"/>
      <c r="AS36" s="173"/>
      <c r="AT36" s="173"/>
      <c r="AU36" s="173"/>
      <c r="AV36" s="173"/>
      <c r="AW36" s="173"/>
      <c r="AX36" s="173"/>
      <c r="AY36" s="173"/>
      <c r="AZ36" s="173"/>
    </row>
    <row r="37" spans="2:52" s="165" customFormat="1" ht="6.95" customHeight="1" x14ac:dyDescent="0.25">
      <c r="B37" s="166"/>
      <c r="AR37" s="166"/>
    </row>
    <row r="38" spans="2:52" s="165" customFormat="1" ht="25.9" customHeight="1" x14ac:dyDescent="0.25">
      <c r="B38" s="166"/>
      <c r="C38" s="175"/>
      <c r="D38" s="176" t="s">
        <v>189</v>
      </c>
      <c r="E38" s="177"/>
      <c r="F38" s="177"/>
      <c r="G38" s="177"/>
      <c r="H38" s="177"/>
      <c r="I38" s="177"/>
      <c r="J38" s="177"/>
      <c r="K38" s="177"/>
      <c r="L38" s="177"/>
      <c r="M38" s="177"/>
      <c r="N38" s="177"/>
      <c r="O38" s="177"/>
      <c r="P38" s="177"/>
      <c r="Q38" s="177"/>
      <c r="R38" s="177"/>
      <c r="S38" s="177"/>
      <c r="T38" s="178" t="s">
        <v>190</v>
      </c>
      <c r="U38" s="177"/>
      <c r="V38" s="177"/>
      <c r="W38" s="177"/>
      <c r="X38" s="830" t="s">
        <v>191</v>
      </c>
      <c r="Y38" s="831"/>
      <c r="Z38" s="831"/>
      <c r="AA38" s="831"/>
      <c r="AB38" s="831"/>
      <c r="AC38" s="177"/>
      <c r="AD38" s="177"/>
      <c r="AE38" s="177"/>
      <c r="AF38" s="177"/>
      <c r="AG38" s="177"/>
      <c r="AH38" s="177"/>
      <c r="AI38" s="177"/>
      <c r="AJ38" s="177"/>
      <c r="AK38" s="832">
        <f>SUM(AK29:AK36)</f>
        <v>0</v>
      </c>
      <c r="AL38" s="831"/>
      <c r="AM38" s="831"/>
      <c r="AN38" s="831"/>
      <c r="AO38" s="833"/>
      <c r="AP38" s="175"/>
      <c r="AQ38" s="175"/>
      <c r="AR38" s="166"/>
    </row>
    <row r="39" spans="2:52" s="165" customFormat="1" ht="6.95" customHeight="1" x14ac:dyDescent="0.25">
      <c r="B39" s="166"/>
      <c r="AR39" s="166"/>
    </row>
    <row r="40" spans="2:52" s="165" customFormat="1" ht="14.45" customHeight="1" x14ac:dyDescent="0.25">
      <c r="B40" s="166"/>
      <c r="AR40" s="166"/>
    </row>
    <row r="41" spans="2:52" ht="14.45" customHeight="1" x14ac:dyDescent="0.2">
      <c r="B41" s="156"/>
      <c r="AR41" s="156"/>
    </row>
    <row r="42" spans="2:52" ht="14.45" customHeight="1" x14ac:dyDescent="0.2">
      <c r="B42" s="156"/>
      <c r="AR42" s="156"/>
    </row>
    <row r="43" spans="2:52" ht="14.45" customHeight="1" x14ac:dyDescent="0.2">
      <c r="B43" s="156"/>
      <c r="AR43" s="156"/>
    </row>
    <row r="44" spans="2:52" ht="14.45" customHeight="1" x14ac:dyDescent="0.2">
      <c r="B44" s="156"/>
      <c r="AR44" s="156"/>
    </row>
    <row r="45" spans="2:52" ht="14.45" customHeight="1" x14ac:dyDescent="0.2">
      <c r="B45" s="156"/>
      <c r="AR45" s="156"/>
    </row>
    <row r="46" spans="2:52" ht="14.45" customHeight="1" x14ac:dyDescent="0.2">
      <c r="B46" s="156"/>
      <c r="AR46" s="156"/>
    </row>
    <row r="47" spans="2:52" ht="14.45" customHeight="1" x14ac:dyDescent="0.2">
      <c r="B47" s="156"/>
      <c r="AR47" s="156"/>
    </row>
    <row r="48" spans="2:52" ht="14.45" customHeight="1" x14ac:dyDescent="0.2">
      <c r="B48" s="156"/>
      <c r="AR48" s="156"/>
    </row>
    <row r="49" spans="2:44" s="165" customFormat="1" ht="14.45" customHeight="1" x14ac:dyDescent="0.25">
      <c r="B49" s="166"/>
      <c r="D49" s="179" t="s">
        <v>192</v>
      </c>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79" t="s">
        <v>193</v>
      </c>
      <c r="AI49" s="180"/>
      <c r="AJ49" s="180"/>
      <c r="AK49" s="180"/>
      <c r="AL49" s="180"/>
      <c r="AM49" s="180"/>
      <c r="AN49" s="180"/>
      <c r="AO49" s="180"/>
      <c r="AR49" s="166"/>
    </row>
    <row r="50" spans="2:44" x14ac:dyDescent="0.2">
      <c r="B50" s="156"/>
      <c r="AR50" s="156"/>
    </row>
    <row r="51" spans="2:44" x14ac:dyDescent="0.2">
      <c r="B51" s="156"/>
      <c r="AR51" s="156"/>
    </row>
    <row r="52" spans="2:44" x14ac:dyDescent="0.2">
      <c r="B52" s="156"/>
      <c r="AR52" s="156"/>
    </row>
    <row r="53" spans="2:44" x14ac:dyDescent="0.2">
      <c r="B53" s="156"/>
      <c r="AR53" s="156"/>
    </row>
    <row r="54" spans="2:44" x14ac:dyDescent="0.2">
      <c r="B54" s="156"/>
      <c r="AR54" s="156"/>
    </row>
    <row r="55" spans="2:44" x14ac:dyDescent="0.2">
      <c r="B55" s="156"/>
      <c r="AR55" s="156"/>
    </row>
    <row r="56" spans="2:44" x14ac:dyDescent="0.2">
      <c r="B56" s="156"/>
      <c r="AR56" s="156"/>
    </row>
    <row r="57" spans="2:44" x14ac:dyDescent="0.2">
      <c r="B57" s="156"/>
      <c r="AR57" s="156"/>
    </row>
    <row r="58" spans="2:44" x14ac:dyDescent="0.2">
      <c r="B58" s="156"/>
      <c r="AR58" s="156"/>
    </row>
    <row r="59" spans="2:44" x14ac:dyDescent="0.2">
      <c r="B59" s="156"/>
      <c r="AR59" s="156"/>
    </row>
    <row r="60" spans="2:44" s="165" customFormat="1" ht="12.75" x14ac:dyDescent="0.25">
      <c r="B60" s="166"/>
      <c r="D60" s="181" t="s">
        <v>194</v>
      </c>
      <c r="E60" s="168"/>
      <c r="F60" s="168"/>
      <c r="G60" s="168"/>
      <c r="H60" s="168"/>
      <c r="I60" s="168"/>
      <c r="J60" s="168"/>
      <c r="K60" s="168"/>
      <c r="L60" s="168"/>
      <c r="M60" s="168"/>
      <c r="N60" s="168"/>
      <c r="O60" s="168"/>
      <c r="P60" s="168"/>
      <c r="Q60" s="168"/>
      <c r="R60" s="168"/>
      <c r="S60" s="168"/>
      <c r="T60" s="168"/>
      <c r="U60" s="168"/>
      <c r="V60" s="181" t="s">
        <v>195</v>
      </c>
      <c r="W60" s="168"/>
      <c r="X60" s="168"/>
      <c r="Y60" s="168"/>
      <c r="Z60" s="168"/>
      <c r="AA60" s="168"/>
      <c r="AB60" s="168"/>
      <c r="AC60" s="168"/>
      <c r="AD60" s="168"/>
      <c r="AE60" s="168"/>
      <c r="AF60" s="168"/>
      <c r="AG60" s="168"/>
      <c r="AH60" s="181" t="s">
        <v>194</v>
      </c>
      <c r="AI60" s="168"/>
      <c r="AJ60" s="168"/>
      <c r="AK60" s="168"/>
      <c r="AL60" s="168"/>
      <c r="AM60" s="181" t="s">
        <v>195</v>
      </c>
      <c r="AN60" s="168"/>
      <c r="AO60" s="168"/>
      <c r="AR60" s="166"/>
    </row>
    <row r="61" spans="2:44" x14ac:dyDescent="0.2">
      <c r="B61" s="156"/>
      <c r="AR61" s="156"/>
    </row>
    <row r="62" spans="2:44" x14ac:dyDescent="0.2">
      <c r="B62" s="156"/>
      <c r="AR62" s="156"/>
    </row>
    <row r="63" spans="2:44" x14ac:dyDescent="0.2">
      <c r="B63" s="156"/>
      <c r="AR63" s="156"/>
    </row>
    <row r="64" spans="2:44" s="165" customFormat="1" ht="12.75" x14ac:dyDescent="0.25">
      <c r="B64" s="166"/>
      <c r="D64" s="179" t="s">
        <v>196</v>
      </c>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79" t="s">
        <v>197</v>
      </c>
      <c r="AI64" s="180"/>
      <c r="AJ64" s="180"/>
      <c r="AK64" s="180"/>
      <c r="AL64" s="180"/>
      <c r="AM64" s="180"/>
      <c r="AN64" s="180"/>
      <c r="AO64" s="180"/>
      <c r="AR64" s="166"/>
    </row>
    <row r="65" spans="2:44" x14ac:dyDescent="0.2">
      <c r="B65" s="156"/>
      <c r="AR65" s="156"/>
    </row>
    <row r="66" spans="2:44" x14ac:dyDescent="0.2">
      <c r="B66" s="156"/>
      <c r="AR66" s="156"/>
    </row>
    <row r="67" spans="2:44" x14ac:dyDescent="0.2">
      <c r="B67" s="156"/>
      <c r="AR67" s="156"/>
    </row>
    <row r="68" spans="2:44" x14ac:dyDescent="0.2">
      <c r="B68" s="156"/>
      <c r="AR68" s="156"/>
    </row>
    <row r="69" spans="2:44" x14ac:dyDescent="0.2">
      <c r="B69" s="156"/>
      <c r="AR69" s="156"/>
    </row>
    <row r="70" spans="2:44" x14ac:dyDescent="0.2">
      <c r="B70" s="156"/>
      <c r="AR70" s="156"/>
    </row>
    <row r="71" spans="2:44" x14ac:dyDescent="0.2">
      <c r="B71" s="156"/>
      <c r="AR71" s="156"/>
    </row>
    <row r="72" spans="2:44" x14ac:dyDescent="0.2">
      <c r="B72" s="156"/>
      <c r="AR72" s="156"/>
    </row>
    <row r="73" spans="2:44" x14ac:dyDescent="0.2">
      <c r="B73" s="156"/>
      <c r="AR73" s="156"/>
    </row>
    <row r="74" spans="2:44" x14ac:dyDescent="0.2">
      <c r="B74" s="156"/>
      <c r="AR74" s="156"/>
    </row>
    <row r="75" spans="2:44" s="165" customFormat="1" ht="12.75" x14ac:dyDescent="0.25">
      <c r="B75" s="166"/>
      <c r="D75" s="181" t="s">
        <v>194</v>
      </c>
      <c r="E75" s="168"/>
      <c r="F75" s="168"/>
      <c r="G75" s="168"/>
      <c r="H75" s="168"/>
      <c r="I75" s="168"/>
      <c r="J75" s="168"/>
      <c r="K75" s="168"/>
      <c r="L75" s="168"/>
      <c r="M75" s="168"/>
      <c r="N75" s="168"/>
      <c r="O75" s="168"/>
      <c r="P75" s="168"/>
      <c r="Q75" s="168"/>
      <c r="R75" s="168"/>
      <c r="S75" s="168"/>
      <c r="T75" s="168"/>
      <c r="U75" s="168"/>
      <c r="V75" s="181" t="s">
        <v>195</v>
      </c>
      <c r="W75" s="168"/>
      <c r="X75" s="168"/>
      <c r="Y75" s="168"/>
      <c r="Z75" s="168"/>
      <c r="AA75" s="168"/>
      <c r="AB75" s="168"/>
      <c r="AC75" s="168"/>
      <c r="AD75" s="168"/>
      <c r="AE75" s="168"/>
      <c r="AF75" s="168"/>
      <c r="AG75" s="168"/>
      <c r="AH75" s="181" t="s">
        <v>194</v>
      </c>
      <c r="AI75" s="168"/>
      <c r="AJ75" s="168"/>
      <c r="AK75" s="168"/>
      <c r="AL75" s="168"/>
      <c r="AM75" s="181" t="s">
        <v>195</v>
      </c>
      <c r="AN75" s="168"/>
      <c r="AO75" s="168"/>
      <c r="AR75" s="166"/>
    </row>
    <row r="76" spans="2:44" s="165" customFormat="1" x14ac:dyDescent="0.25">
      <c r="B76" s="166"/>
      <c r="AR76" s="166"/>
    </row>
    <row r="77" spans="2:44" s="165" customFormat="1" ht="6.95" customHeight="1" x14ac:dyDescent="0.25">
      <c r="B77" s="182"/>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66"/>
    </row>
    <row r="81" spans="1:91" s="165" customFormat="1" ht="6.95" customHeight="1" x14ac:dyDescent="0.25">
      <c r="B81" s="184"/>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66"/>
    </row>
    <row r="82" spans="1:91" s="165" customFormat="1" ht="24.95" customHeight="1" x14ac:dyDescent="0.25">
      <c r="B82" s="166"/>
      <c r="C82" s="157" t="s">
        <v>311</v>
      </c>
      <c r="AR82" s="166"/>
    </row>
    <row r="83" spans="1:91" s="165" customFormat="1" ht="6.95" customHeight="1" x14ac:dyDescent="0.25">
      <c r="B83" s="166"/>
      <c r="AR83" s="166"/>
    </row>
    <row r="84" spans="1:91" s="186" customFormat="1" ht="12" customHeight="1" x14ac:dyDescent="0.25">
      <c r="B84" s="187"/>
      <c r="C84" s="162" t="s">
        <v>307</v>
      </c>
      <c r="L84" s="186" t="str">
        <f>K5</f>
        <v>003</v>
      </c>
      <c r="AR84" s="187"/>
    </row>
    <row r="85" spans="1:91" s="188" customFormat="1" ht="36.950000000000003" customHeight="1" x14ac:dyDescent="0.25">
      <c r="B85" s="189"/>
      <c r="C85" s="190" t="s">
        <v>169</v>
      </c>
      <c r="L85" s="834" t="str">
        <f>K6</f>
        <v>Cyklotrasa - Devín_RP1</v>
      </c>
      <c r="M85" s="835"/>
      <c r="N85" s="835"/>
      <c r="O85" s="835"/>
      <c r="P85" s="835"/>
      <c r="Q85" s="835"/>
      <c r="R85" s="835"/>
      <c r="S85" s="835"/>
      <c r="T85" s="835"/>
      <c r="U85" s="835"/>
      <c r="V85" s="835"/>
      <c r="W85" s="835"/>
      <c r="X85" s="835"/>
      <c r="Y85" s="835"/>
      <c r="Z85" s="835"/>
      <c r="AA85" s="835"/>
      <c r="AB85" s="835"/>
      <c r="AC85" s="835"/>
      <c r="AD85" s="835"/>
      <c r="AE85" s="835"/>
      <c r="AF85" s="835"/>
      <c r="AG85" s="835"/>
      <c r="AH85" s="835"/>
      <c r="AI85" s="835"/>
      <c r="AJ85" s="835"/>
      <c r="AR85" s="189"/>
    </row>
    <row r="86" spans="1:91" s="165" customFormat="1" ht="6.95" customHeight="1" x14ac:dyDescent="0.25">
      <c r="B86" s="166"/>
      <c r="AR86" s="166"/>
    </row>
    <row r="87" spans="1:91" s="165" customFormat="1" ht="12" customHeight="1" x14ac:dyDescent="0.25">
      <c r="B87" s="166"/>
      <c r="C87" s="162" t="s">
        <v>172</v>
      </c>
      <c r="L87" s="191" t="str">
        <f>IF(K8="","",K8)</f>
        <v xml:space="preserve"> </v>
      </c>
      <c r="AI87" s="162" t="s">
        <v>174</v>
      </c>
      <c r="AM87" s="836">
        <f>IF(AN8= "","",AN8)</f>
        <v>45908</v>
      </c>
      <c r="AN87" s="836"/>
      <c r="AR87" s="166"/>
    </row>
    <row r="88" spans="1:91" s="165" customFormat="1" ht="6.95" customHeight="1" x14ac:dyDescent="0.25">
      <c r="B88" s="166"/>
      <c r="AR88" s="166"/>
    </row>
    <row r="89" spans="1:91" s="165" customFormat="1" ht="15.2" customHeight="1" x14ac:dyDescent="0.25">
      <c r="B89" s="166"/>
      <c r="C89" s="162" t="s">
        <v>122</v>
      </c>
      <c r="L89" s="186" t="str">
        <f>IF(E11= "","",E11)</f>
        <v>Hlavné mesto SR Bratislava</v>
      </c>
      <c r="AI89" s="162" t="s">
        <v>176</v>
      </c>
      <c r="AM89" s="837" t="str">
        <f>IF(E17="","",E17)</f>
        <v>PROKOS s.r.o.</v>
      </c>
      <c r="AN89" s="838"/>
      <c r="AO89" s="838"/>
      <c r="AP89" s="838"/>
      <c r="AR89" s="166"/>
      <c r="AS89" s="839" t="s">
        <v>312</v>
      </c>
      <c r="AT89" s="840"/>
      <c r="AU89" s="193"/>
      <c r="AV89" s="193"/>
      <c r="AW89" s="193"/>
      <c r="AX89" s="193"/>
      <c r="AY89" s="193"/>
      <c r="AZ89" s="193"/>
      <c r="BA89" s="193"/>
      <c r="BB89" s="193"/>
      <c r="BC89" s="193"/>
      <c r="BD89" s="194"/>
    </row>
    <row r="90" spans="1:91" s="165" customFormat="1" ht="15.2" customHeight="1" x14ac:dyDescent="0.25">
      <c r="B90" s="166"/>
      <c r="C90" s="162" t="s">
        <v>175</v>
      </c>
      <c r="L90" s="186" t="str">
        <f>IF(E14="","",E14)</f>
        <v>Údaj sa automaticky zobrazí aj vo Výkaze výmer</v>
      </c>
      <c r="AI90" s="162" t="s">
        <v>177</v>
      </c>
      <c r="AM90" s="837" t="str">
        <f>IF(E20="","",E20)</f>
        <v>Ing. Ondrej Májek</v>
      </c>
      <c r="AN90" s="838"/>
      <c r="AO90" s="838"/>
      <c r="AP90" s="838"/>
      <c r="AR90" s="166"/>
      <c r="AS90" s="841"/>
      <c r="AT90" s="842"/>
      <c r="BD90" s="196"/>
    </row>
    <row r="91" spans="1:91" s="165" customFormat="1" ht="10.9" customHeight="1" x14ac:dyDescent="0.25">
      <c r="B91" s="166"/>
      <c r="AR91" s="166"/>
      <c r="AS91" s="841"/>
      <c r="AT91" s="842"/>
      <c r="BD91" s="196"/>
    </row>
    <row r="92" spans="1:91" s="165" customFormat="1" ht="29.25" customHeight="1" x14ac:dyDescent="0.25">
      <c r="B92" s="166"/>
      <c r="C92" s="846" t="s">
        <v>206</v>
      </c>
      <c r="D92" s="847"/>
      <c r="E92" s="847"/>
      <c r="F92" s="847"/>
      <c r="G92" s="847"/>
      <c r="H92" s="197"/>
      <c r="I92" s="848" t="s">
        <v>121</v>
      </c>
      <c r="J92" s="847"/>
      <c r="K92" s="847"/>
      <c r="L92" s="847"/>
      <c r="M92" s="847"/>
      <c r="N92" s="847"/>
      <c r="O92" s="847"/>
      <c r="P92" s="847"/>
      <c r="Q92" s="847"/>
      <c r="R92" s="847"/>
      <c r="S92" s="847"/>
      <c r="T92" s="847"/>
      <c r="U92" s="847"/>
      <c r="V92" s="847"/>
      <c r="W92" s="847"/>
      <c r="X92" s="847"/>
      <c r="Y92" s="847"/>
      <c r="Z92" s="847"/>
      <c r="AA92" s="847"/>
      <c r="AB92" s="847"/>
      <c r="AC92" s="847"/>
      <c r="AD92" s="847"/>
      <c r="AE92" s="847"/>
      <c r="AF92" s="847"/>
      <c r="AG92" s="849" t="s">
        <v>313</v>
      </c>
      <c r="AH92" s="847"/>
      <c r="AI92" s="847"/>
      <c r="AJ92" s="847"/>
      <c r="AK92" s="847"/>
      <c r="AL92" s="847"/>
      <c r="AM92" s="847"/>
      <c r="AN92" s="848" t="s">
        <v>314</v>
      </c>
      <c r="AO92" s="847"/>
      <c r="AP92" s="850"/>
      <c r="AQ92" s="198" t="s">
        <v>205</v>
      </c>
      <c r="AR92" s="166"/>
      <c r="AS92" s="199" t="s">
        <v>315</v>
      </c>
      <c r="AT92" s="200" t="s">
        <v>316</v>
      </c>
      <c r="AU92" s="200" t="s">
        <v>317</v>
      </c>
      <c r="AV92" s="200" t="s">
        <v>318</v>
      </c>
      <c r="AW92" s="200" t="s">
        <v>319</v>
      </c>
      <c r="AX92" s="200" t="s">
        <v>320</v>
      </c>
      <c r="AY92" s="200" t="s">
        <v>321</v>
      </c>
      <c r="AZ92" s="200" t="s">
        <v>322</v>
      </c>
      <c r="BA92" s="200" t="s">
        <v>323</v>
      </c>
      <c r="BB92" s="200" t="s">
        <v>324</v>
      </c>
      <c r="BC92" s="200" t="s">
        <v>325</v>
      </c>
      <c r="BD92" s="201" t="s">
        <v>326</v>
      </c>
    </row>
    <row r="93" spans="1:91" s="165" customFormat="1" ht="10.9" customHeight="1" x14ac:dyDescent="0.25">
      <c r="B93" s="166"/>
      <c r="AR93" s="166"/>
      <c r="AS93" s="202"/>
      <c r="AT93" s="193"/>
      <c r="AU93" s="193"/>
      <c r="AV93" s="193"/>
      <c r="AW93" s="193"/>
      <c r="AX93" s="193"/>
      <c r="AY93" s="193"/>
      <c r="AZ93" s="193"/>
      <c r="BA93" s="193"/>
      <c r="BB93" s="193"/>
      <c r="BC93" s="193"/>
      <c r="BD93" s="194"/>
    </row>
    <row r="94" spans="1:91" s="203" customFormat="1" ht="32.450000000000003" customHeight="1" x14ac:dyDescent="0.25">
      <c r="B94" s="204"/>
      <c r="C94" s="205" t="s">
        <v>3059</v>
      </c>
      <c r="D94" s="206"/>
      <c r="E94" s="206"/>
      <c r="F94" s="206"/>
      <c r="G94" s="206"/>
      <c r="H94" s="206"/>
      <c r="I94" s="206"/>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851">
        <f>ROUND(SUM(AG95:AG119),2)</f>
        <v>0</v>
      </c>
      <c r="AH94" s="851"/>
      <c r="AI94" s="851"/>
      <c r="AJ94" s="851"/>
      <c r="AK94" s="851"/>
      <c r="AL94" s="851"/>
      <c r="AM94" s="851"/>
      <c r="AN94" s="852">
        <f t="shared" ref="AN94:AN119" si="0">SUM(AG94,AT94)</f>
        <v>0</v>
      </c>
      <c r="AO94" s="852"/>
      <c r="AP94" s="852"/>
      <c r="AQ94" s="208" t="s">
        <v>171</v>
      </c>
      <c r="AR94" s="204"/>
      <c r="AS94" s="209">
        <f>ROUND(SUM(AS95:AS119),2)</f>
        <v>0</v>
      </c>
      <c r="AT94" s="210">
        <f t="shared" ref="AT94:AT119" si="1">ROUND(SUM(AV94:AW94),2)</f>
        <v>0</v>
      </c>
      <c r="AU94" s="211">
        <f>ROUND(SUM(AU95:AU119),5)</f>
        <v>129817.74666</v>
      </c>
      <c r="AV94" s="210">
        <f>ROUND(AZ94*L32,2)</f>
        <v>0</v>
      </c>
      <c r="AW94" s="210">
        <f>ROUND(BA94*L33,2)</f>
        <v>0</v>
      </c>
      <c r="AX94" s="210">
        <f>ROUND(BB94*L32,2)</f>
        <v>0</v>
      </c>
      <c r="AY94" s="210">
        <f>ROUND(BC94*L33,2)</f>
        <v>0</v>
      </c>
      <c r="AZ94" s="210">
        <f>ROUND(SUM(AZ95:AZ119),2)</f>
        <v>0</v>
      </c>
      <c r="BA94" s="210">
        <f>ROUND(SUM(BA95:BA119),2)</f>
        <v>0</v>
      </c>
      <c r="BB94" s="210">
        <f>ROUND(SUM(BB95:BB119),2)</f>
        <v>0</v>
      </c>
      <c r="BC94" s="210">
        <f>ROUND(SUM(BC95:BC119),2)</f>
        <v>0</v>
      </c>
      <c r="BD94" s="212">
        <f>ROUND(SUM(BD95:BD119),2)</f>
        <v>0</v>
      </c>
      <c r="BS94" s="213" t="s">
        <v>216</v>
      </c>
      <c r="BT94" s="213" t="s">
        <v>165</v>
      </c>
      <c r="BU94" s="214" t="s">
        <v>328</v>
      </c>
      <c r="BV94" s="213" t="s">
        <v>329</v>
      </c>
      <c r="BW94" s="213" t="s">
        <v>303</v>
      </c>
      <c r="BX94" s="213" t="s">
        <v>330</v>
      </c>
      <c r="CL94" s="213" t="s">
        <v>171</v>
      </c>
    </row>
    <row r="95" spans="1:91" s="223" customFormat="1" ht="16.5" customHeight="1" x14ac:dyDescent="0.25">
      <c r="A95" s="321" t="s">
        <v>331</v>
      </c>
      <c r="B95" s="215"/>
      <c r="C95" s="216"/>
      <c r="D95" s="843" t="s">
        <v>332</v>
      </c>
      <c r="E95" s="843"/>
      <c r="F95" s="843"/>
      <c r="G95" s="843"/>
      <c r="H95" s="843"/>
      <c r="I95" s="217"/>
      <c r="J95" s="843" t="s">
        <v>333</v>
      </c>
      <c r="K95" s="843"/>
      <c r="L95" s="843"/>
      <c r="M95" s="843"/>
      <c r="N95" s="843"/>
      <c r="O95" s="843"/>
      <c r="P95" s="843"/>
      <c r="Q95" s="843"/>
      <c r="R95" s="843"/>
      <c r="S95" s="843"/>
      <c r="T95" s="843"/>
      <c r="U95" s="843"/>
      <c r="V95" s="843"/>
      <c r="W95" s="843"/>
      <c r="X95" s="843"/>
      <c r="Y95" s="843"/>
      <c r="Z95" s="843"/>
      <c r="AA95" s="843"/>
      <c r="AB95" s="843"/>
      <c r="AC95" s="843"/>
      <c r="AD95" s="843"/>
      <c r="AE95" s="843"/>
      <c r="AF95" s="843"/>
      <c r="AG95" s="844">
        <f>'102.1 - SO 102.1 OM - úsek A'!J32</f>
        <v>0</v>
      </c>
      <c r="AH95" s="845"/>
      <c r="AI95" s="845"/>
      <c r="AJ95" s="845"/>
      <c r="AK95" s="845"/>
      <c r="AL95" s="845"/>
      <c r="AM95" s="845"/>
      <c r="AN95" s="844">
        <f t="shared" si="0"/>
        <v>0</v>
      </c>
      <c r="AO95" s="845"/>
      <c r="AP95" s="845"/>
      <c r="AQ95" s="218" t="s">
        <v>334</v>
      </c>
      <c r="AR95" s="215"/>
      <c r="AS95" s="219">
        <v>0</v>
      </c>
      <c r="AT95" s="220">
        <f t="shared" si="1"/>
        <v>0</v>
      </c>
      <c r="AU95" s="221">
        <f>'102.1 - SO 102.1 OM - úsek A'!P128</f>
        <v>23466.981276260001</v>
      </c>
      <c r="AV95" s="220">
        <f>'102.1 - SO 102.1 OM - úsek A'!J35</f>
        <v>0</v>
      </c>
      <c r="AW95" s="220">
        <f>'102.1 - SO 102.1 OM - úsek A'!J36</f>
        <v>0</v>
      </c>
      <c r="AX95" s="220">
        <f>'102.1 - SO 102.1 OM - úsek A'!J37</f>
        <v>0</v>
      </c>
      <c r="AY95" s="220">
        <f>'102.1 - SO 102.1 OM - úsek A'!J38</f>
        <v>0</v>
      </c>
      <c r="AZ95" s="220">
        <f>'102.1 - SO 102.1 OM - úsek A'!F35</f>
        <v>0</v>
      </c>
      <c r="BA95" s="220">
        <f>'102.1 - SO 102.1 OM - úsek A'!F36</f>
        <v>0</v>
      </c>
      <c r="BB95" s="220">
        <f>'102.1 - SO 102.1 OM - úsek A'!F37</f>
        <v>0</v>
      </c>
      <c r="BC95" s="220">
        <f>'102.1 - SO 102.1 OM - úsek A'!F38</f>
        <v>0</v>
      </c>
      <c r="BD95" s="222">
        <f>'102.1 - SO 102.1 OM - úsek A'!F39</f>
        <v>0</v>
      </c>
      <c r="BT95" s="224" t="s">
        <v>109</v>
      </c>
      <c r="BV95" s="224" t="s">
        <v>329</v>
      </c>
      <c r="BW95" s="224" t="s">
        <v>335</v>
      </c>
      <c r="BX95" s="224" t="s">
        <v>303</v>
      </c>
      <c r="CL95" s="224" t="s">
        <v>171</v>
      </c>
      <c r="CM95" s="224" t="s">
        <v>165</v>
      </c>
    </row>
    <row r="96" spans="1:91" s="223" customFormat="1" ht="24.75" customHeight="1" x14ac:dyDescent="0.25">
      <c r="A96" s="321" t="s">
        <v>331</v>
      </c>
      <c r="B96" s="215"/>
      <c r="C96" s="216"/>
      <c r="D96" s="843" t="s">
        <v>336</v>
      </c>
      <c r="E96" s="843"/>
      <c r="F96" s="843"/>
      <c r="G96" s="843"/>
      <c r="H96" s="843"/>
      <c r="I96" s="217"/>
      <c r="J96" s="843" t="s">
        <v>337</v>
      </c>
      <c r="K96" s="843"/>
      <c r="L96" s="843"/>
      <c r="M96" s="843"/>
      <c r="N96" s="843"/>
      <c r="O96" s="843"/>
      <c r="P96" s="843"/>
      <c r="Q96" s="843"/>
      <c r="R96" s="843"/>
      <c r="S96" s="843"/>
      <c r="T96" s="843"/>
      <c r="U96" s="843"/>
      <c r="V96" s="843"/>
      <c r="W96" s="843"/>
      <c r="X96" s="843"/>
      <c r="Y96" s="843"/>
      <c r="Z96" s="843"/>
      <c r="AA96" s="843"/>
      <c r="AB96" s="843"/>
      <c r="AC96" s="843"/>
      <c r="AD96" s="843"/>
      <c r="AE96" s="843"/>
      <c r="AF96" s="843"/>
      <c r="AG96" s="844">
        <f>'100.1 - SO 101.1 Úprava k...'!J32</f>
        <v>0</v>
      </c>
      <c r="AH96" s="845"/>
      <c r="AI96" s="845"/>
      <c r="AJ96" s="845"/>
      <c r="AK96" s="845"/>
      <c r="AL96" s="845"/>
      <c r="AM96" s="845"/>
      <c r="AN96" s="844">
        <f t="shared" si="0"/>
        <v>0</v>
      </c>
      <c r="AO96" s="845"/>
      <c r="AP96" s="845"/>
      <c r="AQ96" s="218" t="s">
        <v>334</v>
      </c>
      <c r="AR96" s="215"/>
      <c r="AS96" s="219">
        <v>0</v>
      </c>
      <c r="AT96" s="220">
        <f t="shared" si="1"/>
        <v>0</v>
      </c>
      <c r="AU96" s="221">
        <f>'100.1 - SO 101.1 Úprava k...'!P126</f>
        <v>9016.9705360000007</v>
      </c>
      <c r="AV96" s="220">
        <f>'100.1 - SO 101.1 Úprava k...'!J35</f>
        <v>0</v>
      </c>
      <c r="AW96" s="220">
        <f>'100.1 - SO 101.1 Úprava k...'!J36</f>
        <v>0</v>
      </c>
      <c r="AX96" s="220">
        <f>'100.1 - SO 101.1 Úprava k...'!J37</f>
        <v>0</v>
      </c>
      <c r="AY96" s="220">
        <f>'100.1 - SO 101.1 Úprava k...'!J38</f>
        <v>0</v>
      </c>
      <c r="AZ96" s="220">
        <f>'100.1 - SO 101.1 Úprava k...'!F35</f>
        <v>0</v>
      </c>
      <c r="BA96" s="220">
        <f>'100.1 - SO 101.1 Úprava k...'!F36</f>
        <v>0</v>
      </c>
      <c r="BB96" s="220">
        <f>'100.1 - SO 101.1 Úprava k...'!F37</f>
        <v>0</v>
      </c>
      <c r="BC96" s="220">
        <f>'100.1 - SO 101.1 Úprava k...'!F38</f>
        <v>0</v>
      </c>
      <c r="BD96" s="222">
        <f>'100.1 - SO 101.1 Úprava k...'!F39</f>
        <v>0</v>
      </c>
      <c r="BT96" s="224" t="s">
        <v>109</v>
      </c>
      <c r="BV96" s="224" t="s">
        <v>329</v>
      </c>
      <c r="BW96" s="224" t="s">
        <v>338</v>
      </c>
      <c r="BX96" s="224" t="s">
        <v>303</v>
      </c>
      <c r="CL96" s="224" t="s">
        <v>171</v>
      </c>
      <c r="CM96" s="224" t="s">
        <v>165</v>
      </c>
    </row>
    <row r="97" spans="1:91" s="223" customFormat="1" ht="24.75" customHeight="1" x14ac:dyDescent="0.25">
      <c r="A97" s="321" t="s">
        <v>331</v>
      </c>
      <c r="B97" s="215"/>
      <c r="C97" s="216"/>
      <c r="D97" s="843" t="s">
        <v>339</v>
      </c>
      <c r="E97" s="843"/>
      <c r="F97" s="843"/>
      <c r="G97" s="843"/>
      <c r="H97" s="843"/>
      <c r="I97" s="217"/>
      <c r="J97" s="843" t="s">
        <v>340</v>
      </c>
      <c r="K97" s="843"/>
      <c r="L97" s="843"/>
      <c r="M97" s="843"/>
      <c r="N97" s="843"/>
      <c r="O97" s="843"/>
      <c r="P97" s="843"/>
      <c r="Q97" s="843"/>
      <c r="R97" s="843"/>
      <c r="S97" s="843"/>
      <c r="T97" s="843"/>
      <c r="U97" s="843"/>
      <c r="V97" s="843"/>
      <c r="W97" s="843"/>
      <c r="X97" s="843"/>
      <c r="Y97" s="843"/>
      <c r="Z97" s="843"/>
      <c r="AA97" s="843"/>
      <c r="AB97" s="843"/>
      <c r="AC97" s="843"/>
      <c r="AD97" s="843"/>
      <c r="AE97" s="843"/>
      <c r="AF97" s="843"/>
      <c r="AG97" s="844">
        <f>'100.2 - SO 101.2 Úprava k...'!J32</f>
        <v>0</v>
      </c>
      <c r="AH97" s="845"/>
      <c r="AI97" s="845"/>
      <c r="AJ97" s="845"/>
      <c r="AK97" s="845"/>
      <c r="AL97" s="845"/>
      <c r="AM97" s="845"/>
      <c r="AN97" s="844">
        <f t="shared" si="0"/>
        <v>0</v>
      </c>
      <c r="AO97" s="845"/>
      <c r="AP97" s="845"/>
      <c r="AQ97" s="218" t="s">
        <v>334</v>
      </c>
      <c r="AR97" s="215"/>
      <c r="AS97" s="219">
        <v>0</v>
      </c>
      <c r="AT97" s="220">
        <f t="shared" si="1"/>
        <v>0</v>
      </c>
      <c r="AU97" s="221">
        <f>'100.2 - SO 101.2 Úprava k...'!P127</f>
        <v>3502.049892</v>
      </c>
      <c r="AV97" s="220">
        <f>'100.2 - SO 101.2 Úprava k...'!J35</f>
        <v>0</v>
      </c>
      <c r="AW97" s="220">
        <f>'100.2 - SO 101.2 Úprava k...'!J36</f>
        <v>0</v>
      </c>
      <c r="AX97" s="220">
        <f>'100.2 - SO 101.2 Úprava k...'!J37</f>
        <v>0</v>
      </c>
      <c r="AY97" s="220">
        <f>'100.2 - SO 101.2 Úprava k...'!J38</f>
        <v>0</v>
      </c>
      <c r="AZ97" s="220">
        <f>'100.2 - SO 101.2 Úprava k...'!F35</f>
        <v>0</v>
      </c>
      <c r="BA97" s="220">
        <f>'100.2 - SO 101.2 Úprava k...'!F36</f>
        <v>0</v>
      </c>
      <c r="BB97" s="220">
        <f>'100.2 - SO 101.2 Úprava k...'!F37</f>
        <v>0</v>
      </c>
      <c r="BC97" s="220">
        <f>'100.2 - SO 101.2 Úprava k...'!F38</f>
        <v>0</v>
      </c>
      <c r="BD97" s="222">
        <f>'100.2 - SO 101.2 Úprava k...'!F39</f>
        <v>0</v>
      </c>
      <c r="BT97" s="224" t="s">
        <v>109</v>
      </c>
      <c r="BV97" s="224" t="s">
        <v>329</v>
      </c>
      <c r="BW97" s="224" t="s">
        <v>341</v>
      </c>
      <c r="BX97" s="224" t="s">
        <v>303</v>
      </c>
      <c r="CL97" s="224" t="s">
        <v>171</v>
      </c>
      <c r="CM97" s="224" t="s">
        <v>165</v>
      </c>
    </row>
    <row r="98" spans="1:91" s="223" customFormat="1" ht="24.75" customHeight="1" x14ac:dyDescent="0.25">
      <c r="A98" s="321" t="s">
        <v>331</v>
      </c>
      <c r="B98" s="215"/>
      <c r="C98" s="216"/>
      <c r="D98" s="843" t="s">
        <v>342</v>
      </c>
      <c r="E98" s="843"/>
      <c r="F98" s="843"/>
      <c r="G98" s="843"/>
      <c r="H98" s="843"/>
      <c r="I98" s="217"/>
      <c r="J98" s="843" t="s">
        <v>343</v>
      </c>
      <c r="K98" s="843"/>
      <c r="L98" s="843"/>
      <c r="M98" s="843"/>
      <c r="N98" s="843"/>
      <c r="O98" s="843"/>
      <c r="P98" s="843"/>
      <c r="Q98" s="843"/>
      <c r="R98" s="843"/>
      <c r="S98" s="843"/>
      <c r="T98" s="843"/>
      <c r="U98" s="843"/>
      <c r="V98" s="843"/>
      <c r="W98" s="843"/>
      <c r="X98" s="843"/>
      <c r="Y98" s="843"/>
      <c r="Z98" s="843"/>
      <c r="AA98" s="843"/>
      <c r="AB98" s="843"/>
      <c r="AC98" s="843"/>
      <c r="AD98" s="843"/>
      <c r="AE98" s="843"/>
      <c r="AF98" s="843"/>
      <c r="AG98" s="844">
        <f>'100.3 - SO 101.3 Úprava k...'!J32</f>
        <v>0</v>
      </c>
      <c r="AH98" s="845"/>
      <c r="AI98" s="845"/>
      <c r="AJ98" s="845"/>
      <c r="AK98" s="845"/>
      <c r="AL98" s="845"/>
      <c r="AM98" s="845"/>
      <c r="AN98" s="844">
        <f t="shared" si="0"/>
        <v>0</v>
      </c>
      <c r="AO98" s="845"/>
      <c r="AP98" s="845"/>
      <c r="AQ98" s="218" t="s">
        <v>334</v>
      </c>
      <c r="AR98" s="215"/>
      <c r="AS98" s="219">
        <v>0</v>
      </c>
      <c r="AT98" s="220">
        <f t="shared" si="1"/>
        <v>0</v>
      </c>
      <c r="AU98" s="221">
        <f>'100.3 - SO 101.3 Úprava k...'!P127</f>
        <v>3709.3118605999998</v>
      </c>
      <c r="AV98" s="220">
        <f>'100.3 - SO 101.3 Úprava k...'!J35</f>
        <v>0</v>
      </c>
      <c r="AW98" s="220">
        <f>'100.3 - SO 101.3 Úprava k...'!J36</f>
        <v>0</v>
      </c>
      <c r="AX98" s="220">
        <f>'100.3 - SO 101.3 Úprava k...'!J37</f>
        <v>0</v>
      </c>
      <c r="AY98" s="220">
        <f>'100.3 - SO 101.3 Úprava k...'!J38</f>
        <v>0</v>
      </c>
      <c r="AZ98" s="220">
        <f>'100.3 - SO 101.3 Úprava k...'!F35</f>
        <v>0</v>
      </c>
      <c r="BA98" s="220">
        <f>'100.3 - SO 101.3 Úprava k...'!F36</f>
        <v>0</v>
      </c>
      <c r="BB98" s="220">
        <f>'100.3 - SO 101.3 Úprava k...'!F37</f>
        <v>0</v>
      </c>
      <c r="BC98" s="220">
        <f>'100.3 - SO 101.3 Úprava k...'!F38</f>
        <v>0</v>
      </c>
      <c r="BD98" s="222">
        <f>'100.3 - SO 101.3 Úprava k...'!F39</f>
        <v>0</v>
      </c>
      <c r="BT98" s="224" t="s">
        <v>109</v>
      </c>
      <c r="BV98" s="224" t="s">
        <v>329</v>
      </c>
      <c r="BW98" s="224" t="s">
        <v>344</v>
      </c>
      <c r="BX98" s="224" t="s">
        <v>303</v>
      </c>
      <c r="CL98" s="224" t="s">
        <v>171</v>
      </c>
      <c r="CM98" s="224" t="s">
        <v>165</v>
      </c>
    </row>
    <row r="99" spans="1:91" s="223" customFormat="1" ht="24.75" customHeight="1" x14ac:dyDescent="0.25">
      <c r="A99" s="321" t="s">
        <v>331</v>
      </c>
      <c r="B99" s="215"/>
      <c r="C99" s="216"/>
      <c r="D99" s="843" t="s">
        <v>345</v>
      </c>
      <c r="E99" s="843"/>
      <c r="F99" s="843"/>
      <c r="G99" s="843"/>
      <c r="H99" s="843"/>
      <c r="I99" s="217"/>
      <c r="J99" s="843" t="s">
        <v>346</v>
      </c>
      <c r="K99" s="843"/>
      <c r="L99" s="843"/>
      <c r="M99" s="843"/>
      <c r="N99" s="843"/>
      <c r="O99" s="843"/>
      <c r="P99" s="843"/>
      <c r="Q99" s="843"/>
      <c r="R99" s="843"/>
      <c r="S99" s="843"/>
      <c r="T99" s="843"/>
      <c r="U99" s="843"/>
      <c r="V99" s="843"/>
      <c r="W99" s="843"/>
      <c r="X99" s="843"/>
      <c r="Y99" s="843"/>
      <c r="Z99" s="843"/>
      <c r="AA99" s="843"/>
      <c r="AB99" s="843"/>
      <c r="AC99" s="843"/>
      <c r="AD99" s="843"/>
      <c r="AE99" s="843"/>
      <c r="AF99" s="843"/>
      <c r="AG99" s="844">
        <f>'100.4 - SO 101.4 Úprava k...'!J32</f>
        <v>0</v>
      </c>
      <c r="AH99" s="845"/>
      <c r="AI99" s="845"/>
      <c r="AJ99" s="845"/>
      <c r="AK99" s="845"/>
      <c r="AL99" s="845"/>
      <c r="AM99" s="845"/>
      <c r="AN99" s="844">
        <f t="shared" si="0"/>
        <v>0</v>
      </c>
      <c r="AO99" s="845"/>
      <c r="AP99" s="845"/>
      <c r="AQ99" s="218" t="s">
        <v>334</v>
      </c>
      <c r="AR99" s="215"/>
      <c r="AS99" s="219">
        <v>0</v>
      </c>
      <c r="AT99" s="220">
        <f t="shared" si="1"/>
        <v>0</v>
      </c>
      <c r="AU99" s="221">
        <f>'100.4 - SO 101.4 Úprava k...'!P127</f>
        <v>3758.8483340000002</v>
      </c>
      <c r="AV99" s="220">
        <f>'100.4 - SO 101.4 Úprava k...'!J35</f>
        <v>0</v>
      </c>
      <c r="AW99" s="220">
        <f>'100.4 - SO 101.4 Úprava k...'!J36</f>
        <v>0</v>
      </c>
      <c r="AX99" s="220">
        <f>'100.4 - SO 101.4 Úprava k...'!J37</f>
        <v>0</v>
      </c>
      <c r="AY99" s="220">
        <f>'100.4 - SO 101.4 Úprava k...'!J38</f>
        <v>0</v>
      </c>
      <c r="AZ99" s="220">
        <f>'100.4 - SO 101.4 Úprava k...'!F35</f>
        <v>0</v>
      </c>
      <c r="BA99" s="220">
        <f>'100.4 - SO 101.4 Úprava k...'!F36</f>
        <v>0</v>
      </c>
      <c r="BB99" s="220">
        <f>'100.4 - SO 101.4 Úprava k...'!F37</f>
        <v>0</v>
      </c>
      <c r="BC99" s="220">
        <f>'100.4 - SO 101.4 Úprava k...'!F38</f>
        <v>0</v>
      </c>
      <c r="BD99" s="222">
        <f>'100.4 - SO 101.4 Úprava k...'!F39</f>
        <v>0</v>
      </c>
      <c r="BT99" s="224" t="s">
        <v>109</v>
      </c>
      <c r="BV99" s="224" t="s">
        <v>329</v>
      </c>
      <c r="BW99" s="224" t="s">
        <v>347</v>
      </c>
      <c r="BX99" s="224" t="s">
        <v>303</v>
      </c>
      <c r="CL99" s="224" t="s">
        <v>171</v>
      </c>
      <c r="CM99" s="224" t="s">
        <v>165</v>
      </c>
    </row>
    <row r="100" spans="1:91" s="223" customFormat="1" ht="16.5" customHeight="1" x14ac:dyDescent="0.25">
      <c r="A100" s="321" t="s">
        <v>331</v>
      </c>
      <c r="B100" s="215"/>
      <c r="C100" s="216"/>
      <c r="D100" s="843" t="s">
        <v>348</v>
      </c>
      <c r="E100" s="843"/>
      <c r="F100" s="843"/>
      <c r="G100" s="843"/>
      <c r="H100" s="843"/>
      <c r="I100" s="217"/>
      <c r="J100" s="843" t="s">
        <v>349</v>
      </c>
      <c r="K100" s="843"/>
      <c r="L100" s="843"/>
      <c r="M100" s="843"/>
      <c r="N100" s="843"/>
      <c r="O100" s="843"/>
      <c r="P100" s="843"/>
      <c r="Q100" s="843"/>
      <c r="R100" s="843"/>
      <c r="S100" s="843"/>
      <c r="T100" s="843"/>
      <c r="U100" s="843"/>
      <c r="V100" s="843"/>
      <c r="W100" s="843"/>
      <c r="X100" s="843"/>
      <c r="Y100" s="843"/>
      <c r="Z100" s="843"/>
      <c r="AA100" s="843"/>
      <c r="AB100" s="843"/>
      <c r="AC100" s="843"/>
      <c r="AD100" s="843"/>
      <c r="AE100" s="843"/>
      <c r="AF100" s="843"/>
      <c r="AG100" s="844">
        <f>'021 - VRN - úsek A'!J32</f>
        <v>0</v>
      </c>
      <c r="AH100" s="845"/>
      <c r="AI100" s="845"/>
      <c r="AJ100" s="845"/>
      <c r="AK100" s="845"/>
      <c r="AL100" s="845"/>
      <c r="AM100" s="845"/>
      <c r="AN100" s="844">
        <f t="shared" si="0"/>
        <v>0</v>
      </c>
      <c r="AO100" s="845"/>
      <c r="AP100" s="845"/>
      <c r="AQ100" s="218" t="s">
        <v>334</v>
      </c>
      <c r="AR100" s="215"/>
      <c r="AS100" s="219">
        <v>0</v>
      </c>
      <c r="AT100" s="220">
        <f t="shared" si="1"/>
        <v>0</v>
      </c>
      <c r="AU100" s="221">
        <f>'021 - VRN - úsek A'!P128</f>
        <v>0</v>
      </c>
      <c r="AV100" s="220">
        <f>'021 - VRN - úsek A'!J35</f>
        <v>0</v>
      </c>
      <c r="AW100" s="220">
        <f>'021 - VRN - úsek A'!J36</f>
        <v>0</v>
      </c>
      <c r="AX100" s="220">
        <f>'021 - VRN - úsek A'!J37</f>
        <v>0</v>
      </c>
      <c r="AY100" s="220">
        <f>'021 - VRN - úsek A'!J38</f>
        <v>0</v>
      </c>
      <c r="AZ100" s="220">
        <f>'021 - VRN - úsek A'!F35</f>
        <v>0</v>
      </c>
      <c r="BA100" s="220">
        <f>'021 - VRN - úsek A'!F36</f>
        <v>0</v>
      </c>
      <c r="BB100" s="220">
        <f>'021 - VRN - úsek A'!F37</f>
        <v>0</v>
      </c>
      <c r="BC100" s="220">
        <f>'021 - VRN - úsek A'!F38</f>
        <v>0</v>
      </c>
      <c r="BD100" s="222">
        <f>'021 - VRN - úsek A'!F39</f>
        <v>0</v>
      </c>
      <c r="BT100" s="224" t="s">
        <v>109</v>
      </c>
      <c r="BV100" s="224" t="s">
        <v>329</v>
      </c>
      <c r="BW100" s="224" t="s">
        <v>350</v>
      </c>
      <c r="BX100" s="224" t="s">
        <v>303</v>
      </c>
      <c r="CL100" s="224" t="s">
        <v>171</v>
      </c>
      <c r="CM100" s="224" t="s">
        <v>165</v>
      </c>
    </row>
    <row r="101" spans="1:91" s="223" customFormat="1" ht="16.5" customHeight="1" x14ac:dyDescent="0.25">
      <c r="A101" s="321" t="s">
        <v>331</v>
      </c>
      <c r="B101" s="215"/>
      <c r="C101" s="216"/>
      <c r="D101" s="843" t="s">
        <v>351</v>
      </c>
      <c r="E101" s="843"/>
      <c r="F101" s="843"/>
      <c r="G101" s="843"/>
      <c r="H101" s="843"/>
      <c r="I101" s="217"/>
      <c r="J101" s="843" t="s">
        <v>352</v>
      </c>
      <c r="K101" s="843"/>
      <c r="L101" s="843"/>
      <c r="M101" s="843"/>
      <c r="N101" s="843"/>
      <c r="O101" s="843"/>
      <c r="P101" s="843"/>
      <c r="Q101" s="843"/>
      <c r="R101" s="843"/>
      <c r="S101" s="843"/>
      <c r="T101" s="843"/>
      <c r="U101" s="843"/>
      <c r="V101" s="843"/>
      <c r="W101" s="843"/>
      <c r="X101" s="843"/>
      <c r="Y101" s="843"/>
      <c r="Z101" s="843"/>
      <c r="AA101" s="843"/>
      <c r="AB101" s="843"/>
      <c r="AC101" s="843"/>
      <c r="AD101" s="843"/>
      <c r="AE101" s="843"/>
      <c r="AF101" s="843"/>
      <c r="AG101" s="844">
        <f>'022 - VRN - úsek D'!J32</f>
        <v>0</v>
      </c>
      <c r="AH101" s="845"/>
      <c r="AI101" s="845"/>
      <c r="AJ101" s="845"/>
      <c r="AK101" s="845"/>
      <c r="AL101" s="845"/>
      <c r="AM101" s="845"/>
      <c r="AN101" s="844">
        <f t="shared" si="0"/>
        <v>0</v>
      </c>
      <c r="AO101" s="845"/>
      <c r="AP101" s="845"/>
      <c r="AQ101" s="218" t="s">
        <v>334</v>
      </c>
      <c r="AR101" s="215"/>
      <c r="AS101" s="219">
        <v>0</v>
      </c>
      <c r="AT101" s="220">
        <f t="shared" si="1"/>
        <v>0</v>
      </c>
      <c r="AU101" s="221">
        <f>'022 - VRN - úsek D'!P128</f>
        <v>0</v>
      </c>
      <c r="AV101" s="220">
        <f>'022 - VRN - úsek D'!J35</f>
        <v>0</v>
      </c>
      <c r="AW101" s="220">
        <f>'022 - VRN - úsek D'!J36</f>
        <v>0</v>
      </c>
      <c r="AX101" s="220">
        <f>'022 - VRN - úsek D'!J37</f>
        <v>0</v>
      </c>
      <c r="AY101" s="220">
        <f>'022 - VRN - úsek D'!J38</f>
        <v>0</v>
      </c>
      <c r="AZ101" s="220">
        <f>'022 - VRN - úsek D'!F35</f>
        <v>0</v>
      </c>
      <c r="BA101" s="220">
        <f>'022 - VRN - úsek D'!F36</f>
        <v>0</v>
      </c>
      <c r="BB101" s="220">
        <f>'022 - VRN - úsek D'!F37</f>
        <v>0</v>
      </c>
      <c r="BC101" s="220">
        <f>'022 - VRN - úsek D'!F38</f>
        <v>0</v>
      </c>
      <c r="BD101" s="222">
        <f>'022 - VRN - úsek D'!F39</f>
        <v>0</v>
      </c>
      <c r="BT101" s="224" t="s">
        <v>109</v>
      </c>
      <c r="BV101" s="224" t="s">
        <v>329</v>
      </c>
      <c r="BW101" s="224" t="s">
        <v>353</v>
      </c>
      <c r="BX101" s="224" t="s">
        <v>303</v>
      </c>
      <c r="CL101" s="224" t="s">
        <v>171</v>
      </c>
      <c r="CM101" s="224" t="s">
        <v>165</v>
      </c>
    </row>
    <row r="102" spans="1:91" s="223" customFormat="1" ht="16.5" customHeight="1" x14ac:dyDescent="0.25">
      <c r="A102" s="321" t="s">
        <v>331</v>
      </c>
      <c r="B102" s="215"/>
      <c r="C102" s="216"/>
      <c r="D102" s="843" t="s">
        <v>354</v>
      </c>
      <c r="E102" s="843"/>
      <c r="F102" s="843"/>
      <c r="G102" s="843"/>
      <c r="H102" s="843"/>
      <c r="I102" s="217"/>
      <c r="J102" s="843" t="s">
        <v>355</v>
      </c>
      <c r="K102" s="843"/>
      <c r="L102" s="843"/>
      <c r="M102" s="843"/>
      <c r="N102" s="843"/>
      <c r="O102" s="843"/>
      <c r="P102" s="843"/>
      <c r="Q102" s="843"/>
      <c r="R102" s="843"/>
      <c r="S102" s="843"/>
      <c r="T102" s="843"/>
      <c r="U102" s="843"/>
      <c r="V102" s="843"/>
      <c r="W102" s="843"/>
      <c r="X102" s="843"/>
      <c r="Y102" s="843"/>
      <c r="Z102" s="843"/>
      <c r="AA102" s="843"/>
      <c r="AB102" s="843"/>
      <c r="AC102" s="843"/>
      <c r="AD102" s="843"/>
      <c r="AE102" s="843"/>
      <c r="AF102" s="843"/>
      <c r="AG102" s="844">
        <f>'024 - VRN - úsek B'!J32</f>
        <v>0</v>
      </c>
      <c r="AH102" s="845"/>
      <c r="AI102" s="845"/>
      <c r="AJ102" s="845"/>
      <c r="AK102" s="845"/>
      <c r="AL102" s="845"/>
      <c r="AM102" s="845"/>
      <c r="AN102" s="844">
        <f t="shared" si="0"/>
        <v>0</v>
      </c>
      <c r="AO102" s="845"/>
      <c r="AP102" s="845"/>
      <c r="AQ102" s="218" t="s">
        <v>334</v>
      </c>
      <c r="AR102" s="215"/>
      <c r="AS102" s="219">
        <v>0</v>
      </c>
      <c r="AT102" s="220">
        <f t="shared" si="1"/>
        <v>0</v>
      </c>
      <c r="AU102" s="221">
        <f>'024 - VRN - úsek B'!P128</f>
        <v>0</v>
      </c>
      <c r="AV102" s="220">
        <f>'024 - VRN - úsek B'!J35</f>
        <v>0</v>
      </c>
      <c r="AW102" s="220">
        <f>'024 - VRN - úsek B'!J36</f>
        <v>0</v>
      </c>
      <c r="AX102" s="220">
        <f>'024 - VRN - úsek B'!J37</f>
        <v>0</v>
      </c>
      <c r="AY102" s="220">
        <f>'024 - VRN - úsek B'!J38</f>
        <v>0</v>
      </c>
      <c r="AZ102" s="220">
        <f>'024 - VRN - úsek B'!F35</f>
        <v>0</v>
      </c>
      <c r="BA102" s="220">
        <f>'024 - VRN - úsek B'!F36</f>
        <v>0</v>
      </c>
      <c r="BB102" s="220">
        <f>'024 - VRN - úsek B'!F37</f>
        <v>0</v>
      </c>
      <c r="BC102" s="220">
        <f>'024 - VRN - úsek B'!F38</f>
        <v>0</v>
      </c>
      <c r="BD102" s="222">
        <f>'024 - VRN - úsek B'!F39</f>
        <v>0</v>
      </c>
      <c r="BT102" s="224" t="s">
        <v>109</v>
      </c>
      <c r="BV102" s="224" t="s">
        <v>329</v>
      </c>
      <c r="BW102" s="224" t="s">
        <v>356</v>
      </c>
      <c r="BX102" s="224" t="s">
        <v>303</v>
      </c>
      <c r="CL102" s="224" t="s">
        <v>171</v>
      </c>
      <c r="CM102" s="224" t="s">
        <v>165</v>
      </c>
    </row>
    <row r="103" spans="1:91" s="223" customFormat="1" ht="16.5" customHeight="1" x14ac:dyDescent="0.25">
      <c r="A103" s="321" t="s">
        <v>331</v>
      </c>
      <c r="B103" s="215"/>
      <c r="C103" s="216"/>
      <c r="D103" s="843" t="s">
        <v>357</v>
      </c>
      <c r="E103" s="843"/>
      <c r="F103" s="843"/>
      <c r="G103" s="843"/>
      <c r="H103" s="843"/>
      <c r="I103" s="217"/>
      <c r="J103" s="843" t="s">
        <v>358</v>
      </c>
      <c r="K103" s="843"/>
      <c r="L103" s="843"/>
      <c r="M103" s="843"/>
      <c r="N103" s="843"/>
      <c r="O103" s="843"/>
      <c r="P103" s="843"/>
      <c r="Q103" s="843"/>
      <c r="R103" s="843"/>
      <c r="S103" s="843"/>
      <c r="T103" s="843"/>
      <c r="U103" s="843"/>
      <c r="V103" s="843"/>
      <c r="W103" s="843"/>
      <c r="X103" s="843"/>
      <c r="Y103" s="843"/>
      <c r="Z103" s="843"/>
      <c r="AA103" s="843"/>
      <c r="AB103" s="843"/>
      <c r="AC103" s="843"/>
      <c r="AD103" s="843"/>
      <c r="AE103" s="843"/>
      <c r="AF103" s="843"/>
      <c r="AG103" s="844">
        <f>'025 - VRN - úsek C'!J32</f>
        <v>0</v>
      </c>
      <c r="AH103" s="845"/>
      <c r="AI103" s="845"/>
      <c r="AJ103" s="845"/>
      <c r="AK103" s="845"/>
      <c r="AL103" s="845"/>
      <c r="AM103" s="845"/>
      <c r="AN103" s="844">
        <f t="shared" si="0"/>
        <v>0</v>
      </c>
      <c r="AO103" s="845"/>
      <c r="AP103" s="845"/>
      <c r="AQ103" s="218" t="s">
        <v>334</v>
      </c>
      <c r="AR103" s="215"/>
      <c r="AS103" s="219">
        <v>0</v>
      </c>
      <c r="AT103" s="220">
        <f t="shared" si="1"/>
        <v>0</v>
      </c>
      <c r="AU103" s="221">
        <f>'025 - VRN - úsek C'!P128</f>
        <v>0</v>
      </c>
      <c r="AV103" s="220">
        <f>'025 - VRN - úsek C'!J35</f>
        <v>0</v>
      </c>
      <c r="AW103" s="220">
        <f>'025 - VRN - úsek C'!J36</f>
        <v>0</v>
      </c>
      <c r="AX103" s="220">
        <f>'025 - VRN - úsek C'!J37</f>
        <v>0</v>
      </c>
      <c r="AY103" s="220">
        <f>'025 - VRN - úsek C'!J38</f>
        <v>0</v>
      </c>
      <c r="AZ103" s="220">
        <f>'025 - VRN - úsek C'!F35</f>
        <v>0</v>
      </c>
      <c r="BA103" s="220">
        <f>'025 - VRN - úsek C'!F36</f>
        <v>0</v>
      </c>
      <c r="BB103" s="220">
        <f>'025 - VRN - úsek C'!F37</f>
        <v>0</v>
      </c>
      <c r="BC103" s="220">
        <f>'025 - VRN - úsek C'!F38</f>
        <v>0</v>
      </c>
      <c r="BD103" s="222">
        <f>'025 - VRN - úsek C'!F39</f>
        <v>0</v>
      </c>
      <c r="BT103" s="224" t="s">
        <v>109</v>
      </c>
      <c r="BV103" s="224" t="s">
        <v>329</v>
      </c>
      <c r="BW103" s="224" t="s">
        <v>359</v>
      </c>
      <c r="BX103" s="224" t="s">
        <v>303</v>
      </c>
      <c r="CL103" s="224" t="s">
        <v>171</v>
      </c>
      <c r="CM103" s="224" t="s">
        <v>165</v>
      </c>
    </row>
    <row r="104" spans="1:91" s="223" customFormat="1" ht="24.75" customHeight="1" x14ac:dyDescent="0.25">
      <c r="A104" s="321" t="s">
        <v>331</v>
      </c>
      <c r="B104" s="215"/>
      <c r="C104" s="216"/>
      <c r="D104" s="843" t="s">
        <v>360</v>
      </c>
      <c r="E104" s="843"/>
      <c r="F104" s="843"/>
      <c r="G104" s="843"/>
      <c r="H104" s="843"/>
      <c r="I104" s="217"/>
      <c r="J104" s="843" t="s">
        <v>361</v>
      </c>
      <c r="K104" s="843"/>
      <c r="L104" s="843"/>
      <c r="M104" s="843"/>
      <c r="N104" s="843"/>
      <c r="O104" s="843"/>
      <c r="P104" s="843"/>
      <c r="Q104" s="843"/>
      <c r="R104" s="843"/>
      <c r="S104" s="843"/>
      <c r="T104" s="843"/>
      <c r="U104" s="843"/>
      <c r="V104" s="843"/>
      <c r="W104" s="843"/>
      <c r="X104" s="843"/>
      <c r="Y104" s="843"/>
      <c r="Z104" s="843"/>
      <c r="AA104" s="843"/>
      <c r="AB104" s="843"/>
      <c r="AC104" s="843"/>
      <c r="AD104" s="843"/>
      <c r="AE104" s="843"/>
      <c r="AF104" s="843"/>
      <c r="AG104" s="844">
        <f>'103.1 - SO 103.1 Predlzen...'!J32</f>
        <v>0</v>
      </c>
      <c r="AH104" s="845"/>
      <c r="AI104" s="845"/>
      <c r="AJ104" s="845"/>
      <c r="AK104" s="845"/>
      <c r="AL104" s="845"/>
      <c r="AM104" s="845"/>
      <c r="AN104" s="844">
        <f t="shared" si="0"/>
        <v>0</v>
      </c>
      <c r="AO104" s="845"/>
      <c r="AP104" s="845"/>
      <c r="AQ104" s="218" t="s">
        <v>334</v>
      </c>
      <c r="AR104" s="215"/>
      <c r="AS104" s="219">
        <v>0</v>
      </c>
      <c r="AT104" s="220">
        <f t="shared" si="1"/>
        <v>0</v>
      </c>
      <c r="AU104" s="221">
        <f>'103.1 - SO 103.1 Predlzen...'!P127</f>
        <v>186.94102199999998</v>
      </c>
      <c r="AV104" s="220">
        <f>'103.1 - SO 103.1 Predlzen...'!J35</f>
        <v>0</v>
      </c>
      <c r="AW104" s="220">
        <f>'103.1 - SO 103.1 Predlzen...'!J36</f>
        <v>0</v>
      </c>
      <c r="AX104" s="220">
        <f>'103.1 - SO 103.1 Predlzen...'!J37</f>
        <v>0</v>
      </c>
      <c r="AY104" s="220">
        <f>'103.1 - SO 103.1 Predlzen...'!J38</f>
        <v>0</v>
      </c>
      <c r="AZ104" s="220">
        <f>'103.1 - SO 103.1 Predlzen...'!F35</f>
        <v>0</v>
      </c>
      <c r="BA104" s="220">
        <f>'103.1 - SO 103.1 Predlzen...'!F36</f>
        <v>0</v>
      </c>
      <c r="BB104" s="220">
        <f>'103.1 - SO 103.1 Predlzen...'!F37</f>
        <v>0</v>
      </c>
      <c r="BC104" s="220">
        <f>'103.1 - SO 103.1 Predlzen...'!F38</f>
        <v>0</v>
      </c>
      <c r="BD104" s="222">
        <f>'103.1 - SO 103.1 Predlzen...'!F39</f>
        <v>0</v>
      </c>
      <c r="BT104" s="224" t="s">
        <v>109</v>
      </c>
      <c r="BV104" s="224" t="s">
        <v>329</v>
      </c>
      <c r="BW104" s="224" t="s">
        <v>362</v>
      </c>
      <c r="BX104" s="224" t="s">
        <v>303</v>
      </c>
      <c r="CL104" s="224" t="s">
        <v>171</v>
      </c>
      <c r="CM104" s="224" t="s">
        <v>165</v>
      </c>
    </row>
    <row r="105" spans="1:91" s="223" customFormat="1" ht="16.5" customHeight="1" x14ac:dyDescent="0.25">
      <c r="A105" s="321" t="s">
        <v>331</v>
      </c>
      <c r="B105" s="215"/>
      <c r="C105" s="216"/>
      <c r="D105" s="843" t="s">
        <v>363</v>
      </c>
      <c r="E105" s="843"/>
      <c r="F105" s="843"/>
      <c r="G105" s="843"/>
      <c r="H105" s="843"/>
      <c r="I105" s="217"/>
      <c r="J105" s="843" t="s">
        <v>364</v>
      </c>
      <c r="K105" s="843"/>
      <c r="L105" s="843"/>
      <c r="M105" s="843"/>
      <c r="N105" s="843"/>
      <c r="O105" s="843"/>
      <c r="P105" s="843"/>
      <c r="Q105" s="843"/>
      <c r="R105" s="843"/>
      <c r="S105" s="843"/>
      <c r="T105" s="843"/>
      <c r="U105" s="843"/>
      <c r="V105" s="843"/>
      <c r="W105" s="843"/>
      <c r="X105" s="843"/>
      <c r="Y105" s="843"/>
      <c r="Z105" s="843"/>
      <c r="AA105" s="843"/>
      <c r="AB105" s="843"/>
      <c r="AC105" s="843"/>
      <c r="AD105" s="843"/>
      <c r="AE105" s="843"/>
      <c r="AF105" s="843"/>
      <c r="AG105" s="844">
        <f>'104.1 - SO 104.1 Oploteni...'!J32</f>
        <v>0</v>
      </c>
      <c r="AH105" s="845"/>
      <c r="AI105" s="845"/>
      <c r="AJ105" s="845"/>
      <c r="AK105" s="845"/>
      <c r="AL105" s="845"/>
      <c r="AM105" s="845"/>
      <c r="AN105" s="844">
        <f t="shared" si="0"/>
        <v>0</v>
      </c>
      <c r="AO105" s="845"/>
      <c r="AP105" s="845"/>
      <c r="AQ105" s="218" t="s">
        <v>334</v>
      </c>
      <c r="AR105" s="215"/>
      <c r="AS105" s="219">
        <v>0</v>
      </c>
      <c r="AT105" s="220">
        <f t="shared" si="1"/>
        <v>0</v>
      </c>
      <c r="AU105" s="221">
        <f>'104.1 - SO 104.1 Oploteni...'!P128</f>
        <v>53.599790800000001</v>
      </c>
      <c r="AV105" s="220">
        <f>'104.1 - SO 104.1 Oploteni...'!J35</f>
        <v>0</v>
      </c>
      <c r="AW105" s="220">
        <f>'104.1 - SO 104.1 Oploteni...'!J36</f>
        <v>0</v>
      </c>
      <c r="AX105" s="220">
        <f>'104.1 - SO 104.1 Oploteni...'!J37</f>
        <v>0</v>
      </c>
      <c r="AY105" s="220">
        <f>'104.1 - SO 104.1 Oploteni...'!J38</f>
        <v>0</v>
      </c>
      <c r="AZ105" s="220">
        <f>'104.1 - SO 104.1 Oploteni...'!F35</f>
        <v>0</v>
      </c>
      <c r="BA105" s="220">
        <f>'104.1 - SO 104.1 Oploteni...'!F36</f>
        <v>0</v>
      </c>
      <c r="BB105" s="220">
        <f>'104.1 - SO 104.1 Oploteni...'!F37</f>
        <v>0</v>
      </c>
      <c r="BC105" s="220">
        <f>'104.1 - SO 104.1 Oploteni...'!F38</f>
        <v>0</v>
      </c>
      <c r="BD105" s="222">
        <f>'104.1 - SO 104.1 Oploteni...'!F39</f>
        <v>0</v>
      </c>
      <c r="BT105" s="224" t="s">
        <v>109</v>
      </c>
      <c r="BV105" s="224" t="s">
        <v>329</v>
      </c>
      <c r="BW105" s="224" t="s">
        <v>365</v>
      </c>
      <c r="BX105" s="224" t="s">
        <v>303</v>
      </c>
      <c r="CL105" s="224" t="s">
        <v>171</v>
      </c>
      <c r="CM105" s="224" t="s">
        <v>165</v>
      </c>
    </row>
    <row r="106" spans="1:91" s="223" customFormat="1" ht="16.5" customHeight="1" x14ac:dyDescent="0.25">
      <c r="A106" s="321" t="s">
        <v>331</v>
      </c>
      <c r="B106" s="215"/>
      <c r="C106" s="216"/>
      <c r="D106" s="843" t="s">
        <v>366</v>
      </c>
      <c r="E106" s="843"/>
      <c r="F106" s="843"/>
      <c r="G106" s="843"/>
      <c r="H106" s="843"/>
      <c r="I106" s="217"/>
      <c r="J106" s="843" t="s">
        <v>367</v>
      </c>
      <c r="K106" s="843"/>
      <c r="L106" s="843"/>
      <c r="M106" s="843"/>
      <c r="N106" s="843"/>
      <c r="O106" s="843"/>
      <c r="P106" s="843"/>
      <c r="Q106" s="843"/>
      <c r="R106" s="843"/>
      <c r="S106" s="843"/>
      <c r="T106" s="843"/>
      <c r="U106" s="843"/>
      <c r="V106" s="843"/>
      <c r="W106" s="843"/>
      <c r="X106" s="843"/>
      <c r="Y106" s="843"/>
      <c r="Z106" s="843"/>
      <c r="AA106" s="843"/>
      <c r="AB106" s="843"/>
      <c r="AC106" s="843"/>
      <c r="AD106" s="843"/>
      <c r="AE106" s="843"/>
      <c r="AF106" s="843"/>
      <c r="AG106" s="844">
        <f>'104.2 - SO 104.2 Oploteni...'!J32</f>
        <v>0</v>
      </c>
      <c r="AH106" s="845"/>
      <c r="AI106" s="845"/>
      <c r="AJ106" s="845"/>
      <c r="AK106" s="845"/>
      <c r="AL106" s="845"/>
      <c r="AM106" s="845"/>
      <c r="AN106" s="844">
        <f t="shared" si="0"/>
        <v>0</v>
      </c>
      <c r="AO106" s="845"/>
      <c r="AP106" s="845"/>
      <c r="AQ106" s="218" t="s">
        <v>334</v>
      </c>
      <c r="AR106" s="215"/>
      <c r="AS106" s="219">
        <v>0</v>
      </c>
      <c r="AT106" s="220">
        <f t="shared" si="1"/>
        <v>0</v>
      </c>
      <c r="AU106" s="221">
        <f>'104.2 - SO 104.2 Oploteni...'!P128</f>
        <v>3511.7389839999996</v>
      </c>
      <c r="AV106" s="220">
        <f>'104.2 - SO 104.2 Oploteni...'!J35</f>
        <v>0</v>
      </c>
      <c r="AW106" s="220">
        <f>'104.2 - SO 104.2 Oploteni...'!J36</f>
        <v>0</v>
      </c>
      <c r="AX106" s="220">
        <f>'104.2 - SO 104.2 Oploteni...'!J37</f>
        <v>0</v>
      </c>
      <c r="AY106" s="220">
        <f>'104.2 - SO 104.2 Oploteni...'!J38</f>
        <v>0</v>
      </c>
      <c r="AZ106" s="220">
        <f>'104.2 - SO 104.2 Oploteni...'!F35</f>
        <v>0</v>
      </c>
      <c r="BA106" s="220">
        <f>'104.2 - SO 104.2 Oploteni...'!F36</f>
        <v>0</v>
      </c>
      <c r="BB106" s="220">
        <f>'104.2 - SO 104.2 Oploteni...'!F37</f>
        <v>0</v>
      </c>
      <c r="BC106" s="220">
        <f>'104.2 - SO 104.2 Oploteni...'!F38</f>
        <v>0</v>
      </c>
      <c r="BD106" s="222">
        <f>'104.2 - SO 104.2 Oploteni...'!F39</f>
        <v>0</v>
      </c>
      <c r="BT106" s="224" t="s">
        <v>109</v>
      </c>
      <c r="BV106" s="224" t="s">
        <v>329</v>
      </c>
      <c r="BW106" s="224" t="s">
        <v>368</v>
      </c>
      <c r="BX106" s="224" t="s">
        <v>303</v>
      </c>
      <c r="CL106" s="224" t="s">
        <v>171</v>
      </c>
      <c r="CM106" s="224" t="s">
        <v>165</v>
      </c>
    </row>
    <row r="107" spans="1:91" s="223" customFormat="1" ht="24.75" customHeight="1" x14ac:dyDescent="0.25">
      <c r="A107" s="321" t="s">
        <v>331</v>
      </c>
      <c r="B107" s="215"/>
      <c r="C107" s="216"/>
      <c r="D107" s="843" t="s">
        <v>369</v>
      </c>
      <c r="E107" s="843"/>
      <c r="F107" s="843"/>
      <c r="G107" s="843"/>
      <c r="H107" s="843"/>
      <c r="I107" s="217"/>
      <c r="J107" s="843" t="s">
        <v>370</v>
      </c>
      <c r="K107" s="843"/>
      <c r="L107" s="843"/>
      <c r="M107" s="843"/>
      <c r="N107" s="843"/>
      <c r="O107" s="843"/>
      <c r="P107" s="843"/>
      <c r="Q107" s="843"/>
      <c r="R107" s="843"/>
      <c r="S107" s="843"/>
      <c r="T107" s="843"/>
      <c r="U107" s="843"/>
      <c r="V107" s="843"/>
      <c r="W107" s="843"/>
      <c r="X107" s="843"/>
      <c r="Y107" s="843"/>
      <c r="Z107" s="843"/>
      <c r="AA107" s="843"/>
      <c r="AB107" s="843"/>
      <c r="AC107" s="843"/>
      <c r="AD107" s="843"/>
      <c r="AE107" s="843"/>
      <c r="AF107" s="843"/>
      <c r="AG107" s="844">
        <f>'105.2 - SO 105.2 Posuvna ...'!J32</f>
        <v>0</v>
      </c>
      <c r="AH107" s="845"/>
      <c r="AI107" s="845"/>
      <c r="AJ107" s="845"/>
      <c r="AK107" s="845"/>
      <c r="AL107" s="845"/>
      <c r="AM107" s="845"/>
      <c r="AN107" s="844">
        <f t="shared" si="0"/>
        <v>0</v>
      </c>
      <c r="AO107" s="845"/>
      <c r="AP107" s="845"/>
      <c r="AQ107" s="218" t="s">
        <v>334</v>
      </c>
      <c r="AR107" s="215"/>
      <c r="AS107" s="219">
        <v>0</v>
      </c>
      <c r="AT107" s="220">
        <f t="shared" si="1"/>
        <v>0</v>
      </c>
      <c r="AU107" s="221">
        <f>'105.2 - SO 105.2 Posuvna ...'!P128</f>
        <v>284.82301799999999</v>
      </c>
      <c r="AV107" s="220">
        <f>'105.2 - SO 105.2 Posuvna ...'!J35</f>
        <v>0</v>
      </c>
      <c r="AW107" s="220">
        <f>'105.2 - SO 105.2 Posuvna ...'!J36</f>
        <v>0</v>
      </c>
      <c r="AX107" s="220">
        <f>'105.2 - SO 105.2 Posuvna ...'!J37</f>
        <v>0</v>
      </c>
      <c r="AY107" s="220">
        <f>'105.2 - SO 105.2 Posuvna ...'!J38</f>
        <v>0</v>
      </c>
      <c r="AZ107" s="220">
        <f>'105.2 - SO 105.2 Posuvna ...'!F35</f>
        <v>0</v>
      </c>
      <c r="BA107" s="220">
        <f>'105.2 - SO 105.2 Posuvna ...'!F36</f>
        <v>0</v>
      </c>
      <c r="BB107" s="220">
        <f>'105.2 - SO 105.2 Posuvna ...'!F37</f>
        <v>0</v>
      </c>
      <c r="BC107" s="220">
        <f>'105.2 - SO 105.2 Posuvna ...'!F38</f>
        <v>0</v>
      </c>
      <c r="BD107" s="222">
        <f>'105.2 - SO 105.2 Posuvna ...'!F39</f>
        <v>0</v>
      </c>
      <c r="BT107" s="224" t="s">
        <v>109</v>
      </c>
      <c r="BV107" s="224" t="s">
        <v>329</v>
      </c>
      <c r="BW107" s="224" t="s">
        <v>371</v>
      </c>
      <c r="BX107" s="224" t="s">
        <v>303</v>
      </c>
      <c r="CL107" s="224" t="s">
        <v>171</v>
      </c>
      <c r="CM107" s="224" t="s">
        <v>165</v>
      </c>
    </row>
    <row r="108" spans="1:91" s="223" customFormat="1" ht="24.75" customHeight="1" x14ac:dyDescent="0.25">
      <c r="A108" s="321" t="s">
        <v>331</v>
      </c>
      <c r="B108" s="215"/>
      <c r="C108" s="216"/>
      <c r="D108" s="843" t="s">
        <v>372</v>
      </c>
      <c r="E108" s="843"/>
      <c r="F108" s="843"/>
      <c r="G108" s="843"/>
      <c r="H108" s="843"/>
      <c r="I108" s="217"/>
      <c r="J108" s="843" t="s">
        <v>373</v>
      </c>
      <c r="K108" s="843"/>
      <c r="L108" s="843"/>
      <c r="M108" s="843"/>
      <c r="N108" s="843"/>
      <c r="O108" s="843"/>
      <c r="P108" s="843"/>
      <c r="Q108" s="843"/>
      <c r="R108" s="843"/>
      <c r="S108" s="843"/>
      <c r="T108" s="843"/>
      <c r="U108" s="843"/>
      <c r="V108" s="843"/>
      <c r="W108" s="843"/>
      <c r="X108" s="843"/>
      <c r="Y108" s="843"/>
      <c r="Z108" s="843"/>
      <c r="AA108" s="843"/>
      <c r="AB108" s="843"/>
      <c r="AC108" s="843"/>
      <c r="AD108" s="843"/>
      <c r="AE108" s="843"/>
      <c r="AF108" s="843"/>
      <c r="AG108" s="844">
        <f>'105.3 - SO 105.3 Posuvna ...'!J32</f>
        <v>0</v>
      </c>
      <c r="AH108" s="845"/>
      <c r="AI108" s="845"/>
      <c r="AJ108" s="845"/>
      <c r="AK108" s="845"/>
      <c r="AL108" s="845"/>
      <c r="AM108" s="845"/>
      <c r="AN108" s="844">
        <f t="shared" si="0"/>
        <v>0</v>
      </c>
      <c r="AO108" s="845"/>
      <c r="AP108" s="845"/>
      <c r="AQ108" s="218" t="s">
        <v>334</v>
      </c>
      <c r="AR108" s="215"/>
      <c r="AS108" s="219">
        <v>0</v>
      </c>
      <c r="AT108" s="220">
        <f t="shared" si="1"/>
        <v>0</v>
      </c>
      <c r="AU108" s="221">
        <f>'105.3 - SO 105.3 Posuvna ...'!P128</f>
        <v>277.67971799999998</v>
      </c>
      <c r="AV108" s="220">
        <f>'105.3 - SO 105.3 Posuvna ...'!J35</f>
        <v>0</v>
      </c>
      <c r="AW108" s="220">
        <f>'105.3 - SO 105.3 Posuvna ...'!J36</f>
        <v>0</v>
      </c>
      <c r="AX108" s="220">
        <f>'105.3 - SO 105.3 Posuvna ...'!J37</f>
        <v>0</v>
      </c>
      <c r="AY108" s="220">
        <f>'105.3 - SO 105.3 Posuvna ...'!J38</f>
        <v>0</v>
      </c>
      <c r="AZ108" s="220">
        <f>'105.3 - SO 105.3 Posuvna ...'!F35</f>
        <v>0</v>
      </c>
      <c r="BA108" s="220">
        <f>'105.3 - SO 105.3 Posuvna ...'!F36</f>
        <v>0</v>
      </c>
      <c r="BB108" s="220">
        <f>'105.3 - SO 105.3 Posuvna ...'!F37</f>
        <v>0</v>
      </c>
      <c r="BC108" s="220">
        <f>'105.3 - SO 105.3 Posuvna ...'!F38</f>
        <v>0</v>
      </c>
      <c r="BD108" s="222">
        <f>'105.3 - SO 105.3 Posuvna ...'!F39</f>
        <v>0</v>
      </c>
      <c r="BT108" s="224" t="s">
        <v>109</v>
      </c>
      <c r="BV108" s="224" t="s">
        <v>329</v>
      </c>
      <c r="BW108" s="224" t="s">
        <v>374</v>
      </c>
      <c r="BX108" s="224" t="s">
        <v>303</v>
      </c>
      <c r="CL108" s="224" t="s">
        <v>171</v>
      </c>
      <c r="CM108" s="224" t="s">
        <v>165</v>
      </c>
    </row>
    <row r="109" spans="1:91" s="223" customFormat="1" ht="24.75" customHeight="1" x14ac:dyDescent="0.25">
      <c r="A109" s="321" t="s">
        <v>331</v>
      </c>
      <c r="B109" s="215"/>
      <c r="C109" s="216"/>
      <c r="D109" s="843" t="s">
        <v>375</v>
      </c>
      <c r="E109" s="843"/>
      <c r="F109" s="843"/>
      <c r="G109" s="843"/>
      <c r="H109" s="843"/>
      <c r="I109" s="217"/>
      <c r="J109" s="843" t="s">
        <v>376</v>
      </c>
      <c r="K109" s="843"/>
      <c r="L109" s="843"/>
      <c r="M109" s="843"/>
      <c r="N109" s="843"/>
      <c r="O109" s="843"/>
      <c r="P109" s="843"/>
      <c r="Q109" s="843"/>
      <c r="R109" s="843"/>
      <c r="S109" s="843"/>
      <c r="T109" s="843"/>
      <c r="U109" s="843"/>
      <c r="V109" s="843"/>
      <c r="W109" s="843"/>
      <c r="X109" s="843"/>
      <c r="Y109" s="843"/>
      <c r="Z109" s="843"/>
      <c r="AA109" s="843"/>
      <c r="AB109" s="843"/>
      <c r="AC109" s="843"/>
      <c r="AD109" s="843"/>
      <c r="AE109" s="843"/>
      <c r="AF109" s="843"/>
      <c r="AG109" s="844">
        <f>'106.2 - SO 106.2 Vjazdova...'!J32</f>
        <v>0</v>
      </c>
      <c r="AH109" s="845"/>
      <c r="AI109" s="845"/>
      <c r="AJ109" s="845"/>
      <c r="AK109" s="845"/>
      <c r="AL109" s="845"/>
      <c r="AM109" s="845"/>
      <c r="AN109" s="844">
        <f t="shared" si="0"/>
        <v>0</v>
      </c>
      <c r="AO109" s="845"/>
      <c r="AP109" s="845"/>
      <c r="AQ109" s="218" t="s">
        <v>334</v>
      </c>
      <c r="AR109" s="215"/>
      <c r="AS109" s="219">
        <v>0</v>
      </c>
      <c r="AT109" s="220">
        <f t="shared" si="1"/>
        <v>0</v>
      </c>
      <c r="AU109" s="221">
        <f>'106.2 - SO 106.2 Vjazdova...'!P128</f>
        <v>204.38164749999999</v>
      </c>
      <c r="AV109" s="220">
        <f>'106.2 - SO 106.2 Vjazdova...'!J35</f>
        <v>0</v>
      </c>
      <c r="AW109" s="220">
        <f>'106.2 - SO 106.2 Vjazdova...'!J36</f>
        <v>0</v>
      </c>
      <c r="AX109" s="220">
        <f>'106.2 - SO 106.2 Vjazdova...'!J37</f>
        <v>0</v>
      </c>
      <c r="AY109" s="220">
        <f>'106.2 - SO 106.2 Vjazdova...'!J38</f>
        <v>0</v>
      </c>
      <c r="AZ109" s="220">
        <f>'106.2 - SO 106.2 Vjazdova...'!F35</f>
        <v>0</v>
      </c>
      <c r="BA109" s="220">
        <f>'106.2 - SO 106.2 Vjazdova...'!F36</f>
        <v>0</v>
      </c>
      <c r="BB109" s="220">
        <f>'106.2 - SO 106.2 Vjazdova...'!F37</f>
        <v>0</v>
      </c>
      <c r="BC109" s="220">
        <f>'106.2 - SO 106.2 Vjazdova...'!F38</f>
        <v>0</v>
      </c>
      <c r="BD109" s="222">
        <f>'106.2 - SO 106.2 Vjazdova...'!F39</f>
        <v>0</v>
      </c>
      <c r="BT109" s="224" t="s">
        <v>109</v>
      </c>
      <c r="BV109" s="224" t="s">
        <v>329</v>
      </c>
      <c r="BW109" s="224" t="s">
        <v>377</v>
      </c>
      <c r="BX109" s="224" t="s">
        <v>303</v>
      </c>
      <c r="CL109" s="224" t="s">
        <v>171</v>
      </c>
      <c r="CM109" s="224" t="s">
        <v>165</v>
      </c>
    </row>
    <row r="110" spans="1:91" s="223" customFormat="1" ht="24.75" customHeight="1" x14ac:dyDescent="0.25">
      <c r="A110" s="321" t="s">
        <v>331</v>
      </c>
      <c r="B110" s="215"/>
      <c r="C110" s="216"/>
      <c r="D110" s="843" t="s">
        <v>378</v>
      </c>
      <c r="E110" s="843"/>
      <c r="F110" s="843"/>
      <c r="G110" s="843"/>
      <c r="H110" s="843"/>
      <c r="I110" s="217"/>
      <c r="J110" s="843" t="s">
        <v>379</v>
      </c>
      <c r="K110" s="843"/>
      <c r="L110" s="843"/>
      <c r="M110" s="843"/>
      <c r="N110" s="843"/>
      <c r="O110" s="843"/>
      <c r="P110" s="843"/>
      <c r="Q110" s="843"/>
      <c r="R110" s="843"/>
      <c r="S110" s="843"/>
      <c r="T110" s="843"/>
      <c r="U110" s="843"/>
      <c r="V110" s="843"/>
      <c r="W110" s="843"/>
      <c r="X110" s="843"/>
      <c r="Y110" s="843"/>
      <c r="Z110" s="843"/>
      <c r="AA110" s="843"/>
      <c r="AB110" s="843"/>
      <c r="AC110" s="843"/>
      <c r="AD110" s="843"/>
      <c r="AE110" s="843"/>
      <c r="AF110" s="843"/>
      <c r="AG110" s="844">
        <f>'2505 - SO 401  Preložka t...'!J32</f>
        <v>0</v>
      </c>
      <c r="AH110" s="845"/>
      <c r="AI110" s="845"/>
      <c r="AJ110" s="845"/>
      <c r="AK110" s="845"/>
      <c r="AL110" s="845"/>
      <c r="AM110" s="845"/>
      <c r="AN110" s="844">
        <f t="shared" si="0"/>
        <v>0</v>
      </c>
      <c r="AO110" s="845"/>
      <c r="AP110" s="845"/>
      <c r="AQ110" s="218" t="s">
        <v>334</v>
      </c>
      <c r="AR110" s="215"/>
      <c r="AS110" s="219">
        <v>0</v>
      </c>
      <c r="AT110" s="220">
        <f t="shared" si="1"/>
        <v>0</v>
      </c>
      <c r="AU110" s="221">
        <f>'2505 - SO 401  Preložka t...'!P130</f>
        <v>40241.068898800004</v>
      </c>
      <c r="AV110" s="220">
        <f>'2505 - SO 401  Preložka t...'!J35</f>
        <v>0</v>
      </c>
      <c r="AW110" s="220">
        <f>'2505 - SO 401  Preložka t...'!J36</f>
        <v>0</v>
      </c>
      <c r="AX110" s="220">
        <f>'2505 - SO 401  Preložka t...'!J37</f>
        <v>0</v>
      </c>
      <c r="AY110" s="220">
        <f>'2505 - SO 401  Preložka t...'!J38</f>
        <v>0</v>
      </c>
      <c r="AZ110" s="220">
        <f>'2505 - SO 401  Preložka t...'!F35</f>
        <v>0</v>
      </c>
      <c r="BA110" s="220">
        <f>'2505 - SO 401  Preložka t...'!F36</f>
        <v>0</v>
      </c>
      <c r="BB110" s="220">
        <f>'2505 - SO 401  Preložka t...'!F37</f>
        <v>0</v>
      </c>
      <c r="BC110" s="220">
        <f>'2505 - SO 401  Preložka t...'!F38</f>
        <v>0</v>
      </c>
      <c r="BD110" s="222">
        <f>'2505 - SO 401  Preložka t...'!F39</f>
        <v>0</v>
      </c>
      <c r="BT110" s="224" t="s">
        <v>109</v>
      </c>
      <c r="BV110" s="224" t="s">
        <v>329</v>
      </c>
      <c r="BW110" s="224" t="s">
        <v>380</v>
      </c>
      <c r="BX110" s="224" t="s">
        <v>303</v>
      </c>
      <c r="CL110" s="224" t="s">
        <v>171</v>
      </c>
      <c r="CM110" s="224" t="s">
        <v>165</v>
      </c>
    </row>
    <row r="111" spans="1:91" s="223" customFormat="1" ht="24.75" customHeight="1" x14ac:dyDescent="0.25">
      <c r="A111" s="321" t="s">
        <v>331</v>
      </c>
      <c r="B111" s="215"/>
      <c r="C111" s="216"/>
      <c r="D111" s="843" t="s">
        <v>381</v>
      </c>
      <c r="E111" s="843"/>
      <c r="F111" s="843"/>
      <c r="G111" s="843"/>
      <c r="H111" s="843"/>
      <c r="I111" s="217"/>
      <c r="J111" s="843" t="s">
        <v>382</v>
      </c>
      <c r="K111" s="843"/>
      <c r="L111" s="843"/>
      <c r="M111" s="843"/>
      <c r="N111" s="843"/>
      <c r="O111" s="843"/>
      <c r="P111" s="843"/>
      <c r="Q111" s="843"/>
      <c r="R111" s="843"/>
      <c r="S111" s="843"/>
      <c r="T111" s="843"/>
      <c r="U111" s="843"/>
      <c r="V111" s="843"/>
      <c r="W111" s="843"/>
      <c r="X111" s="843"/>
      <c r="Y111" s="843"/>
      <c r="Z111" s="843"/>
      <c r="AA111" s="843"/>
      <c r="AB111" s="843"/>
      <c r="AC111" s="843"/>
      <c r="AD111" s="843"/>
      <c r="AE111" s="843"/>
      <c r="AF111" s="843"/>
      <c r="AG111" s="844">
        <f>'2506 - SO 402  Preložka t...'!J32</f>
        <v>0</v>
      </c>
      <c r="AH111" s="845"/>
      <c r="AI111" s="845"/>
      <c r="AJ111" s="845"/>
      <c r="AK111" s="845"/>
      <c r="AL111" s="845"/>
      <c r="AM111" s="845"/>
      <c r="AN111" s="844">
        <f t="shared" si="0"/>
        <v>0</v>
      </c>
      <c r="AO111" s="845"/>
      <c r="AP111" s="845"/>
      <c r="AQ111" s="218" t="s">
        <v>334</v>
      </c>
      <c r="AR111" s="215"/>
      <c r="AS111" s="219">
        <v>0</v>
      </c>
      <c r="AT111" s="220">
        <f t="shared" si="1"/>
        <v>0</v>
      </c>
      <c r="AU111" s="221">
        <f>'2506 - SO 402  Preložka t...'!P130</f>
        <v>21965.568505000003</v>
      </c>
      <c r="AV111" s="220">
        <f>'2506 - SO 402  Preložka t...'!J35</f>
        <v>0</v>
      </c>
      <c r="AW111" s="220">
        <f>'2506 - SO 402  Preložka t...'!J36</f>
        <v>0</v>
      </c>
      <c r="AX111" s="220">
        <f>'2506 - SO 402  Preložka t...'!J37</f>
        <v>0</v>
      </c>
      <c r="AY111" s="220">
        <f>'2506 - SO 402  Preložka t...'!J38</f>
        <v>0</v>
      </c>
      <c r="AZ111" s="220">
        <f>'2506 - SO 402  Preložka t...'!F35</f>
        <v>0</v>
      </c>
      <c r="BA111" s="220">
        <f>'2506 - SO 402  Preložka t...'!F36</f>
        <v>0</v>
      </c>
      <c r="BB111" s="220">
        <f>'2506 - SO 402  Preložka t...'!F37</f>
        <v>0</v>
      </c>
      <c r="BC111" s="220">
        <f>'2506 - SO 402  Preložka t...'!F38</f>
        <v>0</v>
      </c>
      <c r="BD111" s="222">
        <f>'2506 - SO 402  Preložka t...'!F39</f>
        <v>0</v>
      </c>
      <c r="BT111" s="224" t="s">
        <v>109</v>
      </c>
      <c r="BV111" s="224" t="s">
        <v>329</v>
      </c>
      <c r="BW111" s="224" t="s">
        <v>383</v>
      </c>
      <c r="BX111" s="224" t="s">
        <v>303</v>
      </c>
      <c r="CL111" s="224" t="s">
        <v>171</v>
      </c>
      <c r="CM111" s="224" t="s">
        <v>165</v>
      </c>
    </row>
    <row r="112" spans="1:91" s="223" customFormat="1" ht="16.5" customHeight="1" x14ac:dyDescent="0.25">
      <c r="A112" s="321" t="s">
        <v>331</v>
      </c>
      <c r="B112" s="215"/>
      <c r="C112" s="216"/>
      <c r="D112" s="843" t="s">
        <v>384</v>
      </c>
      <c r="E112" s="843"/>
      <c r="F112" s="843"/>
      <c r="G112" s="843"/>
      <c r="H112" s="843"/>
      <c r="I112" s="217"/>
      <c r="J112" s="843" t="s">
        <v>385</v>
      </c>
      <c r="K112" s="843"/>
      <c r="L112" s="843"/>
      <c r="M112" s="843"/>
      <c r="N112" s="843"/>
      <c r="O112" s="843"/>
      <c r="P112" s="843"/>
      <c r="Q112" s="843"/>
      <c r="R112" s="843"/>
      <c r="S112" s="843"/>
      <c r="T112" s="843"/>
      <c r="U112" s="843"/>
      <c r="V112" s="843"/>
      <c r="W112" s="843"/>
      <c r="X112" s="843"/>
      <c r="Y112" s="843"/>
      <c r="Z112" s="843"/>
      <c r="AA112" s="843"/>
      <c r="AB112" s="843"/>
      <c r="AC112" s="843"/>
      <c r="AD112" s="843"/>
      <c r="AE112" s="843"/>
      <c r="AF112" s="843"/>
      <c r="AG112" s="844">
        <f>'300 - SO 300'!J32</f>
        <v>0</v>
      </c>
      <c r="AH112" s="845"/>
      <c r="AI112" s="845"/>
      <c r="AJ112" s="845"/>
      <c r="AK112" s="845"/>
      <c r="AL112" s="845"/>
      <c r="AM112" s="845"/>
      <c r="AN112" s="844">
        <f t="shared" si="0"/>
        <v>0</v>
      </c>
      <c r="AO112" s="845"/>
      <c r="AP112" s="845"/>
      <c r="AQ112" s="218" t="s">
        <v>334</v>
      </c>
      <c r="AR112" s="215"/>
      <c r="AS112" s="219">
        <v>0</v>
      </c>
      <c r="AT112" s="220">
        <f t="shared" si="1"/>
        <v>0</v>
      </c>
      <c r="AU112" s="221">
        <f>'300 - SO 300'!P129</f>
        <v>0.72617100000000012</v>
      </c>
      <c r="AV112" s="220">
        <f>'300 - SO 300'!J35</f>
        <v>0</v>
      </c>
      <c r="AW112" s="220">
        <f>'300 - SO 300'!J36</f>
        <v>0</v>
      </c>
      <c r="AX112" s="220">
        <f>'300 - SO 300'!J37</f>
        <v>0</v>
      </c>
      <c r="AY112" s="220">
        <f>'300 - SO 300'!J38</f>
        <v>0</v>
      </c>
      <c r="AZ112" s="220">
        <f>'300 - SO 300'!F35</f>
        <v>0</v>
      </c>
      <c r="BA112" s="220">
        <f>'300 - SO 300'!F36</f>
        <v>0</v>
      </c>
      <c r="BB112" s="220">
        <f>'300 - SO 300'!F37</f>
        <v>0</v>
      </c>
      <c r="BC112" s="220">
        <f>'300 - SO 300'!F38</f>
        <v>0</v>
      </c>
      <c r="BD112" s="222">
        <f>'300 - SO 300'!F39</f>
        <v>0</v>
      </c>
      <c r="BT112" s="224" t="s">
        <v>109</v>
      </c>
      <c r="BV112" s="224" t="s">
        <v>329</v>
      </c>
      <c r="BW112" s="224" t="s">
        <v>386</v>
      </c>
      <c r="BX112" s="224" t="s">
        <v>303</v>
      </c>
      <c r="CL112" s="224" t="s">
        <v>171</v>
      </c>
      <c r="CM112" s="224" t="s">
        <v>165</v>
      </c>
    </row>
    <row r="113" spans="1:91" s="223" customFormat="1" ht="16.5" customHeight="1" x14ac:dyDescent="0.25">
      <c r="A113" s="321" t="s">
        <v>331</v>
      </c>
      <c r="B113" s="215"/>
      <c r="C113" s="216"/>
      <c r="D113" s="843" t="s">
        <v>387</v>
      </c>
      <c r="E113" s="843"/>
      <c r="F113" s="843"/>
      <c r="G113" s="843"/>
      <c r="H113" s="843"/>
      <c r="I113" s="217"/>
      <c r="J113" s="843" t="s">
        <v>388</v>
      </c>
      <c r="K113" s="843"/>
      <c r="L113" s="843"/>
      <c r="M113" s="843"/>
      <c r="N113" s="843"/>
      <c r="O113" s="843"/>
      <c r="P113" s="843"/>
      <c r="Q113" s="843"/>
      <c r="R113" s="843"/>
      <c r="S113" s="843"/>
      <c r="T113" s="843"/>
      <c r="U113" s="843"/>
      <c r="V113" s="843"/>
      <c r="W113" s="843"/>
      <c r="X113" s="843"/>
      <c r="Y113" s="843"/>
      <c r="Z113" s="843"/>
      <c r="AA113" s="843"/>
      <c r="AB113" s="843"/>
      <c r="AC113" s="843"/>
      <c r="AD113" s="843"/>
      <c r="AE113" s="843"/>
      <c r="AF113" s="843"/>
      <c r="AG113" s="844">
        <f>'301 - SO 301'!J32</f>
        <v>0</v>
      </c>
      <c r="AH113" s="845"/>
      <c r="AI113" s="845"/>
      <c r="AJ113" s="845"/>
      <c r="AK113" s="845"/>
      <c r="AL113" s="845"/>
      <c r="AM113" s="845"/>
      <c r="AN113" s="844">
        <f t="shared" si="0"/>
        <v>0</v>
      </c>
      <c r="AO113" s="845"/>
      <c r="AP113" s="845"/>
      <c r="AQ113" s="218" t="s">
        <v>334</v>
      </c>
      <c r="AR113" s="215"/>
      <c r="AS113" s="219">
        <v>0</v>
      </c>
      <c r="AT113" s="220">
        <f t="shared" si="1"/>
        <v>0</v>
      </c>
      <c r="AU113" s="221">
        <f>'301 - SO 301'!P128</f>
        <v>0.35575200000000001</v>
      </c>
      <c r="AV113" s="220">
        <f>'301 - SO 301'!J35</f>
        <v>0</v>
      </c>
      <c r="AW113" s="220">
        <f>'301 - SO 301'!J36</f>
        <v>0</v>
      </c>
      <c r="AX113" s="220">
        <f>'301 - SO 301'!J37</f>
        <v>0</v>
      </c>
      <c r="AY113" s="220">
        <f>'301 - SO 301'!J38</f>
        <v>0</v>
      </c>
      <c r="AZ113" s="220">
        <f>'301 - SO 301'!F35</f>
        <v>0</v>
      </c>
      <c r="BA113" s="220">
        <f>'301 - SO 301'!F36</f>
        <v>0</v>
      </c>
      <c r="BB113" s="220">
        <f>'301 - SO 301'!F37</f>
        <v>0</v>
      </c>
      <c r="BC113" s="220">
        <f>'301 - SO 301'!F38</f>
        <v>0</v>
      </c>
      <c r="BD113" s="222">
        <f>'301 - SO 301'!F39</f>
        <v>0</v>
      </c>
      <c r="BT113" s="224" t="s">
        <v>109</v>
      </c>
      <c r="BV113" s="224" t="s">
        <v>329</v>
      </c>
      <c r="BW113" s="224" t="s">
        <v>389</v>
      </c>
      <c r="BX113" s="224" t="s">
        <v>303</v>
      </c>
      <c r="CL113" s="224" t="s">
        <v>171</v>
      </c>
      <c r="CM113" s="224" t="s">
        <v>165</v>
      </c>
    </row>
    <row r="114" spans="1:91" s="223" customFormat="1" ht="16.5" customHeight="1" x14ac:dyDescent="0.25">
      <c r="A114" s="321" t="s">
        <v>331</v>
      </c>
      <c r="B114" s="215"/>
      <c r="C114" s="216"/>
      <c r="D114" s="843" t="s">
        <v>390</v>
      </c>
      <c r="E114" s="843"/>
      <c r="F114" s="843"/>
      <c r="G114" s="843"/>
      <c r="H114" s="843"/>
      <c r="I114" s="217"/>
      <c r="J114" s="843" t="s">
        <v>391</v>
      </c>
      <c r="K114" s="843"/>
      <c r="L114" s="843"/>
      <c r="M114" s="843"/>
      <c r="N114" s="843"/>
      <c r="O114" s="843"/>
      <c r="P114" s="843"/>
      <c r="Q114" s="843"/>
      <c r="R114" s="843"/>
      <c r="S114" s="843"/>
      <c r="T114" s="843"/>
      <c r="U114" s="843"/>
      <c r="V114" s="843"/>
      <c r="W114" s="843"/>
      <c r="X114" s="843"/>
      <c r="Y114" s="843"/>
      <c r="Z114" s="843"/>
      <c r="AA114" s="843"/>
      <c r="AB114" s="843"/>
      <c r="AC114" s="843"/>
      <c r="AD114" s="843"/>
      <c r="AE114" s="843"/>
      <c r="AF114" s="843"/>
      <c r="AG114" s="844">
        <f>'302 - SO 302'!J32</f>
        <v>0</v>
      </c>
      <c r="AH114" s="845"/>
      <c r="AI114" s="845"/>
      <c r="AJ114" s="845"/>
      <c r="AK114" s="845"/>
      <c r="AL114" s="845"/>
      <c r="AM114" s="845"/>
      <c r="AN114" s="844">
        <f t="shared" si="0"/>
        <v>0</v>
      </c>
      <c r="AO114" s="845"/>
      <c r="AP114" s="845"/>
      <c r="AQ114" s="218" t="s">
        <v>334</v>
      </c>
      <c r="AR114" s="215"/>
      <c r="AS114" s="219">
        <v>0</v>
      </c>
      <c r="AT114" s="220">
        <f t="shared" si="1"/>
        <v>0</v>
      </c>
      <c r="AU114" s="221">
        <f>'302 - SO 302'!P128</f>
        <v>1.4131259999999999</v>
      </c>
      <c r="AV114" s="220">
        <f>'302 - SO 302'!J35</f>
        <v>0</v>
      </c>
      <c r="AW114" s="220">
        <f>'302 - SO 302'!J36</f>
        <v>0</v>
      </c>
      <c r="AX114" s="220">
        <f>'302 - SO 302'!J37</f>
        <v>0</v>
      </c>
      <c r="AY114" s="220">
        <f>'302 - SO 302'!J38</f>
        <v>0</v>
      </c>
      <c r="AZ114" s="220">
        <f>'302 - SO 302'!F35</f>
        <v>0</v>
      </c>
      <c r="BA114" s="220">
        <f>'302 - SO 302'!F36</f>
        <v>0</v>
      </c>
      <c r="BB114" s="220">
        <f>'302 - SO 302'!F37</f>
        <v>0</v>
      </c>
      <c r="BC114" s="220">
        <f>'302 - SO 302'!F38</f>
        <v>0</v>
      </c>
      <c r="BD114" s="222">
        <f>'302 - SO 302'!F39</f>
        <v>0</v>
      </c>
      <c r="BT114" s="224" t="s">
        <v>109</v>
      </c>
      <c r="BV114" s="224" t="s">
        <v>329</v>
      </c>
      <c r="BW114" s="224" t="s">
        <v>392</v>
      </c>
      <c r="BX114" s="224" t="s">
        <v>303</v>
      </c>
      <c r="CL114" s="224" t="s">
        <v>171</v>
      </c>
      <c r="CM114" s="224" t="s">
        <v>165</v>
      </c>
    </row>
    <row r="115" spans="1:91" s="223" customFormat="1" ht="16.5" customHeight="1" x14ac:dyDescent="0.25">
      <c r="A115" s="321" t="s">
        <v>331</v>
      </c>
      <c r="B115" s="215"/>
      <c r="C115" s="216"/>
      <c r="D115" s="843" t="s">
        <v>393</v>
      </c>
      <c r="E115" s="843"/>
      <c r="F115" s="843"/>
      <c r="G115" s="843"/>
      <c r="H115" s="843"/>
      <c r="I115" s="217"/>
      <c r="J115" s="843" t="s">
        <v>394</v>
      </c>
      <c r="K115" s="843"/>
      <c r="L115" s="843"/>
      <c r="M115" s="843"/>
      <c r="N115" s="843"/>
      <c r="O115" s="843"/>
      <c r="P115" s="843"/>
      <c r="Q115" s="843"/>
      <c r="R115" s="843"/>
      <c r="S115" s="843"/>
      <c r="T115" s="843"/>
      <c r="U115" s="843"/>
      <c r="V115" s="843"/>
      <c r="W115" s="843"/>
      <c r="X115" s="843"/>
      <c r="Y115" s="843"/>
      <c r="Z115" s="843"/>
      <c r="AA115" s="843"/>
      <c r="AB115" s="843"/>
      <c r="AC115" s="843"/>
      <c r="AD115" s="843"/>
      <c r="AE115" s="843"/>
      <c r="AF115" s="843"/>
      <c r="AG115" s="844">
        <f>'102.4 - SO 102.4 OM - úsek D'!J32</f>
        <v>0</v>
      </c>
      <c r="AH115" s="845"/>
      <c r="AI115" s="845"/>
      <c r="AJ115" s="845"/>
      <c r="AK115" s="845"/>
      <c r="AL115" s="845"/>
      <c r="AM115" s="845"/>
      <c r="AN115" s="844">
        <f t="shared" si="0"/>
        <v>0</v>
      </c>
      <c r="AO115" s="845"/>
      <c r="AP115" s="845"/>
      <c r="AQ115" s="218" t="s">
        <v>334</v>
      </c>
      <c r="AR115" s="215"/>
      <c r="AS115" s="219">
        <v>0</v>
      </c>
      <c r="AT115" s="220">
        <f t="shared" si="1"/>
        <v>0</v>
      </c>
      <c r="AU115" s="221">
        <f>'102.4 - SO 102.4 OM - úsek D'!P128</f>
        <v>11432.070523409999</v>
      </c>
      <c r="AV115" s="220">
        <f>'102.4 - SO 102.4 OM - úsek D'!J35</f>
        <v>0</v>
      </c>
      <c r="AW115" s="220">
        <f>'102.4 - SO 102.4 OM - úsek D'!J36</f>
        <v>0</v>
      </c>
      <c r="AX115" s="220">
        <f>'102.4 - SO 102.4 OM - úsek D'!J37</f>
        <v>0</v>
      </c>
      <c r="AY115" s="220">
        <f>'102.4 - SO 102.4 OM - úsek D'!J38</f>
        <v>0</v>
      </c>
      <c r="AZ115" s="220">
        <f>'102.4 - SO 102.4 OM - úsek D'!F35</f>
        <v>0</v>
      </c>
      <c r="BA115" s="220">
        <f>'102.4 - SO 102.4 OM - úsek D'!F36</f>
        <v>0</v>
      </c>
      <c r="BB115" s="220">
        <f>'102.4 - SO 102.4 OM - úsek D'!F37</f>
        <v>0</v>
      </c>
      <c r="BC115" s="220">
        <f>'102.4 - SO 102.4 OM - úsek D'!F38</f>
        <v>0</v>
      </c>
      <c r="BD115" s="222">
        <f>'102.4 - SO 102.4 OM - úsek D'!F39</f>
        <v>0</v>
      </c>
      <c r="BT115" s="224" t="s">
        <v>109</v>
      </c>
      <c r="BV115" s="224" t="s">
        <v>329</v>
      </c>
      <c r="BW115" s="224" t="s">
        <v>395</v>
      </c>
      <c r="BX115" s="224" t="s">
        <v>303</v>
      </c>
      <c r="CL115" s="224" t="s">
        <v>171</v>
      </c>
      <c r="CM115" s="224" t="s">
        <v>165</v>
      </c>
    </row>
    <row r="116" spans="1:91" s="223" customFormat="1" ht="24.75" customHeight="1" x14ac:dyDescent="0.25">
      <c r="A116" s="321" t="s">
        <v>331</v>
      </c>
      <c r="B116" s="215"/>
      <c r="C116" s="216"/>
      <c r="D116" s="843" t="s">
        <v>396</v>
      </c>
      <c r="E116" s="843"/>
      <c r="F116" s="843"/>
      <c r="G116" s="843"/>
      <c r="H116" s="843"/>
      <c r="I116" s="217"/>
      <c r="J116" s="843" t="s">
        <v>397</v>
      </c>
      <c r="K116" s="843"/>
      <c r="L116" s="843"/>
      <c r="M116" s="843"/>
      <c r="N116" s="843"/>
      <c r="O116" s="843"/>
      <c r="P116" s="843"/>
      <c r="Q116" s="843"/>
      <c r="R116" s="843"/>
      <c r="S116" s="843"/>
      <c r="T116" s="843"/>
      <c r="U116" s="843"/>
      <c r="V116" s="843"/>
      <c r="W116" s="843"/>
      <c r="X116" s="843"/>
      <c r="Y116" s="843"/>
      <c r="Z116" s="843"/>
      <c r="AA116" s="843"/>
      <c r="AB116" s="843"/>
      <c r="AC116" s="843"/>
      <c r="AD116" s="843"/>
      <c r="AE116" s="843"/>
      <c r="AF116" s="843"/>
      <c r="AG116" s="844">
        <f>'SO 200.A - Verejné osvetl...'!J32</f>
        <v>0</v>
      </c>
      <c r="AH116" s="845"/>
      <c r="AI116" s="845"/>
      <c r="AJ116" s="845"/>
      <c r="AK116" s="845"/>
      <c r="AL116" s="845"/>
      <c r="AM116" s="845"/>
      <c r="AN116" s="844">
        <f t="shared" si="0"/>
        <v>0</v>
      </c>
      <c r="AO116" s="845"/>
      <c r="AP116" s="845"/>
      <c r="AQ116" s="218" t="s">
        <v>334</v>
      </c>
      <c r="AR116" s="215"/>
      <c r="AS116" s="219">
        <v>0</v>
      </c>
      <c r="AT116" s="220">
        <f t="shared" si="1"/>
        <v>0</v>
      </c>
      <c r="AU116" s="221">
        <f>'SO 200.A - Verejné osvetl...'!P134</f>
        <v>3399.8924122400003</v>
      </c>
      <c r="AV116" s="220">
        <f>'SO 200.A - Verejné osvetl...'!J35</f>
        <v>0</v>
      </c>
      <c r="AW116" s="220">
        <f>'SO 200.A - Verejné osvetl...'!J36</f>
        <v>0</v>
      </c>
      <c r="AX116" s="220">
        <f>'SO 200.A - Verejné osvetl...'!J37</f>
        <v>0</v>
      </c>
      <c r="AY116" s="220">
        <f>'SO 200.A - Verejné osvetl...'!J38</f>
        <v>0</v>
      </c>
      <c r="AZ116" s="220">
        <f>'SO 200.A - Verejné osvetl...'!F35</f>
        <v>0</v>
      </c>
      <c r="BA116" s="220">
        <f>'SO 200.A - Verejné osvetl...'!F36</f>
        <v>0</v>
      </c>
      <c r="BB116" s="220">
        <f>'SO 200.A - Verejné osvetl...'!F37</f>
        <v>0</v>
      </c>
      <c r="BC116" s="220">
        <f>'SO 200.A - Verejné osvetl...'!F38</f>
        <v>0</v>
      </c>
      <c r="BD116" s="222">
        <f>'SO 200.A - Verejné osvetl...'!F39</f>
        <v>0</v>
      </c>
      <c r="BT116" s="224" t="s">
        <v>109</v>
      </c>
      <c r="BV116" s="224" t="s">
        <v>329</v>
      </c>
      <c r="BW116" s="224" t="s">
        <v>398</v>
      </c>
      <c r="BX116" s="224" t="s">
        <v>303</v>
      </c>
      <c r="CL116" s="224" t="s">
        <v>171</v>
      </c>
      <c r="CM116" s="224" t="s">
        <v>165</v>
      </c>
    </row>
    <row r="117" spans="1:91" s="223" customFormat="1" ht="24.75" customHeight="1" x14ac:dyDescent="0.25">
      <c r="A117" s="321" t="s">
        <v>331</v>
      </c>
      <c r="B117" s="215"/>
      <c r="C117" s="216"/>
      <c r="D117" s="843" t="s">
        <v>399</v>
      </c>
      <c r="E117" s="843"/>
      <c r="F117" s="843"/>
      <c r="G117" s="843"/>
      <c r="H117" s="843"/>
      <c r="I117" s="217"/>
      <c r="J117" s="843" t="s">
        <v>400</v>
      </c>
      <c r="K117" s="843"/>
      <c r="L117" s="843"/>
      <c r="M117" s="843"/>
      <c r="N117" s="843"/>
      <c r="O117" s="843"/>
      <c r="P117" s="843"/>
      <c r="Q117" s="843"/>
      <c r="R117" s="843"/>
      <c r="S117" s="843"/>
      <c r="T117" s="843"/>
      <c r="U117" s="843"/>
      <c r="V117" s="843"/>
      <c r="W117" s="843"/>
      <c r="X117" s="843"/>
      <c r="Y117" s="843"/>
      <c r="Z117" s="843"/>
      <c r="AA117" s="843"/>
      <c r="AB117" s="843"/>
      <c r="AC117" s="843"/>
      <c r="AD117" s="843"/>
      <c r="AE117" s="843"/>
      <c r="AF117" s="843"/>
      <c r="AG117" s="844">
        <f>'SO 200.B - Verejné osvetl...'!J32</f>
        <v>0</v>
      </c>
      <c r="AH117" s="845"/>
      <c r="AI117" s="845"/>
      <c r="AJ117" s="845"/>
      <c r="AK117" s="845"/>
      <c r="AL117" s="845"/>
      <c r="AM117" s="845"/>
      <c r="AN117" s="844">
        <f t="shared" si="0"/>
        <v>0</v>
      </c>
      <c r="AO117" s="845"/>
      <c r="AP117" s="845"/>
      <c r="AQ117" s="218" t="s">
        <v>334</v>
      </c>
      <c r="AR117" s="215"/>
      <c r="AS117" s="219">
        <v>0</v>
      </c>
      <c r="AT117" s="220">
        <f t="shared" si="1"/>
        <v>0</v>
      </c>
      <c r="AU117" s="221">
        <f>'SO 200.B - Verejné osvetl...'!P133</f>
        <v>1339.05239676</v>
      </c>
      <c r="AV117" s="220">
        <f>'SO 200.B - Verejné osvetl...'!J35</f>
        <v>0</v>
      </c>
      <c r="AW117" s="220">
        <f>'SO 200.B - Verejné osvetl...'!J36</f>
        <v>0</v>
      </c>
      <c r="AX117" s="220">
        <f>'SO 200.B - Verejné osvetl...'!J37</f>
        <v>0</v>
      </c>
      <c r="AY117" s="220">
        <f>'SO 200.B - Verejné osvetl...'!J38</f>
        <v>0</v>
      </c>
      <c r="AZ117" s="220">
        <f>'SO 200.B - Verejné osvetl...'!F35</f>
        <v>0</v>
      </c>
      <c r="BA117" s="220">
        <f>'SO 200.B - Verejné osvetl...'!F36</f>
        <v>0</v>
      </c>
      <c r="BB117" s="220">
        <f>'SO 200.B - Verejné osvetl...'!F37</f>
        <v>0</v>
      </c>
      <c r="BC117" s="220">
        <f>'SO 200.B - Verejné osvetl...'!F38</f>
        <v>0</v>
      </c>
      <c r="BD117" s="222">
        <f>'SO 200.B - Verejné osvetl...'!F39</f>
        <v>0</v>
      </c>
      <c r="BT117" s="224" t="s">
        <v>109</v>
      </c>
      <c r="BV117" s="224" t="s">
        <v>329</v>
      </c>
      <c r="BW117" s="224" t="s">
        <v>401</v>
      </c>
      <c r="BX117" s="224" t="s">
        <v>303</v>
      </c>
      <c r="CL117" s="224" t="s">
        <v>171</v>
      </c>
      <c r="CM117" s="224" t="s">
        <v>165</v>
      </c>
    </row>
    <row r="118" spans="1:91" s="223" customFormat="1" ht="24.75" customHeight="1" x14ac:dyDescent="0.25">
      <c r="A118" s="321" t="s">
        <v>331</v>
      </c>
      <c r="B118" s="215"/>
      <c r="C118" s="216"/>
      <c r="D118" s="843" t="s">
        <v>402</v>
      </c>
      <c r="E118" s="843"/>
      <c r="F118" s="843"/>
      <c r="G118" s="843"/>
      <c r="H118" s="843"/>
      <c r="I118" s="217"/>
      <c r="J118" s="843" t="s">
        <v>403</v>
      </c>
      <c r="K118" s="843"/>
      <c r="L118" s="843"/>
      <c r="M118" s="843"/>
      <c r="N118" s="843"/>
      <c r="O118" s="843"/>
      <c r="P118" s="843"/>
      <c r="Q118" s="843"/>
      <c r="R118" s="843"/>
      <c r="S118" s="843"/>
      <c r="T118" s="843"/>
      <c r="U118" s="843"/>
      <c r="V118" s="843"/>
      <c r="W118" s="843"/>
      <c r="X118" s="843"/>
      <c r="Y118" s="843"/>
      <c r="Z118" s="843"/>
      <c r="AA118" s="843"/>
      <c r="AB118" s="843"/>
      <c r="AC118" s="843"/>
      <c r="AD118" s="843"/>
      <c r="AE118" s="843"/>
      <c r="AF118" s="843"/>
      <c r="AG118" s="844">
        <f>'SO 200.C - Verejné osvetl...'!J32</f>
        <v>0</v>
      </c>
      <c r="AH118" s="845"/>
      <c r="AI118" s="845"/>
      <c r="AJ118" s="845"/>
      <c r="AK118" s="845"/>
      <c r="AL118" s="845"/>
      <c r="AM118" s="845"/>
      <c r="AN118" s="844">
        <f t="shared" si="0"/>
        <v>0</v>
      </c>
      <c r="AO118" s="845"/>
      <c r="AP118" s="845"/>
      <c r="AQ118" s="218" t="s">
        <v>334</v>
      </c>
      <c r="AR118" s="215"/>
      <c r="AS118" s="219">
        <v>0</v>
      </c>
      <c r="AT118" s="220">
        <f t="shared" si="1"/>
        <v>0</v>
      </c>
      <c r="AU118" s="221">
        <f>'SO 200.C - Verejné osvetl...'!P133</f>
        <v>2248.5930749999993</v>
      </c>
      <c r="AV118" s="220">
        <f>'SO 200.C - Verejné osvetl...'!J35</f>
        <v>0</v>
      </c>
      <c r="AW118" s="220">
        <f>'SO 200.C - Verejné osvetl...'!J36</f>
        <v>0</v>
      </c>
      <c r="AX118" s="220">
        <f>'SO 200.C - Verejné osvetl...'!J37</f>
        <v>0</v>
      </c>
      <c r="AY118" s="220">
        <f>'SO 200.C - Verejné osvetl...'!J38</f>
        <v>0</v>
      </c>
      <c r="AZ118" s="220">
        <f>'SO 200.C - Verejné osvetl...'!F35</f>
        <v>0</v>
      </c>
      <c r="BA118" s="220">
        <f>'SO 200.C - Verejné osvetl...'!F36</f>
        <v>0</v>
      </c>
      <c r="BB118" s="220">
        <f>'SO 200.C - Verejné osvetl...'!F37</f>
        <v>0</v>
      </c>
      <c r="BC118" s="220">
        <f>'SO 200.C - Verejné osvetl...'!F38</f>
        <v>0</v>
      </c>
      <c r="BD118" s="222">
        <f>'SO 200.C - Verejné osvetl...'!F39</f>
        <v>0</v>
      </c>
      <c r="BT118" s="224" t="s">
        <v>109</v>
      </c>
      <c r="BV118" s="224" t="s">
        <v>329</v>
      </c>
      <c r="BW118" s="224" t="s">
        <v>404</v>
      </c>
      <c r="BX118" s="224" t="s">
        <v>303</v>
      </c>
      <c r="CL118" s="224" t="s">
        <v>171</v>
      </c>
      <c r="CM118" s="224" t="s">
        <v>165</v>
      </c>
    </row>
    <row r="119" spans="1:91" s="223" customFormat="1" ht="24.75" customHeight="1" x14ac:dyDescent="0.25">
      <c r="A119" s="321" t="s">
        <v>331</v>
      </c>
      <c r="B119" s="215"/>
      <c r="C119" s="216"/>
      <c r="D119" s="843" t="s">
        <v>405</v>
      </c>
      <c r="E119" s="843"/>
      <c r="F119" s="843"/>
      <c r="G119" s="843"/>
      <c r="H119" s="843"/>
      <c r="I119" s="217"/>
      <c r="J119" s="843" t="s">
        <v>406</v>
      </c>
      <c r="K119" s="843"/>
      <c r="L119" s="843"/>
      <c r="M119" s="843"/>
      <c r="N119" s="843"/>
      <c r="O119" s="843"/>
      <c r="P119" s="843"/>
      <c r="Q119" s="843"/>
      <c r="R119" s="843"/>
      <c r="S119" s="843"/>
      <c r="T119" s="843"/>
      <c r="U119" s="843"/>
      <c r="V119" s="843"/>
      <c r="W119" s="843"/>
      <c r="X119" s="843"/>
      <c r="Y119" s="843"/>
      <c r="Z119" s="843"/>
      <c r="AA119" s="843"/>
      <c r="AB119" s="843"/>
      <c r="AC119" s="843"/>
      <c r="AD119" s="843"/>
      <c r="AE119" s="843"/>
      <c r="AF119" s="843"/>
      <c r="AG119" s="844">
        <f>'SO 200.D - Verejné osvetl...'!J32</f>
        <v>0</v>
      </c>
      <c r="AH119" s="845"/>
      <c r="AI119" s="845"/>
      <c r="AJ119" s="845"/>
      <c r="AK119" s="845"/>
      <c r="AL119" s="845"/>
      <c r="AM119" s="845"/>
      <c r="AN119" s="844">
        <f t="shared" si="0"/>
        <v>0</v>
      </c>
      <c r="AO119" s="845"/>
      <c r="AP119" s="845"/>
      <c r="AQ119" s="218" t="s">
        <v>334</v>
      </c>
      <c r="AR119" s="215"/>
      <c r="AS119" s="225">
        <v>0</v>
      </c>
      <c r="AT119" s="226">
        <f t="shared" si="1"/>
        <v>0</v>
      </c>
      <c r="AU119" s="227">
        <f>'SO 200.D - Verejné osvetl...'!P133</f>
        <v>1215.67971625</v>
      </c>
      <c r="AV119" s="226">
        <f>'SO 200.D - Verejné osvetl...'!J35</f>
        <v>0</v>
      </c>
      <c r="AW119" s="226">
        <f>'SO 200.D - Verejné osvetl...'!J36</f>
        <v>0</v>
      </c>
      <c r="AX119" s="226">
        <f>'SO 200.D - Verejné osvetl...'!J37</f>
        <v>0</v>
      </c>
      <c r="AY119" s="226">
        <f>'SO 200.D - Verejné osvetl...'!J38</f>
        <v>0</v>
      </c>
      <c r="AZ119" s="226">
        <f>'SO 200.D - Verejné osvetl...'!F35</f>
        <v>0</v>
      </c>
      <c r="BA119" s="226">
        <f>'SO 200.D - Verejné osvetl...'!F36</f>
        <v>0</v>
      </c>
      <c r="BB119" s="226">
        <f>'SO 200.D - Verejné osvetl...'!F37</f>
        <v>0</v>
      </c>
      <c r="BC119" s="226">
        <f>'SO 200.D - Verejné osvetl...'!F38</f>
        <v>0</v>
      </c>
      <c r="BD119" s="228">
        <f>'SO 200.D - Verejné osvetl...'!F39</f>
        <v>0</v>
      </c>
      <c r="BT119" s="224" t="s">
        <v>109</v>
      </c>
      <c r="BV119" s="224" t="s">
        <v>329</v>
      </c>
      <c r="BW119" s="224" t="s">
        <v>407</v>
      </c>
      <c r="BX119" s="224" t="s">
        <v>303</v>
      </c>
      <c r="CL119" s="224" t="s">
        <v>171</v>
      </c>
      <c r="CM119" s="224" t="s">
        <v>165</v>
      </c>
    </row>
    <row r="120" spans="1:91" x14ac:dyDescent="0.2">
      <c r="B120" s="156"/>
      <c r="AR120" s="156"/>
    </row>
    <row r="121" spans="1:91" s="165" customFormat="1" ht="30" customHeight="1" x14ac:dyDescent="0.25">
      <c r="B121" s="166"/>
      <c r="C121" s="205" t="s">
        <v>3060</v>
      </c>
      <c r="AG121" s="852">
        <v>0</v>
      </c>
      <c r="AH121" s="852"/>
      <c r="AI121" s="852"/>
      <c r="AJ121" s="852"/>
      <c r="AK121" s="852"/>
      <c r="AL121" s="852"/>
      <c r="AM121" s="852"/>
      <c r="AN121" s="852">
        <v>0</v>
      </c>
      <c r="AO121" s="852"/>
      <c r="AP121" s="852"/>
      <c r="AQ121" s="322"/>
      <c r="AR121" s="166"/>
      <c r="AS121" s="199" t="s">
        <v>3061</v>
      </c>
      <c r="AT121" s="200" t="s">
        <v>3062</v>
      </c>
      <c r="AU121" s="200" t="s">
        <v>183</v>
      </c>
      <c r="AV121" s="201" t="s">
        <v>316</v>
      </c>
    </row>
    <row r="122" spans="1:91" s="165" customFormat="1" ht="10.9" customHeight="1" x14ac:dyDescent="0.25">
      <c r="B122" s="166"/>
      <c r="AR122" s="166"/>
    </row>
    <row r="123" spans="1:91" s="165" customFormat="1" ht="30" customHeight="1" x14ac:dyDescent="0.25">
      <c r="B123" s="166"/>
      <c r="C123" s="323" t="s">
        <v>3063</v>
      </c>
      <c r="D123" s="238"/>
      <c r="E123" s="238"/>
      <c r="F123" s="238"/>
      <c r="G123" s="238"/>
      <c r="H123" s="238"/>
      <c r="I123" s="238"/>
      <c r="J123" s="238"/>
      <c r="K123" s="238"/>
      <c r="L123" s="238"/>
      <c r="M123" s="238"/>
      <c r="N123" s="238"/>
      <c r="O123" s="238"/>
      <c r="P123" s="238"/>
      <c r="Q123" s="238"/>
      <c r="R123" s="238"/>
      <c r="S123" s="238"/>
      <c r="T123" s="238"/>
      <c r="U123" s="238"/>
      <c r="V123" s="238"/>
      <c r="W123" s="238"/>
      <c r="X123" s="238"/>
      <c r="Y123" s="238"/>
      <c r="Z123" s="238"/>
      <c r="AA123" s="238"/>
      <c r="AB123" s="238"/>
      <c r="AC123" s="238"/>
      <c r="AD123" s="238"/>
      <c r="AE123" s="238"/>
      <c r="AF123" s="238"/>
      <c r="AG123" s="853">
        <f>ROUND(AG94 + AG121, 2)</f>
        <v>0</v>
      </c>
      <c r="AH123" s="853"/>
      <c r="AI123" s="853"/>
      <c r="AJ123" s="853"/>
      <c r="AK123" s="853"/>
      <c r="AL123" s="853"/>
      <c r="AM123" s="853"/>
      <c r="AN123" s="853">
        <f>ROUND(AN94 + AN121, 2)</f>
        <v>0</v>
      </c>
      <c r="AO123" s="853"/>
      <c r="AP123" s="853"/>
      <c r="AQ123" s="238"/>
      <c r="AR123" s="166"/>
    </row>
    <row r="124" spans="1:91" s="165" customFormat="1" ht="6.95" customHeight="1" x14ac:dyDescent="0.25">
      <c r="B124" s="182"/>
      <c r="C124" s="183"/>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83"/>
      <c r="AL124" s="183"/>
      <c r="AM124" s="183"/>
      <c r="AN124" s="183"/>
      <c r="AO124" s="183"/>
      <c r="AP124" s="183"/>
      <c r="AQ124" s="183"/>
      <c r="AR124" s="166"/>
    </row>
  </sheetData>
  <sheetProtection algorithmName="SHA-512" hashValue="NIIlPKS1/rp2UY2F6ROltrw3VBVmwBnw77RM58OmIbcd2zcVH9U3/3/urdshZUeWApQDC0L7dZaSz32nYRQPlw==" saltValue="12CdeJu39JdcC38SfSVyww==" spinCount="100000" sheet="1" objects="1" scenarios="1"/>
  <mergeCells count="143">
    <mergeCell ref="AG123:AM123"/>
    <mergeCell ref="AN123:AP123"/>
    <mergeCell ref="D119:H119"/>
    <mergeCell ref="J119:AF119"/>
    <mergeCell ref="AG119:AM119"/>
    <mergeCell ref="AN119:AP119"/>
    <mergeCell ref="AG121:AM121"/>
    <mergeCell ref="AN121:AP121"/>
    <mergeCell ref="D117:H117"/>
    <mergeCell ref="J117:AF117"/>
    <mergeCell ref="AG117:AM117"/>
    <mergeCell ref="AN117:AP117"/>
    <mergeCell ref="D118:H118"/>
    <mergeCell ref="J118:AF118"/>
    <mergeCell ref="AG118:AM118"/>
    <mergeCell ref="AN118:AP118"/>
    <mergeCell ref="D115:H115"/>
    <mergeCell ref="J115:AF115"/>
    <mergeCell ref="AG115:AM115"/>
    <mergeCell ref="AN115:AP115"/>
    <mergeCell ref="D116:H116"/>
    <mergeCell ref="J116:AF116"/>
    <mergeCell ref="AG116:AM116"/>
    <mergeCell ref="AN116:AP116"/>
    <mergeCell ref="D113:H113"/>
    <mergeCell ref="J113:AF113"/>
    <mergeCell ref="AG113:AM113"/>
    <mergeCell ref="AN113:AP113"/>
    <mergeCell ref="D114:H114"/>
    <mergeCell ref="J114:AF114"/>
    <mergeCell ref="AG114:AM114"/>
    <mergeCell ref="AN114:AP114"/>
    <mergeCell ref="D111:H111"/>
    <mergeCell ref="J111:AF111"/>
    <mergeCell ref="AG111:AM111"/>
    <mergeCell ref="AN111:AP111"/>
    <mergeCell ref="D112:H112"/>
    <mergeCell ref="J112:AF112"/>
    <mergeCell ref="AG112:AM112"/>
    <mergeCell ref="AN112:AP112"/>
    <mergeCell ref="D109:H109"/>
    <mergeCell ref="J109:AF109"/>
    <mergeCell ref="AG109:AM109"/>
    <mergeCell ref="AN109:AP109"/>
    <mergeCell ref="D110:H110"/>
    <mergeCell ref="J110:AF110"/>
    <mergeCell ref="AG110:AM110"/>
    <mergeCell ref="AN110:AP110"/>
    <mergeCell ref="D107:H107"/>
    <mergeCell ref="J107:AF107"/>
    <mergeCell ref="AG107:AM107"/>
    <mergeCell ref="AN107:AP107"/>
    <mergeCell ref="D108:H108"/>
    <mergeCell ref="J108:AF108"/>
    <mergeCell ref="AG108:AM108"/>
    <mergeCell ref="AN108:AP108"/>
    <mergeCell ref="D105:H105"/>
    <mergeCell ref="J105:AF105"/>
    <mergeCell ref="AG105:AM105"/>
    <mergeCell ref="AN105:AP105"/>
    <mergeCell ref="D106:H106"/>
    <mergeCell ref="J106:AF106"/>
    <mergeCell ref="AG106:AM106"/>
    <mergeCell ref="AN106:AP106"/>
    <mergeCell ref="D103:H103"/>
    <mergeCell ref="J103:AF103"/>
    <mergeCell ref="AG103:AM103"/>
    <mergeCell ref="AN103:AP103"/>
    <mergeCell ref="D104:H104"/>
    <mergeCell ref="J104:AF104"/>
    <mergeCell ref="AG104:AM104"/>
    <mergeCell ref="AN104:AP104"/>
    <mergeCell ref="D101:H101"/>
    <mergeCell ref="J101:AF101"/>
    <mergeCell ref="AG101:AM101"/>
    <mergeCell ref="AN101:AP101"/>
    <mergeCell ref="D102:H102"/>
    <mergeCell ref="J102:AF102"/>
    <mergeCell ref="AG102:AM102"/>
    <mergeCell ref="AN102:AP102"/>
    <mergeCell ref="D99:H99"/>
    <mergeCell ref="J99:AF99"/>
    <mergeCell ref="AG99:AM99"/>
    <mergeCell ref="AN99:AP99"/>
    <mergeCell ref="D100:H100"/>
    <mergeCell ref="J100:AF100"/>
    <mergeCell ref="AG100:AM100"/>
    <mergeCell ref="AN100:AP100"/>
    <mergeCell ref="D97:H97"/>
    <mergeCell ref="J97:AF97"/>
    <mergeCell ref="AG97:AM97"/>
    <mergeCell ref="AN97:AP97"/>
    <mergeCell ref="D98:H98"/>
    <mergeCell ref="J98:AF98"/>
    <mergeCell ref="AG98:AM98"/>
    <mergeCell ref="AN98:AP98"/>
    <mergeCell ref="D95:H95"/>
    <mergeCell ref="J95:AF95"/>
    <mergeCell ref="AG95:AM95"/>
    <mergeCell ref="AN95:AP95"/>
    <mergeCell ref="D96:H96"/>
    <mergeCell ref="J96:AF96"/>
    <mergeCell ref="AG96:AM96"/>
    <mergeCell ref="AN96:AP96"/>
    <mergeCell ref="C92:G92"/>
    <mergeCell ref="I92:AF92"/>
    <mergeCell ref="AG92:AM92"/>
    <mergeCell ref="AN92:AP92"/>
    <mergeCell ref="AG94:AM94"/>
    <mergeCell ref="AN94:AP94"/>
    <mergeCell ref="X38:AB38"/>
    <mergeCell ref="AK38:AO38"/>
    <mergeCell ref="L85:AJ85"/>
    <mergeCell ref="AM87:AN87"/>
    <mergeCell ref="AM89:AP89"/>
    <mergeCell ref="AS89:AT91"/>
    <mergeCell ref="AM90:AP90"/>
    <mergeCell ref="L35:P35"/>
    <mergeCell ref="W35:AE35"/>
    <mergeCell ref="AK35:AO35"/>
    <mergeCell ref="L36:P36"/>
    <mergeCell ref="W36:AE36"/>
    <mergeCell ref="AK36:AO36"/>
    <mergeCell ref="L34:P34"/>
    <mergeCell ref="W34:AE34"/>
    <mergeCell ref="AK34:AO34"/>
    <mergeCell ref="AK29:AO29"/>
    <mergeCell ref="L31:P31"/>
    <mergeCell ref="W31:AE31"/>
    <mergeCell ref="AK31:AO31"/>
    <mergeCell ref="L32:P32"/>
    <mergeCell ref="W32:AE32"/>
    <mergeCell ref="AK32:AO32"/>
    <mergeCell ref="AR2:BE2"/>
    <mergeCell ref="K5:AJ5"/>
    <mergeCell ref="K6:AJ6"/>
    <mergeCell ref="E23:AN23"/>
    <mergeCell ref="AK26:AO26"/>
    <mergeCell ref="AK27:AO27"/>
    <mergeCell ref="L33:P33"/>
    <mergeCell ref="W33:AE33"/>
    <mergeCell ref="AK33:AO33"/>
    <mergeCell ref="E17:P17"/>
  </mergeCells>
  <hyperlinks>
    <hyperlink ref="A95" location="'102.1 - SO 102.1 OM - úsek A'!C2" display="/" xr:uid="{CA6FB9E2-9F02-4273-864F-35C05267E983}"/>
    <hyperlink ref="A96" location="'100.1 - SO 101.1 Úprava k...'!C2" display="/" xr:uid="{CCC2B511-5109-486B-AB4E-1A893C854D64}"/>
    <hyperlink ref="A97" location="'100.2 - SO 101.2 Úprava k...'!C2" display="/" xr:uid="{8A03E7F8-B099-41C5-B840-03ED99A48038}"/>
    <hyperlink ref="A98" location="'100.3 - SO 101.3 Úprava k...'!C2" display="/" xr:uid="{6525827B-CC05-4F55-8256-D6E26033621C}"/>
    <hyperlink ref="A99" location="'100.4 - SO 101.4 Úprava k...'!C2" display="/" xr:uid="{2D5BAEDD-A0E3-4609-B2A8-122CC372970C}"/>
    <hyperlink ref="A100" location="'021 - VRN - úsek A'!C2" display="/" xr:uid="{60A1D99C-2D72-44C2-BC38-C2FBCF6E0C1A}"/>
    <hyperlink ref="A101" location="'022 - VRN - úsek D'!C2" display="/" xr:uid="{742CCDCA-1932-4D14-9407-EDB40C02C4AA}"/>
    <hyperlink ref="A102" location="'024 - VRN - úsek B'!C2" display="/" xr:uid="{C387D994-C75C-4755-8DA3-8A925F80BB5D}"/>
    <hyperlink ref="A103" location="'025 - VRN - úsek C'!C2" display="/" xr:uid="{F2A3558C-73AD-4727-B2A4-897CC3E08512}"/>
    <hyperlink ref="A104" location="'103.1 - SO 103.1 Predlzen...'!C2" display="/" xr:uid="{AAD2C101-D575-4AEB-9790-3CE749D80152}"/>
    <hyperlink ref="A105" location="'104.1 - SO 104.1 Oploteni...'!C2" display="/" xr:uid="{2E3047F3-F79A-4B45-8FC1-63652A7BAC24}"/>
    <hyperlink ref="A106" location="'104.2 - SO 104.2 Oploteni...'!C2" display="/" xr:uid="{6B56BDF1-42AE-433C-A5C1-AE44338294B0}"/>
    <hyperlink ref="A107" location="'105.2 - SO 105.2 Posuvna ...'!C2" display="/" xr:uid="{B16CA45E-9D5D-4A3C-B80A-B759CF9E2169}"/>
    <hyperlink ref="A108" location="'105.3 - SO 105.3 Posuvna ...'!C2" display="/" xr:uid="{33F765D1-E82B-4F28-B642-DB6F659D6211}"/>
    <hyperlink ref="A109" location="'106.2 - SO 106.2 Vjazdova...'!C2" display="/" xr:uid="{F68F1873-D74D-4E93-A9A5-C200358B810B}"/>
    <hyperlink ref="A110" location="'2505 - SO 401  Preložka t...'!C2" display="/" xr:uid="{A64CF322-CF7D-47A9-AF79-D12F750A5198}"/>
    <hyperlink ref="A111" location="'2506 - SO 402  Preložka t...'!C2" display="/" xr:uid="{D991E96B-2123-42A4-AFAF-AC0D30DCC860}"/>
    <hyperlink ref="A112" location="'300 - SO 300'!C2" display="/" xr:uid="{E32B1F2B-6883-454A-9ED9-8B2BFACF6867}"/>
    <hyperlink ref="A113" location="'301 - SO 301'!C2" display="/" xr:uid="{B61B4C81-6C92-40B6-B254-507D97D4E3BB}"/>
    <hyperlink ref="A114" location="'302 - SO 302'!C2" display="/" xr:uid="{86057E2A-3B32-4B90-A103-6BA30FF90F75}"/>
    <hyperlink ref="A115" location="'102.4 - SO 102.4 OM - úsek D'!C2" display="/" xr:uid="{84B7E9ED-879D-450F-80D7-7FFFE0CBCEAD}"/>
    <hyperlink ref="A116" location="'SO 200.A - Verejné osvetl...'!C2" display="/" xr:uid="{4D5E073F-EF37-43BD-8B28-0D884C80652C}"/>
    <hyperlink ref="A117" location="'SO 200.B - Verejné osvetl...'!C2" display="/" xr:uid="{1F8067E3-1471-4E55-9C47-DA0CE0EDA534}"/>
    <hyperlink ref="A118" location="'SO 200.C - Verejné osvetl...'!C2" display="/" xr:uid="{AB86F9B5-6DA4-4455-9947-FEEB4CCA5929}"/>
    <hyperlink ref="A119" location="'SO 200.D - Verejné osvetl...'!C2" display="/" xr:uid="{9F5CBFDF-DA42-4551-AD38-95FC41E23998}"/>
  </hyperlinks>
  <pageMargins left="0.39374999999999999" right="0.39374999999999999" top="0.39374999999999999" bottom="0.39374999999999999" header="0" footer="0"/>
  <pageSetup paperSize="9" fitToHeight="100" orientation="portrait" blackAndWhite="1"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10CA-A989-407D-9994-46E9E884984F}">
  <sheetPr codeName="Hárok7">
    <pageSetUpPr fitToPage="1"/>
  </sheetPr>
  <dimension ref="B2:BM225"/>
  <sheetViews>
    <sheetView topLeftCell="A158" workbookViewId="0">
      <selection activeCell="I165" sqref="I165"/>
    </sheetView>
  </sheetViews>
  <sheetFormatPr defaultRowHeight="11.25" x14ac:dyDescent="0.2"/>
  <cols>
    <col min="1" max="1" width="7.140625" style="152" customWidth="1"/>
    <col min="2" max="2" width="1" style="152" customWidth="1"/>
    <col min="3" max="3" width="3.5703125" style="152" customWidth="1"/>
    <col min="4" max="4" width="3.7109375" style="152" customWidth="1"/>
    <col min="5" max="5" width="14.7109375" style="152" customWidth="1"/>
    <col min="6" max="6" width="43.5703125" style="152" customWidth="1"/>
    <col min="7" max="7" width="6.42578125" style="152" customWidth="1"/>
    <col min="8" max="8" width="12" style="152" customWidth="1"/>
    <col min="9" max="9" width="13.5703125" style="152" customWidth="1"/>
    <col min="10" max="10" width="19.140625" style="152" customWidth="1"/>
    <col min="11" max="11" width="19.140625" style="152" hidden="1" customWidth="1"/>
    <col min="12" max="12" width="8" style="152" customWidth="1"/>
    <col min="13" max="13" width="9.28515625" style="152" hidden="1" customWidth="1"/>
    <col min="14" max="14" width="9.140625" style="152"/>
    <col min="15" max="20" width="12.140625" style="152" hidden="1" customWidth="1"/>
    <col min="21" max="21" width="14" style="152" hidden="1" customWidth="1"/>
    <col min="22" max="22" width="10.5703125" style="152" customWidth="1"/>
    <col min="23" max="23" width="14" style="152" customWidth="1"/>
    <col min="24" max="24" width="10.5703125" style="152" customWidth="1"/>
    <col min="25" max="25" width="12.85546875" style="152" customWidth="1"/>
    <col min="26" max="26" width="9.42578125" style="152" customWidth="1"/>
    <col min="27" max="27" width="12.85546875" style="152" customWidth="1"/>
    <col min="28" max="28" width="14" style="152" customWidth="1"/>
    <col min="29" max="29" width="9.42578125" style="152" customWidth="1"/>
    <col min="30" max="30" width="12.85546875" style="152" customWidth="1"/>
    <col min="31" max="31" width="14" style="152" customWidth="1"/>
    <col min="32" max="16384" width="9.140625" style="152"/>
  </cols>
  <sheetData>
    <row r="2" spans="2:46" ht="36.950000000000003" customHeight="1" x14ac:dyDescent="0.2">
      <c r="L2" s="814" t="s">
        <v>164</v>
      </c>
      <c r="M2" s="815"/>
      <c r="N2" s="815"/>
      <c r="O2" s="815"/>
      <c r="P2" s="815"/>
      <c r="Q2" s="815"/>
      <c r="R2" s="815"/>
      <c r="S2" s="815"/>
      <c r="T2" s="815"/>
      <c r="U2" s="815"/>
      <c r="V2" s="815"/>
      <c r="AT2" s="153" t="s">
        <v>338</v>
      </c>
    </row>
    <row r="3" spans="2:46" ht="6.95" customHeight="1" x14ac:dyDescent="0.2">
      <c r="B3" s="154"/>
      <c r="C3" s="155"/>
      <c r="D3" s="155"/>
      <c r="E3" s="155"/>
      <c r="F3" s="155"/>
      <c r="G3" s="155"/>
      <c r="H3" s="155"/>
      <c r="I3" s="155"/>
      <c r="J3" s="155"/>
      <c r="K3" s="155"/>
      <c r="L3" s="156"/>
      <c r="AT3" s="153" t="s">
        <v>165</v>
      </c>
    </row>
    <row r="4" spans="2:46" ht="24.95" customHeight="1" x14ac:dyDescent="0.2">
      <c r="B4" s="156"/>
      <c r="D4" s="157" t="s">
        <v>166</v>
      </c>
      <c r="L4" s="156"/>
      <c r="M4" s="229" t="s">
        <v>167</v>
      </c>
      <c r="AT4" s="153" t="s">
        <v>168</v>
      </c>
    </row>
    <row r="5" spans="2:46" ht="6.95" customHeight="1" x14ac:dyDescent="0.2">
      <c r="B5" s="156"/>
      <c r="L5" s="156"/>
    </row>
    <row r="6" spans="2:46" ht="12" customHeight="1" x14ac:dyDescent="0.2">
      <c r="B6" s="156"/>
      <c r="D6" s="162" t="s">
        <v>169</v>
      </c>
      <c r="L6" s="156"/>
    </row>
    <row r="7" spans="2:46" ht="16.5" customHeight="1" x14ac:dyDescent="0.2">
      <c r="B7" s="156"/>
      <c r="E7" s="855" t="str">
        <f>'Rekapitulácia stavby ÚSEK A-D'!K6</f>
        <v>Cyklotrasa - Devín_RP1</v>
      </c>
      <c r="F7" s="856"/>
      <c r="G7" s="856"/>
      <c r="H7" s="856"/>
      <c r="L7" s="156"/>
    </row>
    <row r="8" spans="2:46" s="165" customFormat="1" ht="12" customHeight="1" x14ac:dyDescent="0.25">
      <c r="B8" s="166"/>
      <c r="D8" s="162" t="s">
        <v>408</v>
      </c>
      <c r="L8" s="166"/>
    </row>
    <row r="9" spans="2:46" s="165" customFormat="1" ht="30" customHeight="1" x14ac:dyDescent="0.25">
      <c r="B9" s="166"/>
      <c r="E9" s="834" t="s">
        <v>682</v>
      </c>
      <c r="F9" s="854"/>
      <c r="G9" s="854"/>
      <c r="H9" s="854"/>
      <c r="L9" s="166"/>
    </row>
    <row r="10" spans="2:46" s="165" customFormat="1" x14ac:dyDescent="0.25">
      <c r="B10" s="166"/>
      <c r="L10" s="166"/>
    </row>
    <row r="11" spans="2:46" s="165" customFormat="1" ht="12" customHeight="1" x14ac:dyDescent="0.25">
      <c r="B11" s="166"/>
      <c r="D11" s="162" t="s">
        <v>170</v>
      </c>
      <c r="F11" s="160" t="s">
        <v>171</v>
      </c>
      <c r="I11" s="162" t="s">
        <v>310</v>
      </c>
      <c r="J11" s="160" t="s">
        <v>171</v>
      </c>
      <c r="L11" s="166"/>
    </row>
    <row r="12" spans="2:46" s="165" customFormat="1" ht="12" customHeight="1" x14ac:dyDescent="0.25">
      <c r="B12" s="166"/>
      <c r="D12" s="162" t="s">
        <v>172</v>
      </c>
      <c r="F12" s="160" t="s">
        <v>173</v>
      </c>
      <c r="I12" s="162" t="s">
        <v>174</v>
      </c>
      <c r="J12" s="192">
        <f>'Rekapitulácia stavby ÚSEK A-D'!AN8</f>
        <v>45908</v>
      </c>
      <c r="L12" s="166"/>
    </row>
    <row r="13" spans="2:46" s="165" customFormat="1" ht="10.9" customHeight="1" x14ac:dyDescent="0.25">
      <c r="B13" s="166"/>
      <c r="L13" s="166"/>
    </row>
    <row r="14" spans="2:46" s="165" customFormat="1" ht="12" customHeight="1" x14ac:dyDescent="0.25">
      <c r="B14" s="166"/>
      <c r="D14" s="162" t="s">
        <v>122</v>
      </c>
      <c r="I14" s="162" t="s">
        <v>29</v>
      </c>
      <c r="J14" s="160" t="str">
        <f>IF('Rekapitulácia stavby ÚSEK A-D'!AN10="","",'Rekapitulácia stavby ÚSEK A-D'!AN10)</f>
        <v/>
      </c>
      <c r="L14" s="166"/>
    </row>
    <row r="15" spans="2:46" s="165" customFormat="1" ht="18" customHeight="1" x14ac:dyDescent="0.25">
      <c r="B15" s="166"/>
      <c r="E15" s="160" t="str">
        <f>IF('Rekapitulácia stavby ÚSEK A-D'!E11="","",'Rekapitulácia stavby ÚSEK A-D'!E11)</f>
        <v>Hlavné mesto SR Bratislava</v>
      </c>
      <c r="I15" s="162" t="s">
        <v>30</v>
      </c>
      <c r="J15" s="160" t="str">
        <f>IF('Rekapitulácia stavby ÚSEK A-D'!AN11="","",'Rekapitulácia stavby ÚSEK A-D'!AN11)</f>
        <v/>
      </c>
      <c r="L15" s="166"/>
    </row>
    <row r="16" spans="2:46" s="165" customFormat="1" ht="6.95" customHeight="1" x14ac:dyDescent="0.25">
      <c r="B16" s="166"/>
      <c r="L16" s="166"/>
    </row>
    <row r="17" spans="2:12" s="165" customFormat="1" ht="12" customHeight="1" x14ac:dyDescent="0.25">
      <c r="B17" s="166"/>
      <c r="D17" s="162" t="s">
        <v>175</v>
      </c>
      <c r="I17" s="162" t="s">
        <v>29</v>
      </c>
      <c r="J17" s="160" t="str">
        <f>'Rekapitulácia stavby ÚSEK A-D'!AN13</f>
        <v>Údaj sa automaticky zobrazí aj vo Výkaze výmer</v>
      </c>
      <c r="L17" s="166"/>
    </row>
    <row r="18" spans="2:12" s="165" customFormat="1" ht="18" customHeight="1" x14ac:dyDescent="0.25">
      <c r="B18" s="166"/>
      <c r="E18" s="816" t="str">
        <f>'Rekapitulácia stavby ÚSEK A-D'!E14</f>
        <v>Údaj sa automaticky zobrazí aj vo Výkaze výmer</v>
      </c>
      <c r="F18" s="816"/>
      <c r="G18" s="816"/>
      <c r="H18" s="816"/>
      <c r="I18" s="162" t="s">
        <v>30</v>
      </c>
      <c r="J18" s="160" t="str">
        <f>'Rekapitulácia stavby ÚSEK A-D'!AN14</f>
        <v>Údaj sa automaticky zobrazí aj vo Výkaze výmer</v>
      </c>
      <c r="L18" s="166"/>
    </row>
    <row r="19" spans="2:12" s="165" customFormat="1" ht="6.95" customHeight="1" x14ac:dyDescent="0.25">
      <c r="B19" s="166"/>
      <c r="L19" s="166"/>
    </row>
    <row r="20" spans="2:12" s="165" customFormat="1" ht="12" customHeight="1" x14ac:dyDescent="0.25">
      <c r="B20" s="166"/>
      <c r="D20" s="162" t="s">
        <v>176</v>
      </c>
      <c r="I20" s="162" t="s">
        <v>29</v>
      </c>
      <c r="J20" s="160">
        <f>IF('Rekapitulácia stavby ÚSEK A-D'!AN16="","",'Rekapitulácia stavby ÚSEK A-D'!AN16)</f>
        <v>35849657</v>
      </c>
      <c r="L20" s="166"/>
    </row>
    <row r="21" spans="2:12" s="165" customFormat="1" ht="18" customHeight="1" x14ac:dyDescent="0.25">
      <c r="B21" s="166"/>
      <c r="E21" s="352" t="s">
        <v>3192</v>
      </c>
      <c r="I21" s="162" t="s">
        <v>30</v>
      </c>
      <c r="J21" s="160" t="str">
        <f>IF('Rekapitulácia stavby ÚSEK A-D'!AN17="","",'Rekapitulácia stavby ÚSEK A-D'!AN17)</f>
        <v/>
      </c>
      <c r="L21" s="166"/>
    </row>
    <row r="22" spans="2:12" s="165" customFormat="1" ht="6.95" customHeight="1" x14ac:dyDescent="0.25">
      <c r="B22" s="166"/>
      <c r="L22" s="166"/>
    </row>
    <row r="23" spans="2:12" s="165" customFormat="1" ht="12" customHeight="1" x14ac:dyDescent="0.25">
      <c r="B23" s="166"/>
      <c r="D23" s="162" t="s">
        <v>177</v>
      </c>
      <c r="I23" s="162" t="s">
        <v>29</v>
      </c>
      <c r="J23" s="160" t="str">
        <f>IF('Rekapitulácia stavby ÚSEK A-D'!AN19="","",'Rekapitulácia stavby ÚSEK A-D'!AN19)</f>
        <v/>
      </c>
      <c r="L23" s="166"/>
    </row>
    <row r="24" spans="2:12" s="165" customFormat="1" ht="18" customHeight="1" x14ac:dyDescent="0.25">
      <c r="B24" s="166"/>
      <c r="E24" s="160" t="str">
        <f>IF('Rekapitulácia stavby ÚSEK A-D'!E20="","",'Rekapitulácia stavby ÚSEK A-D'!E20)</f>
        <v>Ing. Ondrej Májek</v>
      </c>
      <c r="I24" s="162" t="s">
        <v>30</v>
      </c>
      <c r="J24" s="160" t="str">
        <f>IF('Rekapitulácia stavby ÚSEK A-D'!AN20="","",'Rekapitulácia stavby ÚSEK A-D'!AN20)</f>
        <v/>
      </c>
      <c r="L24" s="166"/>
    </row>
    <row r="25" spans="2:12" s="165" customFormat="1" ht="6.95" customHeight="1" x14ac:dyDescent="0.25">
      <c r="B25" s="166"/>
      <c r="L25" s="166"/>
    </row>
    <row r="26" spans="2:12" s="165" customFormat="1" ht="12" customHeight="1" x14ac:dyDescent="0.25">
      <c r="B26" s="166"/>
      <c r="D26" s="162" t="s">
        <v>178</v>
      </c>
      <c r="L26" s="166"/>
    </row>
    <row r="27" spans="2:12" s="230" customFormat="1" ht="16.5" customHeight="1" x14ac:dyDescent="0.25">
      <c r="B27" s="231"/>
      <c r="E27" s="818" t="s">
        <v>171</v>
      </c>
      <c r="F27" s="818"/>
      <c r="G27" s="818"/>
      <c r="H27" s="818"/>
      <c r="L27" s="231"/>
    </row>
    <row r="28" spans="2:12" s="165" customFormat="1" ht="6.95" customHeight="1" x14ac:dyDescent="0.25">
      <c r="B28" s="166"/>
      <c r="L28" s="166"/>
    </row>
    <row r="29" spans="2:12" s="165" customFormat="1" ht="6.95" customHeight="1" x14ac:dyDescent="0.25">
      <c r="B29" s="166"/>
      <c r="D29" s="193"/>
      <c r="E29" s="193"/>
      <c r="F29" s="193"/>
      <c r="G29" s="193"/>
      <c r="H29" s="193"/>
      <c r="I29" s="193"/>
      <c r="J29" s="193"/>
      <c r="K29" s="193"/>
      <c r="L29" s="166"/>
    </row>
    <row r="30" spans="2:12" s="165" customFormat="1" ht="14.45" customHeight="1" x14ac:dyDescent="0.25">
      <c r="B30" s="166"/>
      <c r="D30" s="160" t="s">
        <v>201</v>
      </c>
      <c r="J30" s="320">
        <f>J96</f>
        <v>0</v>
      </c>
      <c r="L30" s="166"/>
    </row>
    <row r="31" spans="2:12" s="165" customFormat="1" ht="14.45" customHeight="1" x14ac:dyDescent="0.25">
      <c r="B31" s="166"/>
      <c r="D31" s="319" t="s">
        <v>3064</v>
      </c>
      <c r="J31" s="320">
        <f>J105</f>
        <v>0</v>
      </c>
      <c r="L31" s="166"/>
    </row>
    <row r="32" spans="2:12" s="165" customFormat="1" ht="25.35" customHeight="1" x14ac:dyDescent="0.25">
      <c r="B32" s="166"/>
      <c r="D32" s="232" t="s">
        <v>179</v>
      </c>
      <c r="J32" s="207">
        <f>ROUND(J30 + J31, 2)</f>
        <v>0</v>
      </c>
      <c r="L32" s="166"/>
    </row>
    <row r="33" spans="2:12" s="165" customFormat="1" ht="6.95" customHeight="1" x14ac:dyDescent="0.25">
      <c r="B33" s="166"/>
      <c r="D33" s="193"/>
      <c r="E33" s="193"/>
      <c r="F33" s="193"/>
      <c r="G33" s="193"/>
      <c r="H33" s="193"/>
      <c r="I33" s="193"/>
      <c r="J33" s="193"/>
      <c r="K33" s="193"/>
      <c r="L33" s="166"/>
    </row>
    <row r="34" spans="2:12" s="165" customFormat="1" ht="14.45" customHeight="1" x14ac:dyDescent="0.25">
      <c r="B34" s="166"/>
      <c r="F34" s="169" t="s">
        <v>180</v>
      </c>
      <c r="I34" s="169" t="s">
        <v>181</v>
      </c>
      <c r="J34" s="169" t="s">
        <v>182</v>
      </c>
      <c r="L34" s="166"/>
    </row>
    <row r="35" spans="2:12" s="165" customFormat="1" ht="14.45" customHeight="1" x14ac:dyDescent="0.25">
      <c r="B35" s="166"/>
      <c r="D35" s="195" t="s">
        <v>183</v>
      </c>
      <c r="E35" s="172" t="s">
        <v>184</v>
      </c>
      <c r="F35" s="233">
        <f>ROUND((SUM(BE105:BE106) + SUM(BE126:BE224)),  2)</f>
        <v>0</v>
      </c>
      <c r="G35" s="234"/>
      <c r="H35" s="234"/>
      <c r="I35" s="235">
        <v>0.23</v>
      </c>
      <c r="J35" s="233">
        <f>ROUND(((SUM(BE105:BE106) + SUM(BE126:BE224))*I35),  2)</f>
        <v>0</v>
      </c>
      <c r="L35" s="166"/>
    </row>
    <row r="36" spans="2:12" s="165" customFormat="1" ht="14.45" customHeight="1" x14ac:dyDescent="0.25">
      <c r="B36" s="166"/>
      <c r="E36" s="172" t="s">
        <v>185</v>
      </c>
      <c r="F36" s="236">
        <f>ROUND((SUM(BF105:BF106) + SUM(BF126:BF224)),  2)</f>
        <v>0</v>
      </c>
      <c r="I36" s="237">
        <v>0.23</v>
      </c>
      <c r="J36" s="236">
        <f>ROUND(((SUM(BF105:BF106) + SUM(BF126:BF224))*I36),  2)</f>
        <v>0</v>
      </c>
      <c r="L36" s="166"/>
    </row>
    <row r="37" spans="2:12" s="165" customFormat="1" ht="14.45" hidden="1" customHeight="1" x14ac:dyDescent="0.25">
      <c r="B37" s="166"/>
      <c r="E37" s="162" t="s">
        <v>186</v>
      </c>
      <c r="F37" s="236">
        <f>ROUND((SUM(BG105:BG106) + SUM(BG126:BG224)),  2)</f>
        <v>0</v>
      </c>
      <c r="I37" s="237">
        <v>0.23</v>
      </c>
      <c r="J37" s="236">
        <f>0</f>
        <v>0</v>
      </c>
      <c r="L37" s="166"/>
    </row>
    <row r="38" spans="2:12" s="165" customFormat="1" ht="14.45" hidden="1" customHeight="1" x14ac:dyDescent="0.25">
      <c r="B38" s="166"/>
      <c r="E38" s="162" t="s">
        <v>187</v>
      </c>
      <c r="F38" s="236">
        <f>ROUND((SUM(BH105:BH106) + SUM(BH126:BH224)),  2)</f>
        <v>0</v>
      </c>
      <c r="I38" s="237">
        <v>0.23</v>
      </c>
      <c r="J38" s="236">
        <f>0</f>
        <v>0</v>
      </c>
      <c r="L38" s="166"/>
    </row>
    <row r="39" spans="2:12" s="165" customFormat="1" ht="14.45" hidden="1" customHeight="1" x14ac:dyDescent="0.25">
      <c r="B39" s="166"/>
      <c r="E39" s="172" t="s">
        <v>188</v>
      </c>
      <c r="F39" s="233">
        <f>ROUND((SUM(BI105:BI106) + SUM(BI126:BI224)),  2)</f>
        <v>0</v>
      </c>
      <c r="G39" s="234"/>
      <c r="H39" s="234"/>
      <c r="I39" s="235">
        <v>0</v>
      </c>
      <c r="J39" s="233">
        <f>0</f>
        <v>0</v>
      </c>
      <c r="L39" s="166"/>
    </row>
    <row r="40" spans="2:12" s="165" customFormat="1" ht="6.95" customHeight="1" x14ac:dyDescent="0.25">
      <c r="B40" s="166"/>
      <c r="L40" s="166"/>
    </row>
    <row r="41" spans="2:12" s="165" customFormat="1" ht="25.35" customHeight="1" x14ac:dyDescent="0.25">
      <c r="B41" s="166"/>
      <c r="C41" s="238"/>
      <c r="D41" s="239" t="s">
        <v>189</v>
      </c>
      <c r="E41" s="197"/>
      <c r="F41" s="197"/>
      <c r="G41" s="240" t="s">
        <v>190</v>
      </c>
      <c r="H41" s="241" t="s">
        <v>191</v>
      </c>
      <c r="I41" s="197"/>
      <c r="J41" s="242">
        <f>SUM(J32:J39)</f>
        <v>0</v>
      </c>
      <c r="K41" s="243"/>
      <c r="L41" s="166"/>
    </row>
    <row r="42" spans="2:12" s="165" customFormat="1" ht="14.45" customHeight="1" x14ac:dyDescent="0.25">
      <c r="B42" s="166"/>
      <c r="L42" s="166"/>
    </row>
    <row r="43" spans="2:12" ht="14.45" customHeight="1" x14ac:dyDescent="0.2">
      <c r="B43" s="156"/>
      <c r="L43" s="156"/>
    </row>
    <row r="44" spans="2:12" ht="14.45" customHeight="1" x14ac:dyDescent="0.2">
      <c r="B44" s="156"/>
      <c r="L44" s="156"/>
    </row>
    <row r="45" spans="2:12" ht="14.45" customHeight="1" x14ac:dyDescent="0.2">
      <c r="B45" s="156"/>
      <c r="L45" s="156"/>
    </row>
    <row r="46" spans="2:12" ht="14.45" customHeight="1" x14ac:dyDescent="0.2">
      <c r="B46" s="156"/>
      <c r="L46" s="156"/>
    </row>
    <row r="47" spans="2:12" ht="14.45" customHeight="1" x14ac:dyDescent="0.2">
      <c r="B47" s="156"/>
      <c r="L47" s="156"/>
    </row>
    <row r="48" spans="2:12" ht="14.45" customHeight="1" x14ac:dyDescent="0.2">
      <c r="B48" s="156"/>
      <c r="L48" s="156"/>
    </row>
    <row r="49" spans="2:12" ht="14.45" customHeight="1" x14ac:dyDescent="0.2">
      <c r="B49" s="156"/>
      <c r="L49" s="156"/>
    </row>
    <row r="50" spans="2:12" s="165" customFormat="1" ht="14.45" customHeight="1" x14ac:dyDescent="0.25">
      <c r="B50" s="166"/>
      <c r="D50" s="179" t="s">
        <v>192</v>
      </c>
      <c r="E50" s="180"/>
      <c r="F50" s="180"/>
      <c r="G50" s="179" t="s">
        <v>193</v>
      </c>
      <c r="H50" s="180"/>
      <c r="I50" s="180"/>
      <c r="J50" s="180"/>
      <c r="K50" s="180"/>
      <c r="L50" s="166"/>
    </row>
    <row r="51" spans="2:12" x14ac:dyDescent="0.2">
      <c r="B51" s="156"/>
      <c r="L51" s="156"/>
    </row>
    <row r="52" spans="2:12" x14ac:dyDescent="0.2">
      <c r="B52" s="156"/>
      <c r="L52" s="156"/>
    </row>
    <row r="53" spans="2:12" x14ac:dyDescent="0.2">
      <c r="B53" s="156"/>
      <c r="L53" s="156"/>
    </row>
    <row r="54" spans="2:12" x14ac:dyDescent="0.2">
      <c r="B54" s="156"/>
      <c r="L54" s="156"/>
    </row>
    <row r="55" spans="2:12" x14ac:dyDescent="0.2">
      <c r="B55" s="156"/>
      <c r="L55" s="156"/>
    </row>
    <row r="56" spans="2:12" x14ac:dyDescent="0.2">
      <c r="B56" s="156"/>
      <c r="L56" s="156"/>
    </row>
    <row r="57" spans="2:12" x14ac:dyDescent="0.2">
      <c r="B57" s="156"/>
      <c r="L57" s="156"/>
    </row>
    <row r="58" spans="2:12" x14ac:dyDescent="0.2">
      <c r="B58" s="156"/>
      <c r="L58" s="156"/>
    </row>
    <row r="59" spans="2:12" x14ac:dyDescent="0.2">
      <c r="B59" s="156"/>
      <c r="L59" s="156"/>
    </row>
    <row r="60" spans="2:12" x14ac:dyDescent="0.2">
      <c r="B60" s="156"/>
      <c r="L60" s="156"/>
    </row>
    <row r="61" spans="2:12" s="165" customFormat="1" ht="12.75" x14ac:dyDescent="0.25">
      <c r="B61" s="166"/>
      <c r="D61" s="181" t="s">
        <v>194</v>
      </c>
      <c r="E61" s="168"/>
      <c r="F61" s="244" t="s">
        <v>195</v>
      </c>
      <c r="G61" s="181" t="s">
        <v>194</v>
      </c>
      <c r="H61" s="168"/>
      <c r="I61" s="168"/>
      <c r="J61" s="245" t="s">
        <v>195</v>
      </c>
      <c r="K61" s="168"/>
      <c r="L61" s="166"/>
    </row>
    <row r="62" spans="2:12" x14ac:dyDescent="0.2">
      <c r="B62" s="156"/>
      <c r="L62" s="156"/>
    </row>
    <row r="63" spans="2:12" x14ac:dyDescent="0.2">
      <c r="B63" s="156"/>
      <c r="L63" s="156"/>
    </row>
    <row r="64" spans="2:12" x14ac:dyDescent="0.2">
      <c r="B64" s="156"/>
      <c r="L64" s="156"/>
    </row>
    <row r="65" spans="2:12" s="165" customFormat="1" ht="12.75" x14ac:dyDescent="0.25">
      <c r="B65" s="166"/>
      <c r="D65" s="179" t="s">
        <v>196</v>
      </c>
      <c r="E65" s="180"/>
      <c r="F65" s="180"/>
      <c r="G65" s="179" t="s">
        <v>197</v>
      </c>
      <c r="H65" s="180"/>
      <c r="I65" s="180"/>
      <c r="J65" s="180"/>
      <c r="K65" s="180"/>
      <c r="L65" s="166"/>
    </row>
    <row r="66" spans="2:12" x14ac:dyDescent="0.2">
      <c r="B66" s="156"/>
      <c r="L66" s="156"/>
    </row>
    <row r="67" spans="2:12" x14ac:dyDescent="0.2">
      <c r="B67" s="156"/>
      <c r="L67" s="156"/>
    </row>
    <row r="68" spans="2:12" x14ac:dyDescent="0.2">
      <c r="B68" s="156"/>
      <c r="L68" s="156"/>
    </row>
    <row r="69" spans="2:12" x14ac:dyDescent="0.2">
      <c r="B69" s="156"/>
      <c r="L69" s="156"/>
    </row>
    <row r="70" spans="2:12" x14ac:dyDescent="0.2">
      <c r="B70" s="156"/>
      <c r="L70" s="156"/>
    </row>
    <row r="71" spans="2:12" x14ac:dyDescent="0.2">
      <c r="B71" s="156"/>
      <c r="L71" s="156"/>
    </row>
    <row r="72" spans="2:12" x14ac:dyDescent="0.2">
      <c r="B72" s="156"/>
      <c r="L72" s="156"/>
    </row>
    <row r="73" spans="2:12" x14ac:dyDescent="0.2">
      <c r="B73" s="156"/>
      <c r="L73" s="156"/>
    </row>
    <row r="74" spans="2:12" x14ac:dyDescent="0.2">
      <c r="B74" s="156"/>
      <c r="L74" s="156"/>
    </row>
    <row r="75" spans="2:12" x14ac:dyDescent="0.2">
      <c r="B75" s="156"/>
      <c r="L75" s="156"/>
    </row>
    <row r="76" spans="2:12" s="165" customFormat="1" ht="12.75" x14ac:dyDescent="0.25">
      <c r="B76" s="166"/>
      <c r="D76" s="181" t="s">
        <v>194</v>
      </c>
      <c r="E76" s="168"/>
      <c r="F76" s="244" t="s">
        <v>195</v>
      </c>
      <c r="G76" s="181" t="s">
        <v>194</v>
      </c>
      <c r="H76" s="168"/>
      <c r="I76" s="168"/>
      <c r="J76" s="245" t="s">
        <v>195</v>
      </c>
      <c r="K76" s="168"/>
      <c r="L76" s="166"/>
    </row>
    <row r="77" spans="2:12" s="165" customFormat="1" ht="14.45" customHeight="1" x14ac:dyDescent="0.25">
      <c r="B77" s="182"/>
      <c r="C77" s="183"/>
      <c r="D77" s="183"/>
      <c r="E77" s="183"/>
      <c r="F77" s="183"/>
      <c r="G77" s="183"/>
      <c r="H77" s="183"/>
      <c r="I77" s="183"/>
      <c r="J77" s="183"/>
      <c r="K77" s="183"/>
      <c r="L77" s="166"/>
    </row>
    <row r="81" spans="2:47" s="165" customFormat="1" ht="6.95" customHeight="1" x14ac:dyDescent="0.25">
      <c r="B81" s="184"/>
      <c r="C81" s="185"/>
      <c r="D81" s="185"/>
      <c r="E81" s="185"/>
      <c r="F81" s="185"/>
      <c r="G81" s="185"/>
      <c r="H81" s="185"/>
      <c r="I81" s="185"/>
      <c r="J81" s="185"/>
      <c r="K81" s="185"/>
      <c r="L81" s="166"/>
    </row>
    <row r="82" spans="2:47" s="165" customFormat="1" ht="24.95" customHeight="1" x14ac:dyDescent="0.25">
      <c r="B82" s="166"/>
      <c r="C82" s="157" t="s">
        <v>198</v>
      </c>
      <c r="L82" s="166"/>
    </row>
    <row r="83" spans="2:47" s="165" customFormat="1" ht="6.95" customHeight="1" x14ac:dyDescent="0.25">
      <c r="B83" s="166"/>
      <c r="L83" s="166"/>
    </row>
    <row r="84" spans="2:47" s="165" customFormat="1" ht="12" customHeight="1" x14ac:dyDescent="0.25">
      <c r="B84" s="166"/>
      <c r="C84" s="162" t="s">
        <v>169</v>
      </c>
      <c r="L84" s="166"/>
    </row>
    <row r="85" spans="2:47" s="165" customFormat="1" ht="16.5" customHeight="1" x14ac:dyDescent="0.25">
      <c r="B85" s="166"/>
      <c r="E85" s="855" t="str">
        <f>E7</f>
        <v>Cyklotrasa - Devín_RP1</v>
      </c>
      <c r="F85" s="856"/>
      <c r="G85" s="856"/>
      <c r="H85" s="856"/>
      <c r="L85" s="166"/>
    </row>
    <row r="86" spans="2:47" s="165" customFormat="1" ht="12" customHeight="1" x14ac:dyDescent="0.25">
      <c r="B86" s="166"/>
      <c r="C86" s="162" t="s">
        <v>408</v>
      </c>
      <c r="L86" s="166"/>
    </row>
    <row r="87" spans="2:47" s="165" customFormat="1" ht="30" customHeight="1" x14ac:dyDescent="0.25">
      <c r="B87" s="166"/>
      <c r="E87" s="834" t="str">
        <f>E9</f>
        <v>100.1 - SO 101.1 Úprava komunikácie - Devínska cesta, úsek A</v>
      </c>
      <c r="F87" s="854"/>
      <c r="G87" s="854"/>
      <c r="H87" s="854"/>
      <c r="L87" s="166"/>
    </row>
    <row r="88" spans="2:47" s="165" customFormat="1" ht="6.95" customHeight="1" x14ac:dyDescent="0.25">
      <c r="B88" s="166"/>
      <c r="L88" s="166"/>
    </row>
    <row r="89" spans="2:47" s="165" customFormat="1" ht="12" customHeight="1" x14ac:dyDescent="0.25">
      <c r="B89" s="166"/>
      <c r="C89" s="162" t="s">
        <v>172</v>
      </c>
      <c r="F89" s="160" t="str">
        <f>F12</f>
        <v xml:space="preserve"> </v>
      </c>
      <c r="I89" s="162" t="s">
        <v>174</v>
      </c>
      <c r="J89" s="192">
        <f>IF(J12="","",J12)</f>
        <v>45908</v>
      </c>
      <c r="L89" s="166"/>
    </row>
    <row r="90" spans="2:47" s="165" customFormat="1" ht="6.95" customHeight="1" x14ac:dyDescent="0.25">
      <c r="B90" s="166"/>
      <c r="L90" s="166"/>
    </row>
    <row r="91" spans="2:47" s="165" customFormat="1" ht="15.2" customHeight="1" x14ac:dyDescent="0.25">
      <c r="B91" s="166"/>
      <c r="C91" s="162" t="s">
        <v>122</v>
      </c>
      <c r="F91" s="160" t="str">
        <f>E15</f>
        <v>Hlavné mesto SR Bratislava</v>
      </c>
      <c r="I91" s="162" t="s">
        <v>176</v>
      </c>
      <c r="J91" s="163" t="str">
        <f>E21</f>
        <v>PROKOS s.r.o.</v>
      </c>
      <c r="L91" s="166"/>
    </row>
    <row r="92" spans="2:47" s="165" customFormat="1" ht="15.2" customHeight="1" x14ac:dyDescent="0.25">
      <c r="B92" s="166"/>
      <c r="C92" s="162" t="s">
        <v>175</v>
      </c>
      <c r="F92" s="160" t="str">
        <f>IF(E18="","",E18)</f>
        <v>Údaj sa automaticky zobrazí aj vo Výkaze výmer</v>
      </c>
      <c r="I92" s="162" t="s">
        <v>177</v>
      </c>
      <c r="J92" s="163" t="str">
        <f>E24</f>
        <v>Ing. Ondrej Májek</v>
      </c>
      <c r="L92" s="166"/>
    </row>
    <row r="93" spans="2:47" s="165" customFormat="1" ht="10.35" customHeight="1" x14ac:dyDescent="0.25">
      <c r="B93" s="166"/>
      <c r="L93" s="166"/>
    </row>
    <row r="94" spans="2:47" s="165" customFormat="1" ht="29.25" customHeight="1" x14ac:dyDescent="0.25">
      <c r="B94" s="166"/>
      <c r="C94" s="246" t="s">
        <v>199</v>
      </c>
      <c r="D94" s="238"/>
      <c r="E94" s="238"/>
      <c r="F94" s="238"/>
      <c r="G94" s="238"/>
      <c r="H94" s="238"/>
      <c r="I94" s="238"/>
      <c r="J94" s="247" t="s">
        <v>200</v>
      </c>
      <c r="K94" s="238"/>
      <c r="L94" s="166"/>
    </row>
    <row r="95" spans="2:47" s="165" customFormat="1" ht="10.35" customHeight="1" x14ac:dyDescent="0.25">
      <c r="B95" s="166"/>
      <c r="L95" s="166"/>
    </row>
    <row r="96" spans="2:47" s="165" customFormat="1" ht="22.9" customHeight="1" x14ac:dyDescent="0.25">
      <c r="B96" s="166"/>
      <c r="C96" s="248" t="s">
        <v>3065</v>
      </c>
      <c r="J96" s="207">
        <f>J126</f>
        <v>0</v>
      </c>
      <c r="L96" s="166"/>
      <c r="AU96" s="153" t="s">
        <v>202</v>
      </c>
    </row>
    <row r="97" spans="2:14" s="249" customFormat="1" ht="24.95" customHeight="1" x14ac:dyDescent="0.25">
      <c r="B97" s="250"/>
      <c r="D97" s="251" t="s">
        <v>410</v>
      </c>
      <c r="E97" s="252"/>
      <c r="F97" s="252"/>
      <c r="G97" s="252"/>
      <c r="H97" s="252"/>
      <c r="I97" s="252"/>
      <c r="J97" s="253">
        <f>J127</f>
        <v>0</v>
      </c>
      <c r="L97" s="250"/>
    </row>
    <row r="98" spans="2:14" s="254" customFormat="1" ht="19.899999999999999" customHeight="1" x14ac:dyDescent="0.25">
      <c r="B98" s="255"/>
      <c r="D98" s="256" t="s">
        <v>411</v>
      </c>
      <c r="E98" s="257"/>
      <c r="F98" s="257"/>
      <c r="G98" s="257"/>
      <c r="H98" s="257"/>
      <c r="I98" s="257"/>
      <c r="J98" s="258">
        <f>J128</f>
        <v>0</v>
      </c>
      <c r="L98" s="255"/>
    </row>
    <row r="99" spans="2:14" s="254" customFormat="1" ht="19.899999999999999" customHeight="1" x14ac:dyDescent="0.25">
      <c r="B99" s="255"/>
      <c r="D99" s="256" t="s">
        <v>683</v>
      </c>
      <c r="E99" s="257"/>
      <c r="F99" s="257"/>
      <c r="G99" s="257"/>
      <c r="H99" s="257"/>
      <c r="I99" s="257"/>
      <c r="J99" s="258">
        <f>J150</f>
        <v>0</v>
      </c>
      <c r="L99" s="255"/>
    </row>
    <row r="100" spans="2:14" s="254" customFormat="1" ht="19.899999999999999" customHeight="1" x14ac:dyDescent="0.25">
      <c r="B100" s="255"/>
      <c r="D100" s="256" t="s">
        <v>414</v>
      </c>
      <c r="E100" s="257"/>
      <c r="F100" s="257"/>
      <c r="G100" s="257"/>
      <c r="H100" s="257"/>
      <c r="I100" s="257"/>
      <c r="J100" s="258">
        <f>J176</f>
        <v>0</v>
      </c>
      <c r="L100" s="255"/>
    </row>
    <row r="101" spans="2:14" s="254" customFormat="1" ht="19.899999999999999" customHeight="1" x14ac:dyDescent="0.25">
      <c r="B101" s="255"/>
      <c r="D101" s="256" t="s">
        <v>415</v>
      </c>
      <c r="E101" s="257"/>
      <c r="F101" s="257"/>
      <c r="G101" s="257"/>
      <c r="H101" s="257"/>
      <c r="I101" s="257"/>
      <c r="J101" s="258">
        <f>J218</f>
        <v>0</v>
      </c>
      <c r="L101" s="255"/>
    </row>
    <row r="102" spans="2:14" s="249" customFormat="1" ht="24.95" customHeight="1" x14ac:dyDescent="0.25">
      <c r="B102" s="250"/>
      <c r="D102" s="251" t="s">
        <v>416</v>
      </c>
      <c r="E102" s="252"/>
      <c r="F102" s="252"/>
      <c r="G102" s="252"/>
      <c r="H102" s="252"/>
      <c r="I102" s="252"/>
      <c r="J102" s="253">
        <f>J224</f>
        <v>0</v>
      </c>
      <c r="L102" s="250"/>
    </row>
    <row r="103" spans="2:14" s="165" customFormat="1" ht="21.75" customHeight="1" x14ac:dyDescent="0.25">
      <c r="B103" s="166"/>
      <c r="L103" s="166"/>
    </row>
    <row r="104" spans="2:14" s="165" customFormat="1" ht="6.95" customHeight="1" x14ac:dyDescent="0.25">
      <c r="B104" s="166"/>
      <c r="L104" s="166"/>
    </row>
    <row r="105" spans="2:14" s="165" customFormat="1" ht="29.25" customHeight="1" x14ac:dyDescent="0.25">
      <c r="B105" s="166"/>
      <c r="C105" s="248" t="s">
        <v>3066</v>
      </c>
      <c r="J105" s="325">
        <v>0</v>
      </c>
      <c r="L105" s="166"/>
      <c r="N105" s="282" t="s">
        <v>183</v>
      </c>
    </row>
    <row r="106" spans="2:14" s="165" customFormat="1" ht="18" customHeight="1" x14ac:dyDescent="0.25">
      <c r="B106" s="166"/>
      <c r="L106" s="166"/>
    </row>
    <row r="107" spans="2:14" s="165" customFormat="1" ht="29.25" customHeight="1" x14ac:dyDescent="0.25">
      <c r="B107" s="166"/>
      <c r="C107" s="323" t="s">
        <v>3063</v>
      </c>
      <c r="D107" s="238"/>
      <c r="E107" s="238"/>
      <c r="F107" s="238"/>
      <c r="G107" s="238"/>
      <c r="H107" s="238"/>
      <c r="I107" s="238"/>
      <c r="J107" s="324">
        <f>ROUND(J96+J105,2)</f>
        <v>0</v>
      </c>
      <c r="K107" s="238"/>
      <c r="L107" s="166"/>
    </row>
    <row r="108" spans="2:14" s="165" customFormat="1" ht="6.95" customHeight="1" x14ac:dyDescent="0.25">
      <c r="B108" s="182"/>
      <c r="C108" s="183"/>
      <c r="D108" s="183"/>
      <c r="E108" s="183"/>
      <c r="F108" s="183"/>
      <c r="G108" s="183"/>
      <c r="H108" s="183"/>
      <c r="I108" s="183"/>
      <c r="J108" s="183"/>
      <c r="K108" s="183"/>
      <c r="L108" s="166"/>
    </row>
    <row r="112" spans="2:14" s="165" customFormat="1" ht="6.95" customHeight="1" x14ac:dyDescent="0.25">
      <c r="B112" s="184"/>
      <c r="C112" s="185"/>
      <c r="D112" s="185"/>
      <c r="E112" s="185"/>
      <c r="F112" s="185"/>
      <c r="G112" s="185"/>
      <c r="H112" s="185"/>
      <c r="I112" s="185"/>
      <c r="J112" s="185"/>
      <c r="K112" s="185"/>
      <c r="L112" s="166"/>
    </row>
    <row r="113" spans="2:63" s="165" customFormat="1" ht="24.95" customHeight="1" x14ac:dyDescent="0.25">
      <c r="B113" s="166"/>
      <c r="C113" s="157" t="s">
        <v>203</v>
      </c>
      <c r="L113" s="166"/>
    </row>
    <row r="114" spans="2:63" s="165" customFormat="1" ht="6.95" customHeight="1" x14ac:dyDescent="0.25">
      <c r="B114" s="166"/>
      <c r="L114" s="166"/>
    </row>
    <row r="115" spans="2:63" s="165" customFormat="1" ht="12" customHeight="1" x14ac:dyDescent="0.25">
      <c r="B115" s="166"/>
      <c r="C115" s="162" t="s">
        <v>169</v>
      </c>
      <c r="L115" s="166"/>
    </row>
    <row r="116" spans="2:63" s="165" customFormat="1" ht="16.5" customHeight="1" x14ac:dyDescent="0.25">
      <c r="B116" s="166"/>
      <c r="E116" s="855" t="str">
        <f>E7</f>
        <v>Cyklotrasa - Devín_RP1</v>
      </c>
      <c r="F116" s="856"/>
      <c r="G116" s="856"/>
      <c r="H116" s="856"/>
      <c r="L116" s="166"/>
    </row>
    <row r="117" spans="2:63" s="165" customFormat="1" ht="12" customHeight="1" x14ac:dyDescent="0.25">
      <c r="B117" s="166"/>
      <c r="C117" s="162" t="s">
        <v>408</v>
      </c>
      <c r="L117" s="166"/>
    </row>
    <row r="118" spans="2:63" s="165" customFormat="1" ht="30" customHeight="1" x14ac:dyDescent="0.25">
      <c r="B118" s="166"/>
      <c r="E118" s="834" t="str">
        <f>E9</f>
        <v>100.1 - SO 101.1 Úprava komunikácie - Devínska cesta, úsek A</v>
      </c>
      <c r="F118" s="854"/>
      <c r="G118" s="854"/>
      <c r="H118" s="854"/>
      <c r="L118" s="166"/>
    </row>
    <row r="119" spans="2:63" s="165" customFormat="1" ht="6.95" customHeight="1" x14ac:dyDescent="0.25">
      <c r="B119" s="166"/>
      <c r="L119" s="166"/>
    </row>
    <row r="120" spans="2:63" s="165" customFormat="1" ht="12" customHeight="1" x14ac:dyDescent="0.25">
      <c r="B120" s="166"/>
      <c r="C120" s="162" t="s">
        <v>172</v>
      </c>
      <c r="F120" s="160" t="str">
        <f>F12</f>
        <v xml:space="preserve"> </v>
      </c>
      <c r="I120" s="162" t="s">
        <v>174</v>
      </c>
      <c r="J120" s="192">
        <f>IF(J12="","",J12)</f>
        <v>45908</v>
      </c>
      <c r="L120" s="166"/>
    </row>
    <row r="121" spans="2:63" s="165" customFormat="1" ht="6.95" customHeight="1" x14ac:dyDescent="0.25">
      <c r="B121" s="166"/>
      <c r="L121" s="166"/>
    </row>
    <row r="122" spans="2:63" s="165" customFormat="1" ht="15.2" customHeight="1" x14ac:dyDescent="0.25">
      <c r="B122" s="166"/>
      <c r="C122" s="162" t="s">
        <v>122</v>
      </c>
      <c r="F122" s="160" t="str">
        <f>E15</f>
        <v>Hlavné mesto SR Bratislava</v>
      </c>
      <c r="I122" s="162" t="s">
        <v>176</v>
      </c>
      <c r="J122" s="163" t="str">
        <f>E21</f>
        <v>PROKOS s.r.o.</v>
      </c>
      <c r="L122" s="166"/>
    </row>
    <row r="123" spans="2:63" s="165" customFormat="1" ht="15.2" customHeight="1" x14ac:dyDescent="0.25">
      <c r="B123" s="166"/>
      <c r="C123" s="162" t="s">
        <v>175</v>
      </c>
      <c r="F123" s="160" t="str">
        <f>IF(E18="","",E18)</f>
        <v>Údaj sa automaticky zobrazí aj vo Výkaze výmer</v>
      </c>
      <c r="I123" s="162" t="s">
        <v>177</v>
      </c>
      <c r="J123" s="163" t="str">
        <f>E24</f>
        <v>Ing. Ondrej Májek</v>
      </c>
      <c r="L123" s="166"/>
    </row>
    <row r="124" spans="2:63" s="165" customFormat="1" ht="10.35" customHeight="1" x14ac:dyDescent="0.25">
      <c r="B124" s="166"/>
      <c r="L124" s="166"/>
    </row>
    <row r="125" spans="2:63" s="259" customFormat="1" ht="29.25" customHeight="1" x14ac:dyDescent="0.25">
      <c r="B125" s="260"/>
      <c r="C125" s="261" t="s">
        <v>204</v>
      </c>
      <c r="D125" s="262" t="s">
        <v>205</v>
      </c>
      <c r="E125" s="262" t="s">
        <v>206</v>
      </c>
      <c r="F125" s="262" t="s">
        <v>121</v>
      </c>
      <c r="G125" s="262" t="s">
        <v>120</v>
      </c>
      <c r="H125" s="262" t="s">
        <v>207</v>
      </c>
      <c r="I125" s="262" t="s">
        <v>208</v>
      </c>
      <c r="J125" s="263" t="s">
        <v>200</v>
      </c>
      <c r="K125" s="264" t="s">
        <v>209</v>
      </c>
      <c r="L125" s="260"/>
      <c r="M125" s="199" t="s">
        <v>171</v>
      </c>
      <c r="N125" s="200" t="s">
        <v>183</v>
      </c>
      <c r="O125" s="200" t="s">
        <v>210</v>
      </c>
      <c r="P125" s="200" t="s">
        <v>211</v>
      </c>
      <c r="Q125" s="200" t="s">
        <v>212</v>
      </c>
      <c r="R125" s="200" t="s">
        <v>213</v>
      </c>
      <c r="S125" s="200" t="s">
        <v>214</v>
      </c>
      <c r="T125" s="201" t="s">
        <v>215</v>
      </c>
    </row>
    <row r="126" spans="2:63" s="165" customFormat="1" ht="22.9" customHeight="1" x14ac:dyDescent="0.25">
      <c r="B126" s="166"/>
      <c r="C126" s="205" t="s">
        <v>201</v>
      </c>
      <c r="J126" s="265">
        <f>BK126</f>
        <v>0</v>
      </c>
      <c r="L126" s="166"/>
      <c r="M126" s="202"/>
      <c r="N126" s="193"/>
      <c r="O126" s="193"/>
      <c r="P126" s="266">
        <f>P127+P224</f>
        <v>9016.9705360000007</v>
      </c>
      <c r="Q126" s="193"/>
      <c r="R126" s="266">
        <f>R127+R224</f>
        <v>6713.7123773099993</v>
      </c>
      <c r="S126" s="193"/>
      <c r="T126" s="267">
        <f>T127+T224</f>
        <v>2414.0430000000001</v>
      </c>
      <c r="AT126" s="153" t="s">
        <v>216</v>
      </c>
      <c r="AU126" s="153" t="s">
        <v>202</v>
      </c>
      <c r="BK126" s="268">
        <f>BK127+BK224</f>
        <v>0</v>
      </c>
    </row>
    <row r="127" spans="2:63" s="269" customFormat="1" ht="25.9" customHeight="1" x14ac:dyDescent="0.2">
      <c r="B127" s="270"/>
      <c r="D127" s="271" t="s">
        <v>216</v>
      </c>
      <c r="E127" s="272" t="s">
        <v>418</v>
      </c>
      <c r="F127" s="272" t="s">
        <v>419</v>
      </c>
      <c r="J127" s="273">
        <f>BK127</f>
        <v>0</v>
      </c>
      <c r="L127" s="270"/>
      <c r="M127" s="274"/>
      <c r="P127" s="275">
        <f>P128+P150+P176+P218</f>
        <v>9016.9705360000007</v>
      </c>
      <c r="R127" s="275">
        <f>R128+R150+R176+R218</f>
        <v>6713.7123773099993</v>
      </c>
      <c r="T127" s="276">
        <f>T128+T150+T176+T218</f>
        <v>2414.0430000000001</v>
      </c>
      <c r="AR127" s="271" t="s">
        <v>109</v>
      </c>
      <c r="AT127" s="277" t="s">
        <v>216</v>
      </c>
      <c r="AU127" s="277" t="s">
        <v>165</v>
      </c>
      <c r="AY127" s="271" t="s">
        <v>217</v>
      </c>
      <c r="BK127" s="278">
        <f>BK128+BK150+BK176+BK218</f>
        <v>0</v>
      </c>
    </row>
    <row r="128" spans="2:63" s="269" customFormat="1" ht="22.9" customHeight="1" x14ac:dyDescent="0.2">
      <c r="B128" s="270"/>
      <c r="D128" s="271" t="s">
        <v>216</v>
      </c>
      <c r="E128" s="279" t="s">
        <v>109</v>
      </c>
      <c r="F128" s="279" t="s">
        <v>220</v>
      </c>
      <c r="J128" s="280">
        <f>BK128</f>
        <v>0</v>
      </c>
      <c r="L128" s="270"/>
      <c r="M128" s="274"/>
      <c r="P128" s="275">
        <f>SUM(P129:P149)</f>
        <v>2446.82404</v>
      </c>
      <c r="R128" s="275">
        <f>SUM(R129:R149)</f>
        <v>196.8264374</v>
      </c>
      <c r="T128" s="276">
        <f>SUM(T129:T149)</f>
        <v>1783.7249999999999</v>
      </c>
      <c r="AR128" s="271" t="s">
        <v>109</v>
      </c>
      <c r="AT128" s="277" t="s">
        <v>216</v>
      </c>
      <c r="AU128" s="277" t="s">
        <v>109</v>
      </c>
      <c r="AY128" s="271" t="s">
        <v>217</v>
      </c>
      <c r="BK128" s="278">
        <f>SUM(BK129:BK149)</f>
        <v>0</v>
      </c>
    </row>
    <row r="129" spans="2:65" s="165" customFormat="1" ht="37.9" customHeight="1" x14ac:dyDescent="0.25">
      <c r="B129" s="166"/>
      <c r="C129" s="332" t="s">
        <v>109</v>
      </c>
      <c r="D129" s="332" t="s">
        <v>218</v>
      </c>
      <c r="E129" s="333" t="s">
        <v>420</v>
      </c>
      <c r="F129" s="334" t="s">
        <v>421</v>
      </c>
      <c r="G129" s="335" t="s">
        <v>111</v>
      </c>
      <c r="H129" s="336">
        <v>3500</v>
      </c>
      <c r="I129" s="329">
        <v>0</v>
      </c>
      <c r="J129" s="337">
        <f t="shared" ref="J129:J149" si="0">ROUND(I129*H129,2)</f>
        <v>0</v>
      </c>
      <c r="K129" s="338"/>
      <c r="L129" s="166"/>
      <c r="M129" s="281" t="s">
        <v>171</v>
      </c>
      <c r="N129" s="282" t="s">
        <v>185</v>
      </c>
      <c r="O129" s="283">
        <v>5.2500000000000003E-3</v>
      </c>
      <c r="P129" s="283">
        <f t="shared" ref="P129:P149" si="1">O129*H129</f>
        <v>18.375</v>
      </c>
      <c r="Q129" s="283">
        <v>0</v>
      </c>
      <c r="R129" s="283">
        <f t="shared" ref="R129:R149" si="2">Q129*H129</f>
        <v>0</v>
      </c>
      <c r="S129" s="283">
        <v>0</v>
      </c>
      <c r="T129" s="284">
        <f t="shared" ref="T129:T149" si="3">S129*H129</f>
        <v>0</v>
      </c>
      <c r="AR129" s="285" t="s">
        <v>110</v>
      </c>
      <c r="AT129" s="285" t="s">
        <v>218</v>
      </c>
      <c r="AU129" s="285" t="s">
        <v>108</v>
      </c>
      <c r="AY129" s="153" t="s">
        <v>217</v>
      </c>
      <c r="BE129" s="286">
        <f t="shared" ref="BE129:BE149" si="4">IF(N129="základná",J129,0)</f>
        <v>0</v>
      </c>
      <c r="BF129" s="286">
        <f t="shared" ref="BF129:BF149" si="5">IF(N129="znížená",J129,0)</f>
        <v>0</v>
      </c>
      <c r="BG129" s="286">
        <f t="shared" ref="BG129:BG149" si="6">IF(N129="zákl. prenesená",J129,0)</f>
        <v>0</v>
      </c>
      <c r="BH129" s="286">
        <f t="shared" ref="BH129:BH149" si="7">IF(N129="zníž. prenesená",J129,0)</f>
        <v>0</v>
      </c>
      <c r="BI129" s="286">
        <f t="shared" ref="BI129:BI149" si="8">IF(N129="nulová",J129,0)</f>
        <v>0</v>
      </c>
      <c r="BJ129" s="153" t="s">
        <v>108</v>
      </c>
      <c r="BK129" s="286">
        <f t="shared" ref="BK129:BK149" si="9">ROUND(I129*H129,2)</f>
        <v>0</v>
      </c>
      <c r="BL129" s="153" t="s">
        <v>110</v>
      </c>
      <c r="BM129" s="285" t="s">
        <v>684</v>
      </c>
    </row>
    <row r="130" spans="2:65" s="165" customFormat="1" ht="24.2" customHeight="1" x14ac:dyDescent="0.25">
      <c r="B130" s="166"/>
      <c r="C130" s="332" t="s">
        <v>108</v>
      </c>
      <c r="D130" s="332" t="s">
        <v>218</v>
      </c>
      <c r="E130" s="333" t="s">
        <v>423</v>
      </c>
      <c r="F130" s="334" t="s">
        <v>685</v>
      </c>
      <c r="G130" s="335" t="s">
        <v>111</v>
      </c>
      <c r="H130" s="336">
        <v>3500</v>
      </c>
      <c r="I130" s="329">
        <v>0</v>
      </c>
      <c r="J130" s="337">
        <f t="shared" si="0"/>
        <v>0</v>
      </c>
      <c r="K130" s="338"/>
      <c r="L130" s="166"/>
      <c r="M130" s="281" t="s">
        <v>171</v>
      </c>
      <c r="N130" s="282" t="s">
        <v>185</v>
      </c>
      <c r="O130" s="283">
        <v>0.16300000000000001</v>
      </c>
      <c r="P130" s="283">
        <f t="shared" si="1"/>
        <v>570.5</v>
      </c>
      <c r="Q130" s="283">
        <v>0</v>
      </c>
      <c r="R130" s="283">
        <f t="shared" si="2"/>
        <v>0</v>
      </c>
      <c r="S130" s="283">
        <v>0</v>
      </c>
      <c r="T130" s="284">
        <f t="shared" si="3"/>
        <v>0</v>
      </c>
      <c r="AR130" s="285" t="s">
        <v>110</v>
      </c>
      <c r="AT130" s="285" t="s">
        <v>218</v>
      </c>
      <c r="AU130" s="285" t="s">
        <v>108</v>
      </c>
      <c r="AY130" s="153" t="s">
        <v>217</v>
      </c>
      <c r="BE130" s="286">
        <f t="shared" si="4"/>
        <v>0</v>
      </c>
      <c r="BF130" s="286">
        <f t="shared" si="5"/>
        <v>0</v>
      </c>
      <c r="BG130" s="286">
        <f t="shared" si="6"/>
        <v>0</v>
      </c>
      <c r="BH130" s="286">
        <f t="shared" si="7"/>
        <v>0</v>
      </c>
      <c r="BI130" s="286">
        <f t="shared" si="8"/>
        <v>0</v>
      </c>
      <c r="BJ130" s="153" t="s">
        <v>108</v>
      </c>
      <c r="BK130" s="286">
        <f t="shared" si="9"/>
        <v>0</v>
      </c>
      <c r="BL130" s="153" t="s">
        <v>110</v>
      </c>
      <c r="BM130" s="285" t="s">
        <v>686</v>
      </c>
    </row>
    <row r="131" spans="2:65" s="165" customFormat="1" ht="33" customHeight="1" x14ac:dyDescent="0.25">
      <c r="B131" s="166"/>
      <c r="C131" s="332" t="s">
        <v>119</v>
      </c>
      <c r="D131" s="332" t="s">
        <v>218</v>
      </c>
      <c r="E131" s="333" t="s">
        <v>687</v>
      </c>
      <c r="F131" s="334" t="s">
        <v>688</v>
      </c>
      <c r="G131" s="335" t="s">
        <v>111</v>
      </c>
      <c r="H131" s="336">
        <v>422</v>
      </c>
      <c r="I131" s="329">
        <v>0</v>
      </c>
      <c r="J131" s="337">
        <f t="shared" si="0"/>
        <v>0</v>
      </c>
      <c r="K131" s="338"/>
      <c r="L131" s="166"/>
      <c r="M131" s="281" t="s">
        <v>171</v>
      </c>
      <c r="N131" s="282" t="s">
        <v>185</v>
      </c>
      <c r="O131" s="283">
        <v>6.9370000000000001E-2</v>
      </c>
      <c r="P131" s="283">
        <f t="shared" si="1"/>
        <v>29.274139999999999</v>
      </c>
      <c r="Q131" s="283">
        <v>3.6611E-4</v>
      </c>
      <c r="R131" s="283">
        <f t="shared" si="2"/>
        <v>0.15449842</v>
      </c>
      <c r="S131" s="283">
        <v>0.5</v>
      </c>
      <c r="T131" s="284">
        <f t="shared" si="3"/>
        <v>211</v>
      </c>
      <c r="AR131" s="285" t="s">
        <v>110</v>
      </c>
      <c r="AT131" s="285" t="s">
        <v>218</v>
      </c>
      <c r="AU131" s="285" t="s">
        <v>108</v>
      </c>
      <c r="AY131" s="153" t="s">
        <v>217</v>
      </c>
      <c r="BE131" s="286">
        <f t="shared" si="4"/>
        <v>0</v>
      </c>
      <c r="BF131" s="286">
        <f t="shared" si="5"/>
        <v>0</v>
      </c>
      <c r="BG131" s="286">
        <f t="shared" si="6"/>
        <v>0</v>
      </c>
      <c r="BH131" s="286">
        <f t="shared" si="7"/>
        <v>0</v>
      </c>
      <c r="BI131" s="286">
        <f t="shared" si="8"/>
        <v>0</v>
      </c>
      <c r="BJ131" s="153" t="s">
        <v>108</v>
      </c>
      <c r="BK131" s="286">
        <f t="shared" si="9"/>
        <v>0</v>
      </c>
      <c r="BL131" s="153" t="s">
        <v>110</v>
      </c>
      <c r="BM131" s="285" t="s">
        <v>689</v>
      </c>
    </row>
    <row r="132" spans="2:65" s="165" customFormat="1" ht="37.9" customHeight="1" x14ac:dyDescent="0.25">
      <c r="B132" s="166"/>
      <c r="C132" s="332" t="s">
        <v>110</v>
      </c>
      <c r="D132" s="332" t="s">
        <v>218</v>
      </c>
      <c r="E132" s="333" t="s">
        <v>690</v>
      </c>
      <c r="F132" s="334" t="s">
        <v>691</v>
      </c>
      <c r="G132" s="335" t="s">
        <v>111</v>
      </c>
      <c r="H132" s="336">
        <v>3574</v>
      </c>
      <c r="I132" s="329">
        <v>0</v>
      </c>
      <c r="J132" s="337">
        <f t="shared" si="0"/>
        <v>0</v>
      </c>
      <c r="K132" s="338"/>
      <c r="L132" s="166"/>
      <c r="M132" s="281" t="s">
        <v>171</v>
      </c>
      <c r="N132" s="282" t="s">
        <v>185</v>
      </c>
      <c r="O132" s="283">
        <v>2.7099999999999999E-2</v>
      </c>
      <c r="P132" s="283">
        <f t="shared" si="1"/>
        <v>96.855400000000003</v>
      </c>
      <c r="Q132" s="283">
        <v>1.0127E-4</v>
      </c>
      <c r="R132" s="283">
        <f t="shared" si="2"/>
        <v>0.36193897999999997</v>
      </c>
      <c r="S132" s="283">
        <v>0.125</v>
      </c>
      <c r="T132" s="284">
        <f t="shared" si="3"/>
        <v>446.75</v>
      </c>
      <c r="AR132" s="285" t="s">
        <v>110</v>
      </c>
      <c r="AT132" s="285" t="s">
        <v>218</v>
      </c>
      <c r="AU132" s="285" t="s">
        <v>108</v>
      </c>
      <c r="AY132" s="153" t="s">
        <v>217</v>
      </c>
      <c r="BE132" s="286">
        <f t="shared" si="4"/>
        <v>0</v>
      </c>
      <c r="BF132" s="286">
        <f t="shared" si="5"/>
        <v>0</v>
      </c>
      <c r="BG132" s="286">
        <f t="shared" si="6"/>
        <v>0</v>
      </c>
      <c r="BH132" s="286">
        <f t="shared" si="7"/>
        <v>0</v>
      </c>
      <c r="BI132" s="286">
        <f t="shared" si="8"/>
        <v>0</v>
      </c>
      <c r="BJ132" s="153" t="s">
        <v>108</v>
      </c>
      <c r="BK132" s="286">
        <f t="shared" si="9"/>
        <v>0</v>
      </c>
      <c r="BL132" s="153" t="s">
        <v>110</v>
      </c>
      <c r="BM132" s="285" t="s">
        <v>692</v>
      </c>
    </row>
    <row r="133" spans="2:65" s="165" customFormat="1" ht="24.2" customHeight="1" x14ac:dyDescent="0.25">
      <c r="B133" s="166"/>
      <c r="C133" s="332" t="s">
        <v>118</v>
      </c>
      <c r="D133" s="332" t="s">
        <v>218</v>
      </c>
      <c r="E133" s="333" t="s">
        <v>693</v>
      </c>
      <c r="F133" s="334" t="s">
        <v>694</v>
      </c>
      <c r="G133" s="335" t="s">
        <v>111</v>
      </c>
      <c r="H133" s="336">
        <v>211</v>
      </c>
      <c r="I133" s="329">
        <v>0</v>
      </c>
      <c r="J133" s="337">
        <f t="shared" si="0"/>
        <v>0</v>
      </c>
      <c r="K133" s="338"/>
      <c r="L133" s="166"/>
      <c r="M133" s="281" t="s">
        <v>171</v>
      </c>
      <c r="N133" s="282" t="s">
        <v>185</v>
      </c>
      <c r="O133" s="283">
        <v>1.3</v>
      </c>
      <c r="P133" s="283">
        <f t="shared" si="1"/>
        <v>274.3</v>
      </c>
      <c r="Q133" s="283">
        <v>0</v>
      </c>
      <c r="R133" s="283">
        <f t="shared" si="2"/>
        <v>0</v>
      </c>
      <c r="S133" s="283">
        <v>0.75</v>
      </c>
      <c r="T133" s="284">
        <f t="shared" si="3"/>
        <v>158.25</v>
      </c>
      <c r="AR133" s="285" t="s">
        <v>110</v>
      </c>
      <c r="AT133" s="285" t="s">
        <v>218</v>
      </c>
      <c r="AU133" s="285" t="s">
        <v>108</v>
      </c>
      <c r="AY133" s="153" t="s">
        <v>217</v>
      </c>
      <c r="BE133" s="286">
        <f t="shared" si="4"/>
        <v>0</v>
      </c>
      <c r="BF133" s="286">
        <f t="shared" si="5"/>
        <v>0</v>
      </c>
      <c r="BG133" s="286">
        <f t="shared" si="6"/>
        <v>0</v>
      </c>
      <c r="BH133" s="286">
        <f t="shared" si="7"/>
        <v>0</v>
      </c>
      <c r="BI133" s="286">
        <f t="shared" si="8"/>
        <v>0</v>
      </c>
      <c r="BJ133" s="153" t="s">
        <v>108</v>
      </c>
      <c r="BK133" s="286">
        <f t="shared" si="9"/>
        <v>0</v>
      </c>
      <c r="BL133" s="153" t="s">
        <v>110</v>
      </c>
      <c r="BM133" s="285" t="s">
        <v>695</v>
      </c>
    </row>
    <row r="134" spans="2:65" s="165" customFormat="1" ht="37.9" customHeight="1" x14ac:dyDescent="0.25">
      <c r="B134" s="166"/>
      <c r="C134" s="332" t="s">
        <v>117</v>
      </c>
      <c r="D134" s="332" t="s">
        <v>218</v>
      </c>
      <c r="E134" s="333" t="s">
        <v>696</v>
      </c>
      <c r="F134" s="334" t="s">
        <v>697</v>
      </c>
      <c r="G134" s="335" t="s">
        <v>111</v>
      </c>
      <c r="H134" s="336">
        <v>759</v>
      </c>
      <c r="I134" s="329">
        <v>0</v>
      </c>
      <c r="J134" s="337">
        <f t="shared" si="0"/>
        <v>0</v>
      </c>
      <c r="K134" s="338"/>
      <c r="L134" s="166"/>
      <c r="M134" s="281" t="s">
        <v>171</v>
      </c>
      <c r="N134" s="282" t="s">
        <v>185</v>
      </c>
      <c r="O134" s="283">
        <v>0.113</v>
      </c>
      <c r="P134" s="283">
        <f t="shared" si="1"/>
        <v>85.766999999999996</v>
      </c>
      <c r="Q134" s="283">
        <v>0</v>
      </c>
      <c r="R134" s="283">
        <f t="shared" si="2"/>
        <v>0</v>
      </c>
      <c r="S134" s="283">
        <v>0.4</v>
      </c>
      <c r="T134" s="284">
        <f t="shared" si="3"/>
        <v>303.60000000000002</v>
      </c>
      <c r="AR134" s="285" t="s">
        <v>110</v>
      </c>
      <c r="AT134" s="285" t="s">
        <v>218</v>
      </c>
      <c r="AU134" s="285" t="s">
        <v>108</v>
      </c>
      <c r="AY134" s="153" t="s">
        <v>217</v>
      </c>
      <c r="BE134" s="286">
        <f t="shared" si="4"/>
        <v>0</v>
      </c>
      <c r="BF134" s="286">
        <f t="shared" si="5"/>
        <v>0</v>
      </c>
      <c r="BG134" s="286">
        <f t="shared" si="6"/>
        <v>0</v>
      </c>
      <c r="BH134" s="286">
        <f t="shared" si="7"/>
        <v>0</v>
      </c>
      <c r="BI134" s="286">
        <f t="shared" si="8"/>
        <v>0</v>
      </c>
      <c r="BJ134" s="153" t="s">
        <v>108</v>
      </c>
      <c r="BK134" s="286">
        <f t="shared" si="9"/>
        <v>0</v>
      </c>
      <c r="BL134" s="153" t="s">
        <v>110</v>
      </c>
      <c r="BM134" s="285" t="s">
        <v>698</v>
      </c>
    </row>
    <row r="135" spans="2:65" s="165" customFormat="1" ht="33" customHeight="1" x14ac:dyDescent="0.25">
      <c r="B135" s="166"/>
      <c r="C135" s="332" t="s">
        <v>116</v>
      </c>
      <c r="D135" s="332" t="s">
        <v>218</v>
      </c>
      <c r="E135" s="333" t="s">
        <v>699</v>
      </c>
      <c r="F135" s="334" t="s">
        <v>700</v>
      </c>
      <c r="G135" s="335" t="s">
        <v>111</v>
      </c>
      <c r="H135" s="336">
        <v>759</v>
      </c>
      <c r="I135" s="329">
        <v>0</v>
      </c>
      <c r="J135" s="337">
        <f t="shared" si="0"/>
        <v>0</v>
      </c>
      <c r="K135" s="338"/>
      <c r="L135" s="166"/>
      <c r="M135" s="281" t="s">
        <v>171</v>
      </c>
      <c r="N135" s="282" t="s">
        <v>185</v>
      </c>
      <c r="O135" s="283">
        <v>0.1867</v>
      </c>
      <c r="P135" s="283">
        <f t="shared" si="1"/>
        <v>141.70529999999999</v>
      </c>
      <c r="Q135" s="283">
        <v>0</v>
      </c>
      <c r="R135" s="283">
        <f t="shared" si="2"/>
        <v>0</v>
      </c>
      <c r="S135" s="283">
        <v>0.5</v>
      </c>
      <c r="T135" s="284">
        <f t="shared" si="3"/>
        <v>379.5</v>
      </c>
      <c r="AR135" s="285" t="s">
        <v>110</v>
      </c>
      <c r="AT135" s="285" t="s">
        <v>218</v>
      </c>
      <c r="AU135" s="285" t="s">
        <v>108</v>
      </c>
      <c r="AY135" s="153" t="s">
        <v>217</v>
      </c>
      <c r="BE135" s="286">
        <f t="shared" si="4"/>
        <v>0</v>
      </c>
      <c r="BF135" s="286">
        <f t="shared" si="5"/>
        <v>0</v>
      </c>
      <c r="BG135" s="286">
        <f t="shared" si="6"/>
        <v>0</v>
      </c>
      <c r="BH135" s="286">
        <f t="shared" si="7"/>
        <v>0</v>
      </c>
      <c r="BI135" s="286">
        <f t="shared" si="8"/>
        <v>0</v>
      </c>
      <c r="BJ135" s="153" t="s">
        <v>108</v>
      </c>
      <c r="BK135" s="286">
        <f t="shared" si="9"/>
        <v>0</v>
      </c>
      <c r="BL135" s="153" t="s">
        <v>110</v>
      </c>
      <c r="BM135" s="285" t="s">
        <v>701</v>
      </c>
    </row>
    <row r="136" spans="2:65" s="165" customFormat="1" ht="24.2" customHeight="1" x14ac:dyDescent="0.25">
      <c r="B136" s="166"/>
      <c r="C136" s="332" t="s">
        <v>115</v>
      </c>
      <c r="D136" s="332" t="s">
        <v>218</v>
      </c>
      <c r="E136" s="333" t="s">
        <v>702</v>
      </c>
      <c r="F136" s="334" t="s">
        <v>703</v>
      </c>
      <c r="G136" s="335" t="s">
        <v>111</v>
      </c>
      <c r="H136" s="336">
        <v>759</v>
      </c>
      <c r="I136" s="329">
        <v>0</v>
      </c>
      <c r="J136" s="337">
        <f t="shared" si="0"/>
        <v>0</v>
      </c>
      <c r="K136" s="338"/>
      <c r="L136" s="166"/>
      <c r="M136" s="281" t="s">
        <v>171</v>
      </c>
      <c r="N136" s="282" t="s">
        <v>185</v>
      </c>
      <c r="O136" s="283">
        <v>0.125</v>
      </c>
      <c r="P136" s="283">
        <f t="shared" si="1"/>
        <v>94.875</v>
      </c>
      <c r="Q136" s="283">
        <v>0</v>
      </c>
      <c r="R136" s="283">
        <f t="shared" si="2"/>
        <v>0</v>
      </c>
      <c r="S136" s="283">
        <v>0.375</v>
      </c>
      <c r="T136" s="284">
        <f t="shared" si="3"/>
        <v>284.625</v>
      </c>
      <c r="AR136" s="285" t="s">
        <v>110</v>
      </c>
      <c r="AT136" s="285" t="s">
        <v>218</v>
      </c>
      <c r="AU136" s="285" t="s">
        <v>108</v>
      </c>
      <c r="AY136" s="153" t="s">
        <v>217</v>
      </c>
      <c r="BE136" s="286">
        <f t="shared" si="4"/>
        <v>0</v>
      </c>
      <c r="BF136" s="286">
        <f t="shared" si="5"/>
        <v>0</v>
      </c>
      <c r="BG136" s="286">
        <f t="shared" si="6"/>
        <v>0</v>
      </c>
      <c r="BH136" s="286">
        <f t="shared" si="7"/>
        <v>0</v>
      </c>
      <c r="BI136" s="286">
        <f t="shared" si="8"/>
        <v>0</v>
      </c>
      <c r="BJ136" s="153" t="s">
        <v>108</v>
      </c>
      <c r="BK136" s="286">
        <f t="shared" si="9"/>
        <v>0</v>
      </c>
      <c r="BL136" s="153" t="s">
        <v>110</v>
      </c>
      <c r="BM136" s="285" t="s">
        <v>704</v>
      </c>
    </row>
    <row r="137" spans="2:65" s="165" customFormat="1" ht="24.2" customHeight="1" x14ac:dyDescent="0.25">
      <c r="B137" s="166"/>
      <c r="C137" s="332" t="s">
        <v>162</v>
      </c>
      <c r="D137" s="332" t="s">
        <v>218</v>
      </c>
      <c r="E137" s="333" t="s">
        <v>705</v>
      </c>
      <c r="F137" s="334" t="s">
        <v>706</v>
      </c>
      <c r="G137" s="335" t="s">
        <v>114</v>
      </c>
      <c r="H137" s="336">
        <v>344</v>
      </c>
      <c r="I137" s="329">
        <v>0</v>
      </c>
      <c r="J137" s="337">
        <f t="shared" si="0"/>
        <v>0</v>
      </c>
      <c r="K137" s="338"/>
      <c r="L137" s="166"/>
      <c r="M137" s="281" t="s">
        <v>171</v>
      </c>
      <c r="N137" s="282" t="s">
        <v>185</v>
      </c>
      <c r="O137" s="283">
        <v>1.8420000000000001</v>
      </c>
      <c r="P137" s="283">
        <f t="shared" si="1"/>
        <v>633.64800000000002</v>
      </c>
      <c r="Q137" s="283">
        <v>0</v>
      </c>
      <c r="R137" s="283">
        <f t="shared" si="2"/>
        <v>0</v>
      </c>
      <c r="S137" s="283">
        <v>0</v>
      </c>
      <c r="T137" s="284">
        <f t="shared" si="3"/>
        <v>0</v>
      </c>
      <c r="AR137" s="285" t="s">
        <v>110</v>
      </c>
      <c r="AT137" s="285" t="s">
        <v>218</v>
      </c>
      <c r="AU137" s="285" t="s">
        <v>108</v>
      </c>
      <c r="AY137" s="153" t="s">
        <v>217</v>
      </c>
      <c r="BE137" s="286">
        <f t="shared" si="4"/>
        <v>0</v>
      </c>
      <c r="BF137" s="286">
        <f t="shared" si="5"/>
        <v>0</v>
      </c>
      <c r="BG137" s="286">
        <f t="shared" si="6"/>
        <v>0</v>
      </c>
      <c r="BH137" s="286">
        <f t="shared" si="7"/>
        <v>0</v>
      </c>
      <c r="BI137" s="286">
        <f t="shared" si="8"/>
        <v>0</v>
      </c>
      <c r="BJ137" s="153" t="s">
        <v>108</v>
      </c>
      <c r="BK137" s="286">
        <f t="shared" si="9"/>
        <v>0</v>
      </c>
      <c r="BL137" s="153" t="s">
        <v>110</v>
      </c>
      <c r="BM137" s="285" t="s">
        <v>707</v>
      </c>
    </row>
    <row r="138" spans="2:65" s="165" customFormat="1" ht="24.2" customHeight="1" x14ac:dyDescent="0.25">
      <c r="B138" s="166"/>
      <c r="C138" s="332" t="s">
        <v>221</v>
      </c>
      <c r="D138" s="332" t="s">
        <v>218</v>
      </c>
      <c r="E138" s="333" t="s">
        <v>426</v>
      </c>
      <c r="F138" s="346" t="s">
        <v>427</v>
      </c>
      <c r="G138" s="347" t="s">
        <v>111</v>
      </c>
      <c r="H138" s="348">
        <v>3500</v>
      </c>
      <c r="I138" s="329">
        <v>0</v>
      </c>
      <c r="J138" s="337">
        <f t="shared" si="0"/>
        <v>0</v>
      </c>
      <c r="K138" s="338"/>
      <c r="L138" s="166"/>
      <c r="M138" s="281" t="s">
        <v>171</v>
      </c>
      <c r="N138" s="282" t="s">
        <v>185</v>
      </c>
      <c r="O138" s="283">
        <v>6.6000000000000003E-2</v>
      </c>
      <c r="P138" s="283">
        <f t="shared" si="1"/>
        <v>231</v>
      </c>
      <c r="Q138" s="283">
        <v>0</v>
      </c>
      <c r="R138" s="283">
        <f t="shared" si="2"/>
        <v>0</v>
      </c>
      <c r="S138" s="283">
        <v>0</v>
      </c>
      <c r="T138" s="284">
        <f t="shared" si="3"/>
        <v>0</v>
      </c>
      <c r="AR138" s="285" t="s">
        <v>110</v>
      </c>
      <c r="AT138" s="285" t="s">
        <v>218</v>
      </c>
      <c r="AU138" s="285" t="s">
        <v>108</v>
      </c>
      <c r="AY138" s="153" t="s">
        <v>217</v>
      </c>
      <c r="BE138" s="286">
        <f t="shared" si="4"/>
        <v>0</v>
      </c>
      <c r="BF138" s="286">
        <f t="shared" si="5"/>
        <v>0</v>
      </c>
      <c r="BG138" s="286">
        <f t="shared" si="6"/>
        <v>0</v>
      </c>
      <c r="BH138" s="286">
        <f t="shared" si="7"/>
        <v>0</v>
      </c>
      <c r="BI138" s="286">
        <f t="shared" si="8"/>
        <v>0</v>
      </c>
      <c r="BJ138" s="153" t="s">
        <v>108</v>
      </c>
      <c r="BK138" s="286">
        <f t="shared" si="9"/>
        <v>0</v>
      </c>
      <c r="BL138" s="153" t="s">
        <v>110</v>
      </c>
      <c r="BM138" s="285" t="s">
        <v>708</v>
      </c>
    </row>
    <row r="139" spans="2:65" s="165" customFormat="1" ht="24.2" customHeight="1" x14ac:dyDescent="0.25">
      <c r="B139" s="166"/>
      <c r="C139" s="332" t="s">
        <v>222</v>
      </c>
      <c r="D139" s="332" t="s">
        <v>218</v>
      </c>
      <c r="E139" s="333" t="s">
        <v>709</v>
      </c>
      <c r="F139" s="346" t="s">
        <v>710</v>
      </c>
      <c r="G139" s="347" t="s">
        <v>114</v>
      </c>
      <c r="H139" s="348">
        <v>108</v>
      </c>
      <c r="I139" s="329">
        <v>0</v>
      </c>
      <c r="J139" s="337">
        <f>ROUND(I139*H139,2)</f>
        <v>0</v>
      </c>
      <c r="K139" s="338"/>
      <c r="L139" s="166"/>
      <c r="M139" s="281" t="s">
        <v>171</v>
      </c>
      <c r="N139" s="282" t="s">
        <v>185</v>
      </c>
      <c r="O139" s="283">
        <v>3.1E-2</v>
      </c>
      <c r="P139" s="283">
        <f t="shared" si="1"/>
        <v>3.3479999999999999</v>
      </c>
      <c r="Q139" s="283">
        <v>0</v>
      </c>
      <c r="R139" s="283">
        <f t="shared" si="2"/>
        <v>0</v>
      </c>
      <c r="S139" s="283">
        <v>0</v>
      </c>
      <c r="T139" s="284">
        <f t="shared" si="3"/>
        <v>0</v>
      </c>
      <c r="AR139" s="285" t="s">
        <v>110</v>
      </c>
      <c r="AT139" s="285" t="s">
        <v>218</v>
      </c>
      <c r="AU139" s="285" t="s">
        <v>108</v>
      </c>
      <c r="AY139" s="153" t="s">
        <v>217</v>
      </c>
      <c r="BE139" s="286">
        <f t="shared" si="4"/>
        <v>0</v>
      </c>
      <c r="BF139" s="286">
        <f t="shared" si="5"/>
        <v>0</v>
      </c>
      <c r="BG139" s="286">
        <f t="shared" si="6"/>
        <v>0</v>
      </c>
      <c r="BH139" s="286">
        <f t="shared" si="7"/>
        <v>0</v>
      </c>
      <c r="BI139" s="286">
        <f t="shared" si="8"/>
        <v>0</v>
      </c>
      <c r="BJ139" s="153" t="s">
        <v>108</v>
      </c>
      <c r="BK139" s="286">
        <f t="shared" si="9"/>
        <v>0</v>
      </c>
      <c r="BL139" s="153" t="s">
        <v>110</v>
      </c>
      <c r="BM139" s="285" t="s">
        <v>711</v>
      </c>
    </row>
    <row r="140" spans="2:65" s="165" customFormat="1" ht="44.25" customHeight="1" x14ac:dyDescent="0.25">
      <c r="B140" s="166"/>
      <c r="C140" s="332" t="s">
        <v>223</v>
      </c>
      <c r="D140" s="332" t="s">
        <v>218</v>
      </c>
      <c r="E140" s="333" t="s">
        <v>712</v>
      </c>
      <c r="F140" s="346" t="s">
        <v>3185</v>
      </c>
      <c r="G140" s="347" t="s">
        <v>114</v>
      </c>
      <c r="H140" s="348">
        <f>((H144+H137)*0.3)+H139</f>
        <v>366</v>
      </c>
      <c r="I140" s="329">
        <v>0</v>
      </c>
      <c r="J140" s="337">
        <f t="shared" si="0"/>
        <v>0</v>
      </c>
      <c r="K140" s="338"/>
      <c r="L140" s="166"/>
      <c r="M140" s="281" t="s">
        <v>171</v>
      </c>
      <c r="N140" s="282" t="s">
        <v>185</v>
      </c>
      <c r="O140" s="283">
        <v>4.8899999999999999E-2</v>
      </c>
      <c r="P140" s="283">
        <f t="shared" si="1"/>
        <v>17.897400000000001</v>
      </c>
      <c r="Q140" s="283">
        <v>0</v>
      </c>
      <c r="R140" s="283">
        <f t="shared" si="2"/>
        <v>0</v>
      </c>
      <c r="S140" s="283">
        <v>0</v>
      </c>
      <c r="T140" s="284">
        <f t="shared" si="3"/>
        <v>0</v>
      </c>
      <c r="AR140" s="285" t="s">
        <v>110</v>
      </c>
      <c r="AT140" s="285" t="s">
        <v>218</v>
      </c>
      <c r="AU140" s="285" t="s">
        <v>108</v>
      </c>
      <c r="AY140" s="153" t="s">
        <v>217</v>
      </c>
      <c r="BE140" s="286">
        <f t="shared" si="4"/>
        <v>0</v>
      </c>
      <c r="BF140" s="286">
        <f t="shared" si="5"/>
        <v>0</v>
      </c>
      <c r="BG140" s="286">
        <f t="shared" si="6"/>
        <v>0</v>
      </c>
      <c r="BH140" s="286">
        <f t="shared" si="7"/>
        <v>0</v>
      </c>
      <c r="BI140" s="286">
        <f t="shared" si="8"/>
        <v>0</v>
      </c>
      <c r="BJ140" s="153" t="s">
        <v>108</v>
      </c>
      <c r="BK140" s="286">
        <f t="shared" si="9"/>
        <v>0</v>
      </c>
      <c r="BL140" s="153" t="s">
        <v>110</v>
      </c>
      <c r="BM140" s="285" t="s">
        <v>713</v>
      </c>
    </row>
    <row r="141" spans="2:65" s="165" customFormat="1" ht="44.25" customHeight="1" x14ac:dyDescent="0.25">
      <c r="B141" s="166"/>
      <c r="C141" s="332" t="s">
        <v>225</v>
      </c>
      <c r="D141" s="332" t="s">
        <v>218</v>
      </c>
      <c r="E141" s="333" t="s">
        <v>714</v>
      </c>
      <c r="F141" s="346" t="s">
        <v>715</v>
      </c>
      <c r="G141" s="347" t="s">
        <v>114</v>
      </c>
      <c r="H141" s="348">
        <f>H140*20</f>
        <v>7320</v>
      </c>
      <c r="I141" s="329">
        <v>0</v>
      </c>
      <c r="J141" s="337">
        <f t="shared" si="0"/>
        <v>0</v>
      </c>
      <c r="K141" s="338"/>
      <c r="L141" s="166"/>
      <c r="M141" s="281" t="s">
        <v>171</v>
      </c>
      <c r="N141" s="282" t="s">
        <v>185</v>
      </c>
      <c r="O141" s="283">
        <v>5.3899999999999998E-3</v>
      </c>
      <c r="P141" s="283">
        <f t="shared" si="1"/>
        <v>39.454799999999999</v>
      </c>
      <c r="Q141" s="283">
        <v>0</v>
      </c>
      <c r="R141" s="283">
        <f t="shared" si="2"/>
        <v>0</v>
      </c>
      <c r="S141" s="283">
        <v>0</v>
      </c>
      <c r="T141" s="284">
        <f t="shared" si="3"/>
        <v>0</v>
      </c>
      <c r="AR141" s="285" t="s">
        <v>110</v>
      </c>
      <c r="AT141" s="285" t="s">
        <v>218</v>
      </c>
      <c r="AU141" s="285" t="s">
        <v>108</v>
      </c>
      <c r="AY141" s="153" t="s">
        <v>217</v>
      </c>
      <c r="BE141" s="286">
        <f t="shared" si="4"/>
        <v>0</v>
      </c>
      <c r="BF141" s="286">
        <f t="shared" si="5"/>
        <v>0</v>
      </c>
      <c r="BG141" s="286">
        <f t="shared" si="6"/>
        <v>0</v>
      </c>
      <c r="BH141" s="286">
        <f t="shared" si="7"/>
        <v>0</v>
      </c>
      <c r="BI141" s="286">
        <f t="shared" si="8"/>
        <v>0</v>
      </c>
      <c r="BJ141" s="153" t="s">
        <v>108</v>
      </c>
      <c r="BK141" s="286">
        <f t="shared" si="9"/>
        <v>0</v>
      </c>
      <c r="BL141" s="153" t="s">
        <v>110</v>
      </c>
      <c r="BM141" s="285" t="s">
        <v>716</v>
      </c>
    </row>
    <row r="142" spans="2:65" s="165" customFormat="1" ht="21.75" customHeight="1" x14ac:dyDescent="0.25">
      <c r="B142" s="166"/>
      <c r="C142" s="332" t="s">
        <v>226</v>
      </c>
      <c r="D142" s="332" t="s">
        <v>218</v>
      </c>
      <c r="E142" s="333" t="s">
        <v>717</v>
      </c>
      <c r="F142" s="346" t="s">
        <v>224</v>
      </c>
      <c r="G142" s="347" t="s">
        <v>114</v>
      </c>
      <c r="H142" s="348">
        <f>H140-H139</f>
        <v>258</v>
      </c>
      <c r="I142" s="329">
        <v>0</v>
      </c>
      <c r="J142" s="337">
        <f t="shared" si="0"/>
        <v>0</v>
      </c>
      <c r="K142" s="338"/>
      <c r="L142" s="166"/>
      <c r="M142" s="281" t="s">
        <v>171</v>
      </c>
      <c r="N142" s="282" t="s">
        <v>185</v>
      </c>
      <c r="O142" s="283">
        <v>8.0000000000000002E-3</v>
      </c>
      <c r="P142" s="283">
        <f t="shared" si="1"/>
        <v>2.0640000000000001</v>
      </c>
      <c r="Q142" s="283">
        <v>0</v>
      </c>
      <c r="R142" s="283">
        <f t="shared" si="2"/>
        <v>0</v>
      </c>
      <c r="S142" s="283">
        <v>0</v>
      </c>
      <c r="T142" s="284">
        <f t="shared" si="3"/>
        <v>0</v>
      </c>
      <c r="AR142" s="285" t="s">
        <v>110</v>
      </c>
      <c r="AT142" s="285" t="s">
        <v>218</v>
      </c>
      <c r="AU142" s="285" t="s">
        <v>108</v>
      </c>
      <c r="AY142" s="153" t="s">
        <v>217</v>
      </c>
      <c r="BE142" s="286">
        <f t="shared" si="4"/>
        <v>0</v>
      </c>
      <c r="BF142" s="286">
        <f t="shared" si="5"/>
        <v>0</v>
      </c>
      <c r="BG142" s="286">
        <f t="shared" si="6"/>
        <v>0</v>
      </c>
      <c r="BH142" s="286">
        <f t="shared" si="7"/>
        <v>0</v>
      </c>
      <c r="BI142" s="286">
        <f t="shared" si="8"/>
        <v>0</v>
      </c>
      <c r="BJ142" s="153" t="s">
        <v>108</v>
      </c>
      <c r="BK142" s="286">
        <f t="shared" si="9"/>
        <v>0</v>
      </c>
      <c r="BL142" s="153" t="s">
        <v>110</v>
      </c>
      <c r="BM142" s="285" t="s">
        <v>718</v>
      </c>
    </row>
    <row r="143" spans="2:65" s="165" customFormat="1" ht="24.2" customHeight="1" x14ac:dyDescent="0.25">
      <c r="B143" s="166"/>
      <c r="C143" s="332" t="s">
        <v>227</v>
      </c>
      <c r="D143" s="332" t="s">
        <v>218</v>
      </c>
      <c r="E143" s="333" t="s">
        <v>444</v>
      </c>
      <c r="F143" s="346" t="s">
        <v>719</v>
      </c>
      <c r="G143" s="347" t="s">
        <v>112</v>
      </c>
      <c r="H143" s="348">
        <f>Ponuka!S115+Ponuka!Q115</f>
        <v>568.38000000000022</v>
      </c>
      <c r="I143" s="329">
        <v>0</v>
      </c>
      <c r="J143" s="337">
        <f t="shared" si="0"/>
        <v>0</v>
      </c>
      <c r="K143" s="338"/>
      <c r="L143" s="166"/>
      <c r="M143" s="281" t="s">
        <v>171</v>
      </c>
      <c r="N143" s="282" t="s">
        <v>185</v>
      </c>
      <c r="O143" s="283">
        <v>0</v>
      </c>
      <c r="P143" s="283">
        <f t="shared" si="1"/>
        <v>0</v>
      </c>
      <c r="Q143" s="283">
        <v>0</v>
      </c>
      <c r="R143" s="283">
        <f t="shared" si="2"/>
        <v>0</v>
      </c>
      <c r="S143" s="283">
        <v>0</v>
      </c>
      <c r="T143" s="284">
        <f t="shared" si="3"/>
        <v>0</v>
      </c>
      <c r="AR143" s="285" t="s">
        <v>110</v>
      </c>
      <c r="AT143" s="285" t="s">
        <v>218</v>
      </c>
      <c r="AU143" s="285" t="s">
        <v>108</v>
      </c>
      <c r="AY143" s="153" t="s">
        <v>217</v>
      </c>
      <c r="BE143" s="286">
        <f t="shared" si="4"/>
        <v>0</v>
      </c>
      <c r="BF143" s="286">
        <f t="shared" si="5"/>
        <v>0</v>
      </c>
      <c r="BG143" s="286">
        <f t="shared" si="6"/>
        <v>0</v>
      </c>
      <c r="BH143" s="286">
        <f t="shared" si="7"/>
        <v>0</v>
      </c>
      <c r="BI143" s="286">
        <f t="shared" si="8"/>
        <v>0</v>
      </c>
      <c r="BJ143" s="153" t="s">
        <v>108</v>
      </c>
      <c r="BK143" s="286">
        <f t="shared" si="9"/>
        <v>0</v>
      </c>
      <c r="BL143" s="153" t="s">
        <v>110</v>
      </c>
      <c r="BM143" s="285" t="s">
        <v>720</v>
      </c>
    </row>
    <row r="144" spans="2:65" s="165" customFormat="1" ht="24.2" customHeight="1" x14ac:dyDescent="0.25">
      <c r="B144" s="166"/>
      <c r="C144" s="332" t="s">
        <v>228</v>
      </c>
      <c r="D144" s="332" t="s">
        <v>218</v>
      </c>
      <c r="E144" s="333" t="s">
        <v>721</v>
      </c>
      <c r="F144" s="334" t="s">
        <v>722</v>
      </c>
      <c r="G144" s="335" t="s">
        <v>114</v>
      </c>
      <c r="H144" s="336">
        <v>516</v>
      </c>
      <c r="I144" s="329">
        <v>0</v>
      </c>
      <c r="J144" s="337">
        <f t="shared" si="0"/>
        <v>0</v>
      </c>
      <c r="K144" s="338"/>
      <c r="L144" s="166"/>
      <c r="M144" s="281" t="s">
        <v>171</v>
      </c>
      <c r="N144" s="282" t="s">
        <v>185</v>
      </c>
      <c r="O144" s="283">
        <v>0.28299999999999997</v>
      </c>
      <c r="P144" s="283">
        <f t="shared" si="1"/>
        <v>146.02799999999999</v>
      </c>
      <c r="Q144" s="283">
        <v>0</v>
      </c>
      <c r="R144" s="283">
        <f t="shared" si="2"/>
        <v>0</v>
      </c>
      <c r="S144" s="283">
        <v>0</v>
      </c>
      <c r="T144" s="284">
        <f t="shared" si="3"/>
        <v>0</v>
      </c>
      <c r="AR144" s="285" t="s">
        <v>110</v>
      </c>
      <c r="AT144" s="285" t="s">
        <v>218</v>
      </c>
      <c r="AU144" s="285" t="s">
        <v>108</v>
      </c>
      <c r="AY144" s="153" t="s">
        <v>217</v>
      </c>
      <c r="BE144" s="286">
        <f t="shared" si="4"/>
        <v>0</v>
      </c>
      <c r="BF144" s="286">
        <f t="shared" si="5"/>
        <v>0</v>
      </c>
      <c r="BG144" s="286">
        <f t="shared" si="6"/>
        <v>0</v>
      </c>
      <c r="BH144" s="286">
        <f t="shared" si="7"/>
        <v>0</v>
      </c>
      <c r="BI144" s="286">
        <f t="shared" si="8"/>
        <v>0</v>
      </c>
      <c r="BJ144" s="153" t="s">
        <v>108</v>
      </c>
      <c r="BK144" s="286">
        <f t="shared" si="9"/>
        <v>0</v>
      </c>
      <c r="BL144" s="153" t="s">
        <v>110</v>
      </c>
      <c r="BM144" s="285" t="s">
        <v>723</v>
      </c>
    </row>
    <row r="145" spans="2:65" s="165" customFormat="1" ht="33" customHeight="1" x14ac:dyDescent="0.25">
      <c r="B145" s="166"/>
      <c r="C145" s="332" t="s">
        <v>229</v>
      </c>
      <c r="D145" s="332" t="s">
        <v>218</v>
      </c>
      <c r="E145" s="333" t="s">
        <v>724</v>
      </c>
      <c r="F145" s="334" t="s">
        <v>725</v>
      </c>
      <c r="G145" s="335" t="s">
        <v>114</v>
      </c>
      <c r="H145" s="336">
        <v>108</v>
      </c>
      <c r="I145" s="329">
        <v>0</v>
      </c>
      <c r="J145" s="337">
        <f t="shared" si="0"/>
        <v>0</v>
      </c>
      <c r="K145" s="338"/>
      <c r="L145" s="166"/>
      <c r="M145" s="281" t="s">
        <v>171</v>
      </c>
      <c r="N145" s="282" t="s">
        <v>185</v>
      </c>
      <c r="O145" s="283">
        <v>4.2000000000000003E-2</v>
      </c>
      <c r="P145" s="283">
        <f t="shared" si="1"/>
        <v>4.5360000000000005</v>
      </c>
      <c r="Q145" s="283">
        <v>0</v>
      </c>
      <c r="R145" s="283">
        <f t="shared" si="2"/>
        <v>0</v>
      </c>
      <c r="S145" s="283">
        <v>0</v>
      </c>
      <c r="T145" s="284">
        <f t="shared" si="3"/>
        <v>0</v>
      </c>
      <c r="AR145" s="285" t="s">
        <v>110</v>
      </c>
      <c r="AT145" s="285" t="s">
        <v>218</v>
      </c>
      <c r="AU145" s="285" t="s">
        <v>108</v>
      </c>
      <c r="AY145" s="153" t="s">
        <v>217</v>
      </c>
      <c r="BE145" s="286">
        <f t="shared" si="4"/>
        <v>0</v>
      </c>
      <c r="BF145" s="286">
        <f t="shared" si="5"/>
        <v>0</v>
      </c>
      <c r="BG145" s="286">
        <f t="shared" si="6"/>
        <v>0</v>
      </c>
      <c r="BH145" s="286">
        <f t="shared" si="7"/>
        <v>0</v>
      </c>
      <c r="BI145" s="286">
        <f t="shared" si="8"/>
        <v>0</v>
      </c>
      <c r="BJ145" s="153" t="s">
        <v>108</v>
      </c>
      <c r="BK145" s="286">
        <f t="shared" si="9"/>
        <v>0</v>
      </c>
      <c r="BL145" s="153" t="s">
        <v>110</v>
      </c>
      <c r="BM145" s="285" t="s">
        <v>726</v>
      </c>
    </row>
    <row r="146" spans="2:65" s="165" customFormat="1" ht="21.75" customHeight="1" x14ac:dyDescent="0.25">
      <c r="B146" s="166"/>
      <c r="C146" s="332" t="s">
        <v>231</v>
      </c>
      <c r="D146" s="332" t="s">
        <v>218</v>
      </c>
      <c r="E146" s="333" t="s">
        <v>727</v>
      </c>
      <c r="F146" s="334" t="s">
        <v>728</v>
      </c>
      <c r="G146" s="335" t="s">
        <v>111</v>
      </c>
      <c r="H146" s="336">
        <v>724</v>
      </c>
      <c r="I146" s="329">
        <v>0</v>
      </c>
      <c r="J146" s="337">
        <f t="shared" si="0"/>
        <v>0</v>
      </c>
      <c r="K146" s="338"/>
      <c r="L146" s="166"/>
      <c r="M146" s="281" t="s">
        <v>171</v>
      </c>
      <c r="N146" s="282" t="s">
        <v>185</v>
      </c>
      <c r="O146" s="283">
        <v>6.0999999999999999E-2</v>
      </c>
      <c r="P146" s="283">
        <f t="shared" si="1"/>
        <v>44.164000000000001</v>
      </c>
      <c r="Q146" s="283">
        <v>0</v>
      </c>
      <c r="R146" s="283">
        <f t="shared" si="2"/>
        <v>0</v>
      </c>
      <c r="S146" s="283">
        <v>0</v>
      </c>
      <c r="T146" s="284">
        <f t="shared" si="3"/>
        <v>0</v>
      </c>
      <c r="AR146" s="285" t="s">
        <v>110</v>
      </c>
      <c r="AT146" s="285" t="s">
        <v>218</v>
      </c>
      <c r="AU146" s="285" t="s">
        <v>108</v>
      </c>
      <c r="AY146" s="153" t="s">
        <v>217</v>
      </c>
      <c r="BE146" s="286">
        <f t="shared" si="4"/>
        <v>0</v>
      </c>
      <c r="BF146" s="286">
        <f t="shared" si="5"/>
        <v>0</v>
      </c>
      <c r="BG146" s="286">
        <f t="shared" si="6"/>
        <v>0</v>
      </c>
      <c r="BH146" s="286">
        <f t="shared" si="7"/>
        <v>0</v>
      </c>
      <c r="BI146" s="286">
        <f t="shared" si="8"/>
        <v>0</v>
      </c>
      <c r="BJ146" s="153" t="s">
        <v>108</v>
      </c>
      <c r="BK146" s="286">
        <f t="shared" si="9"/>
        <v>0</v>
      </c>
      <c r="BL146" s="153" t="s">
        <v>110</v>
      </c>
      <c r="BM146" s="285" t="s">
        <v>729</v>
      </c>
    </row>
    <row r="147" spans="2:65" s="165" customFormat="1" ht="16.5" customHeight="1" x14ac:dyDescent="0.25">
      <c r="B147" s="166"/>
      <c r="C147" s="339" t="s">
        <v>232</v>
      </c>
      <c r="D147" s="339" t="s">
        <v>259</v>
      </c>
      <c r="E147" s="340" t="s">
        <v>730</v>
      </c>
      <c r="F147" s="341" t="s">
        <v>731</v>
      </c>
      <c r="G147" s="342" t="s">
        <v>536</v>
      </c>
      <c r="H147" s="343">
        <v>26</v>
      </c>
      <c r="I147" s="330">
        <v>0</v>
      </c>
      <c r="J147" s="344">
        <f t="shared" si="0"/>
        <v>0</v>
      </c>
      <c r="K147" s="345"/>
      <c r="L147" s="287"/>
      <c r="M147" s="288" t="s">
        <v>171</v>
      </c>
      <c r="N147" s="289" t="s">
        <v>185</v>
      </c>
      <c r="O147" s="283">
        <v>0</v>
      </c>
      <c r="P147" s="283">
        <f t="shared" si="1"/>
        <v>0</v>
      </c>
      <c r="Q147" s="283">
        <v>1E-3</v>
      </c>
      <c r="R147" s="283">
        <f t="shared" si="2"/>
        <v>2.6000000000000002E-2</v>
      </c>
      <c r="S147" s="283">
        <v>0</v>
      </c>
      <c r="T147" s="284">
        <f t="shared" si="3"/>
        <v>0</v>
      </c>
      <c r="AR147" s="285" t="s">
        <v>115</v>
      </c>
      <c r="AT147" s="285" t="s">
        <v>259</v>
      </c>
      <c r="AU147" s="285" t="s">
        <v>108</v>
      </c>
      <c r="AY147" s="153" t="s">
        <v>217</v>
      </c>
      <c r="BE147" s="286">
        <f t="shared" si="4"/>
        <v>0</v>
      </c>
      <c r="BF147" s="286">
        <f t="shared" si="5"/>
        <v>0</v>
      </c>
      <c r="BG147" s="286">
        <f t="shared" si="6"/>
        <v>0</v>
      </c>
      <c r="BH147" s="286">
        <f t="shared" si="7"/>
        <v>0</v>
      </c>
      <c r="BI147" s="286">
        <f t="shared" si="8"/>
        <v>0</v>
      </c>
      <c r="BJ147" s="153" t="s">
        <v>108</v>
      </c>
      <c r="BK147" s="286">
        <f t="shared" si="9"/>
        <v>0</v>
      </c>
      <c r="BL147" s="153" t="s">
        <v>110</v>
      </c>
      <c r="BM147" s="285" t="s">
        <v>732</v>
      </c>
    </row>
    <row r="148" spans="2:65" s="165" customFormat="1" ht="24.2" customHeight="1" x14ac:dyDescent="0.25">
      <c r="B148" s="166"/>
      <c r="C148" s="332" t="s">
        <v>234</v>
      </c>
      <c r="D148" s="332" t="s">
        <v>218</v>
      </c>
      <c r="E148" s="333" t="s">
        <v>733</v>
      </c>
      <c r="F148" s="334" t="s">
        <v>734</v>
      </c>
      <c r="G148" s="335" t="s">
        <v>111</v>
      </c>
      <c r="H148" s="336">
        <v>724</v>
      </c>
      <c r="I148" s="329">
        <v>0</v>
      </c>
      <c r="J148" s="337">
        <f t="shared" si="0"/>
        <v>0</v>
      </c>
      <c r="K148" s="338"/>
      <c r="L148" s="166"/>
      <c r="M148" s="281" t="s">
        <v>171</v>
      </c>
      <c r="N148" s="282" t="s">
        <v>185</v>
      </c>
      <c r="O148" s="283">
        <v>1.7999999999999999E-2</v>
      </c>
      <c r="P148" s="283">
        <f t="shared" si="1"/>
        <v>13.031999999999998</v>
      </c>
      <c r="Q148" s="283">
        <v>0</v>
      </c>
      <c r="R148" s="283">
        <f t="shared" si="2"/>
        <v>0</v>
      </c>
      <c r="S148" s="283">
        <v>0</v>
      </c>
      <c r="T148" s="284">
        <f t="shared" si="3"/>
        <v>0</v>
      </c>
      <c r="AR148" s="285" t="s">
        <v>110</v>
      </c>
      <c r="AT148" s="285" t="s">
        <v>218</v>
      </c>
      <c r="AU148" s="285" t="s">
        <v>108</v>
      </c>
      <c r="AY148" s="153" t="s">
        <v>217</v>
      </c>
      <c r="BE148" s="286">
        <f t="shared" si="4"/>
        <v>0</v>
      </c>
      <c r="BF148" s="286">
        <f t="shared" si="5"/>
        <v>0</v>
      </c>
      <c r="BG148" s="286">
        <f t="shared" si="6"/>
        <v>0</v>
      </c>
      <c r="BH148" s="286">
        <f t="shared" si="7"/>
        <v>0</v>
      </c>
      <c r="BI148" s="286">
        <f t="shared" si="8"/>
        <v>0</v>
      </c>
      <c r="BJ148" s="153" t="s">
        <v>108</v>
      </c>
      <c r="BK148" s="286">
        <f t="shared" si="9"/>
        <v>0</v>
      </c>
      <c r="BL148" s="153" t="s">
        <v>110</v>
      </c>
      <c r="BM148" s="285" t="s">
        <v>735</v>
      </c>
    </row>
    <row r="149" spans="2:65" s="165" customFormat="1" ht="16.5" customHeight="1" x14ac:dyDescent="0.25">
      <c r="B149" s="166"/>
      <c r="C149" s="339" t="s">
        <v>235</v>
      </c>
      <c r="D149" s="339" t="s">
        <v>259</v>
      </c>
      <c r="E149" s="340" t="s">
        <v>736</v>
      </c>
      <c r="F149" s="341" t="s">
        <v>737</v>
      </c>
      <c r="G149" s="342" t="s">
        <v>112</v>
      </c>
      <c r="H149" s="343">
        <v>196.28399999999999</v>
      </c>
      <c r="I149" s="330">
        <v>0</v>
      </c>
      <c r="J149" s="344">
        <f t="shared" si="0"/>
        <v>0</v>
      </c>
      <c r="K149" s="345"/>
      <c r="L149" s="287"/>
      <c r="M149" s="288" t="s">
        <v>171</v>
      </c>
      <c r="N149" s="289" t="s">
        <v>185</v>
      </c>
      <c r="O149" s="283">
        <v>0</v>
      </c>
      <c r="P149" s="283">
        <f t="shared" si="1"/>
        <v>0</v>
      </c>
      <c r="Q149" s="283">
        <v>1</v>
      </c>
      <c r="R149" s="283">
        <f t="shared" si="2"/>
        <v>196.28399999999999</v>
      </c>
      <c r="S149" s="283">
        <v>0</v>
      </c>
      <c r="T149" s="284">
        <f t="shared" si="3"/>
        <v>0</v>
      </c>
      <c r="AR149" s="285" t="s">
        <v>115</v>
      </c>
      <c r="AT149" s="285" t="s">
        <v>259</v>
      </c>
      <c r="AU149" s="285" t="s">
        <v>108</v>
      </c>
      <c r="AY149" s="153" t="s">
        <v>217</v>
      </c>
      <c r="BE149" s="286">
        <f t="shared" si="4"/>
        <v>0</v>
      </c>
      <c r="BF149" s="286">
        <f t="shared" si="5"/>
        <v>0</v>
      </c>
      <c r="BG149" s="286">
        <f t="shared" si="6"/>
        <v>0</v>
      </c>
      <c r="BH149" s="286">
        <f t="shared" si="7"/>
        <v>0</v>
      </c>
      <c r="BI149" s="286">
        <f t="shared" si="8"/>
        <v>0</v>
      </c>
      <c r="BJ149" s="153" t="s">
        <v>108</v>
      </c>
      <c r="BK149" s="286">
        <f t="shared" si="9"/>
        <v>0</v>
      </c>
      <c r="BL149" s="153" t="s">
        <v>110</v>
      </c>
      <c r="BM149" s="285" t="s">
        <v>738</v>
      </c>
    </row>
    <row r="150" spans="2:65" s="269" customFormat="1" ht="22.9" customHeight="1" x14ac:dyDescent="0.2">
      <c r="B150" s="270"/>
      <c r="D150" s="271" t="s">
        <v>216</v>
      </c>
      <c r="E150" s="279" t="s">
        <v>118</v>
      </c>
      <c r="F150" s="279" t="s">
        <v>739</v>
      </c>
      <c r="I150" s="331"/>
      <c r="J150" s="280">
        <f>BK150</f>
        <v>0</v>
      </c>
      <c r="L150" s="270"/>
      <c r="M150" s="274"/>
      <c r="P150" s="275">
        <f>SUM(P151:P175)</f>
        <v>2369.0440399999998</v>
      </c>
      <c r="R150" s="275">
        <f>SUM(R151:R175)</f>
        <v>5733.4782054199995</v>
      </c>
      <c r="T150" s="276">
        <f>SUM(T151:T175)</f>
        <v>0</v>
      </c>
      <c r="AR150" s="271" t="s">
        <v>109</v>
      </c>
      <c r="AT150" s="277" t="s">
        <v>216</v>
      </c>
      <c r="AU150" s="277" t="s">
        <v>109</v>
      </c>
      <c r="AY150" s="271" t="s">
        <v>217</v>
      </c>
      <c r="BK150" s="278">
        <f>SUM(BK151:BK175)</f>
        <v>0</v>
      </c>
    </row>
    <row r="151" spans="2:65" s="165" customFormat="1" ht="37.9" customHeight="1" x14ac:dyDescent="0.25">
      <c r="B151" s="166"/>
      <c r="C151" s="332" t="s">
        <v>236</v>
      </c>
      <c r="D151" s="332" t="s">
        <v>218</v>
      </c>
      <c r="E151" s="333" t="s">
        <v>740</v>
      </c>
      <c r="F151" s="334" t="s">
        <v>741</v>
      </c>
      <c r="G151" s="335" t="s">
        <v>111</v>
      </c>
      <c r="H151" s="336">
        <v>3133</v>
      </c>
      <c r="I151" s="329">
        <v>0</v>
      </c>
      <c r="J151" s="337">
        <f t="shared" ref="J151:J175" si="10">ROUND(I151*H151,2)</f>
        <v>0</v>
      </c>
      <c r="K151" s="338"/>
      <c r="L151" s="166"/>
      <c r="M151" s="281" t="s">
        <v>171</v>
      </c>
      <c r="N151" s="282" t="s">
        <v>185</v>
      </c>
      <c r="O151" s="283">
        <v>2.972E-2</v>
      </c>
      <c r="P151" s="283">
        <f t="shared" ref="P151:P175" si="11">O151*H151</f>
        <v>93.112759999999994</v>
      </c>
      <c r="Q151" s="283">
        <v>0</v>
      </c>
      <c r="R151" s="283">
        <f t="shared" ref="R151:R175" si="12">Q151*H151</f>
        <v>0</v>
      </c>
      <c r="S151" s="283">
        <v>0</v>
      </c>
      <c r="T151" s="284">
        <f t="shared" ref="T151:T175" si="13">S151*H151</f>
        <v>0</v>
      </c>
      <c r="AR151" s="285" t="s">
        <v>110</v>
      </c>
      <c r="AT151" s="285" t="s">
        <v>218</v>
      </c>
      <c r="AU151" s="285" t="s">
        <v>108</v>
      </c>
      <c r="AY151" s="153" t="s">
        <v>217</v>
      </c>
      <c r="BE151" s="286">
        <f t="shared" ref="BE151:BE175" si="14">IF(N151="základná",J151,0)</f>
        <v>0</v>
      </c>
      <c r="BF151" s="286">
        <f t="shared" ref="BF151:BF175" si="15">IF(N151="znížená",J151,0)</f>
        <v>0</v>
      </c>
      <c r="BG151" s="286">
        <f t="shared" ref="BG151:BG175" si="16">IF(N151="zákl. prenesená",J151,0)</f>
        <v>0</v>
      </c>
      <c r="BH151" s="286">
        <f t="shared" ref="BH151:BH175" si="17">IF(N151="zníž. prenesená",J151,0)</f>
        <v>0</v>
      </c>
      <c r="BI151" s="286">
        <f t="shared" ref="BI151:BI175" si="18">IF(N151="nulová",J151,0)</f>
        <v>0</v>
      </c>
      <c r="BJ151" s="153" t="s">
        <v>108</v>
      </c>
      <c r="BK151" s="286">
        <f t="shared" ref="BK151:BK175" si="19">ROUND(I151*H151,2)</f>
        <v>0</v>
      </c>
      <c r="BL151" s="153" t="s">
        <v>110</v>
      </c>
      <c r="BM151" s="285" t="s">
        <v>742</v>
      </c>
    </row>
    <row r="152" spans="2:65" s="165" customFormat="1" ht="24.2" customHeight="1" x14ac:dyDescent="0.25">
      <c r="B152" s="166"/>
      <c r="C152" s="339" t="s">
        <v>237</v>
      </c>
      <c r="D152" s="339" t="s">
        <v>259</v>
      </c>
      <c r="E152" s="340" t="s">
        <v>743</v>
      </c>
      <c r="F152" s="341" t="s">
        <v>744</v>
      </c>
      <c r="G152" s="342" t="s">
        <v>112</v>
      </c>
      <c r="H152" s="343">
        <v>83.087000000000003</v>
      </c>
      <c r="I152" s="330">
        <v>0</v>
      </c>
      <c r="J152" s="344">
        <f t="shared" si="10"/>
        <v>0</v>
      </c>
      <c r="K152" s="345"/>
      <c r="L152" s="287"/>
      <c r="M152" s="288" t="s">
        <v>171</v>
      </c>
      <c r="N152" s="289" t="s">
        <v>185</v>
      </c>
      <c r="O152" s="283">
        <v>0</v>
      </c>
      <c r="P152" s="283">
        <f t="shared" si="11"/>
        <v>0</v>
      </c>
      <c r="Q152" s="283">
        <v>1</v>
      </c>
      <c r="R152" s="283">
        <f t="shared" si="12"/>
        <v>83.087000000000003</v>
      </c>
      <c r="S152" s="283">
        <v>0</v>
      </c>
      <c r="T152" s="284">
        <f t="shared" si="13"/>
        <v>0</v>
      </c>
      <c r="AR152" s="285" t="s">
        <v>115</v>
      </c>
      <c r="AT152" s="285" t="s">
        <v>259</v>
      </c>
      <c r="AU152" s="285" t="s">
        <v>108</v>
      </c>
      <c r="AY152" s="153" t="s">
        <v>217</v>
      </c>
      <c r="BE152" s="286">
        <f t="shared" si="14"/>
        <v>0</v>
      </c>
      <c r="BF152" s="286">
        <f t="shared" si="15"/>
        <v>0</v>
      </c>
      <c r="BG152" s="286">
        <f t="shared" si="16"/>
        <v>0</v>
      </c>
      <c r="BH152" s="286">
        <f t="shared" si="17"/>
        <v>0</v>
      </c>
      <c r="BI152" s="286">
        <f t="shared" si="18"/>
        <v>0</v>
      </c>
      <c r="BJ152" s="153" t="s">
        <v>108</v>
      </c>
      <c r="BK152" s="286">
        <f t="shared" si="19"/>
        <v>0</v>
      </c>
      <c r="BL152" s="153" t="s">
        <v>110</v>
      </c>
      <c r="BM152" s="285" t="s">
        <v>745</v>
      </c>
    </row>
    <row r="153" spans="2:65" s="165" customFormat="1" ht="24.2" customHeight="1" x14ac:dyDescent="0.25">
      <c r="B153" s="166"/>
      <c r="C153" s="339" t="s">
        <v>238</v>
      </c>
      <c r="D153" s="339" t="s">
        <v>259</v>
      </c>
      <c r="E153" s="340" t="s">
        <v>746</v>
      </c>
      <c r="F153" s="341" t="s">
        <v>747</v>
      </c>
      <c r="G153" s="342" t="s">
        <v>112</v>
      </c>
      <c r="H153" s="343">
        <v>49.814999999999998</v>
      </c>
      <c r="I153" s="330">
        <v>0</v>
      </c>
      <c r="J153" s="344">
        <f t="shared" si="10"/>
        <v>0</v>
      </c>
      <c r="K153" s="345"/>
      <c r="L153" s="287"/>
      <c r="M153" s="288" t="s">
        <v>171</v>
      </c>
      <c r="N153" s="289" t="s">
        <v>185</v>
      </c>
      <c r="O153" s="283">
        <v>0</v>
      </c>
      <c r="P153" s="283">
        <f t="shared" si="11"/>
        <v>0</v>
      </c>
      <c r="Q153" s="283">
        <v>1</v>
      </c>
      <c r="R153" s="283">
        <f t="shared" si="12"/>
        <v>49.814999999999998</v>
      </c>
      <c r="S153" s="283">
        <v>0</v>
      </c>
      <c r="T153" s="284">
        <f t="shared" si="13"/>
        <v>0</v>
      </c>
      <c r="AR153" s="285" t="s">
        <v>115</v>
      </c>
      <c r="AT153" s="285" t="s">
        <v>259</v>
      </c>
      <c r="AU153" s="285" t="s">
        <v>108</v>
      </c>
      <c r="AY153" s="153" t="s">
        <v>217</v>
      </c>
      <c r="BE153" s="286">
        <f t="shared" si="14"/>
        <v>0</v>
      </c>
      <c r="BF153" s="286">
        <f t="shared" si="15"/>
        <v>0</v>
      </c>
      <c r="BG153" s="286">
        <f t="shared" si="16"/>
        <v>0</v>
      </c>
      <c r="BH153" s="286">
        <f t="shared" si="17"/>
        <v>0</v>
      </c>
      <c r="BI153" s="286">
        <f t="shared" si="18"/>
        <v>0</v>
      </c>
      <c r="BJ153" s="153" t="s">
        <v>108</v>
      </c>
      <c r="BK153" s="286">
        <f t="shared" si="19"/>
        <v>0</v>
      </c>
      <c r="BL153" s="153" t="s">
        <v>110</v>
      </c>
      <c r="BM153" s="285" t="s">
        <v>748</v>
      </c>
    </row>
    <row r="154" spans="2:65" s="165" customFormat="1" ht="24.2" customHeight="1" x14ac:dyDescent="0.25">
      <c r="B154" s="166"/>
      <c r="C154" s="339" t="s">
        <v>239</v>
      </c>
      <c r="D154" s="339" t="s">
        <v>259</v>
      </c>
      <c r="E154" s="340" t="s">
        <v>749</v>
      </c>
      <c r="F154" s="341" t="s">
        <v>750</v>
      </c>
      <c r="G154" s="342" t="s">
        <v>112</v>
      </c>
      <c r="H154" s="343">
        <v>83.087000000000003</v>
      </c>
      <c r="I154" s="330">
        <v>0</v>
      </c>
      <c r="J154" s="344">
        <f t="shared" si="10"/>
        <v>0</v>
      </c>
      <c r="K154" s="345"/>
      <c r="L154" s="287"/>
      <c r="M154" s="288" t="s">
        <v>171</v>
      </c>
      <c r="N154" s="289" t="s">
        <v>185</v>
      </c>
      <c r="O154" s="283">
        <v>0</v>
      </c>
      <c r="P154" s="283">
        <f t="shared" si="11"/>
        <v>0</v>
      </c>
      <c r="Q154" s="283">
        <v>1</v>
      </c>
      <c r="R154" s="283">
        <f t="shared" si="12"/>
        <v>83.087000000000003</v>
      </c>
      <c r="S154" s="283">
        <v>0</v>
      </c>
      <c r="T154" s="284">
        <f t="shared" si="13"/>
        <v>0</v>
      </c>
      <c r="AR154" s="285" t="s">
        <v>115</v>
      </c>
      <c r="AT154" s="285" t="s">
        <v>259</v>
      </c>
      <c r="AU154" s="285" t="s">
        <v>108</v>
      </c>
      <c r="AY154" s="153" t="s">
        <v>217</v>
      </c>
      <c r="BE154" s="286">
        <f t="shared" si="14"/>
        <v>0</v>
      </c>
      <c r="BF154" s="286">
        <f t="shared" si="15"/>
        <v>0</v>
      </c>
      <c r="BG154" s="286">
        <f t="shared" si="16"/>
        <v>0</v>
      </c>
      <c r="BH154" s="286">
        <f t="shared" si="17"/>
        <v>0</v>
      </c>
      <c r="BI154" s="286">
        <f t="shared" si="18"/>
        <v>0</v>
      </c>
      <c r="BJ154" s="153" t="s">
        <v>108</v>
      </c>
      <c r="BK154" s="286">
        <f t="shared" si="19"/>
        <v>0</v>
      </c>
      <c r="BL154" s="153" t="s">
        <v>110</v>
      </c>
      <c r="BM154" s="285" t="s">
        <v>751</v>
      </c>
    </row>
    <row r="155" spans="2:65" s="165" customFormat="1" ht="16.5" customHeight="1" x14ac:dyDescent="0.25">
      <c r="B155" s="166"/>
      <c r="C155" s="339" t="s">
        <v>240</v>
      </c>
      <c r="D155" s="339" t="s">
        <v>259</v>
      </c>
      <c r="E155" s="340" t="s">
        <v>752</v>
      </c>
      <c r="F155" s="341" t="s">
        <v>753</v>
      </c>
      <c r="G155" s="342" t="s">
        <v>112</v>
      </c>
      <c r="H155" s="343">
        <v>83.087000000000003</v>
      </c>
      <c r="I155" s="330">
        <v>0</v>
      </c>
      <c r="J155" s="344">
        <f t="shared" si="10"/>
        <v>0</v>
      </c>
      <c r="K155" s="345"/>
      <c r="L155" s="287"/>
      <c r="M155" s="288" t="s">
        <v>171</v>
      </c>
      <c r="N155" s="289" t="s">
        <v>185</v>
      </c>
      <c r="O155" s="283">
        <v>0</v>
      </c>
      <c r="P155" s="283">
        <f t="shared" si="11"/>
        <v>0</v>
      </c>
      <c r="Q155" s="283">
        <v>1</v>
      </c>
      <c r="R155" s="283">
        <f t="shared" si="12"/>
        <v>83.087000000000003</v>
      </c>
      <c r="S155" s="283">
        <v>0</v>
      </c>
      <c r="T155" s="284">
        <f t="shared" si="13"/>
        <v>0</v>
      </c>
      <c r="AR155" s="285" t="s">
        <v>115</v>
      </c>
      <c r="AT155" s="285" t="s">
        <v>259</v>
      </c>
      <c r="AU155" s="285" t="s">
        <v>108</v>
      </c>
      <c r="AY155" s="153" t="s">
        <v>217</v>
      </c>
      <c r="BE155" s="286">
        <f t="shared" si="14"/>
        <v>0</v>
      </c>
      <c r="BF155" s="286">
        <f t="shared" si="15"/>
        <v>0</v>
      </c>
      <c r="BG155" s="286">
        <f t="shared" si="16"/>
        <v>0</v>
      </c>
      <c r="BH155" s="286">
        <f t="shared" si="17"/>
        <v>0</v>
      </c>
      <c r="BI155" s="286">
        <f t="shared" si="18"/>
        <v>0</v>
      </c>
      <c r="BJ155" s="153" t="s">
        <v>108</v>
      </c>
      <c r="BK155" s="286">
        <f t="shared" si="19"/>
        <v>0</v>
      </c>
      <c r="BL155" s="153" t="s">
        <v>110</v>
      </c>
      <c r="BM155" s="285" t="s">
        <v>754</v>
      </c>
    </row>
    <row r="156" spans="2:65" s="165" customFormat="1" ht="37.9" customHeight="1" x14ac:dyDescent="0.25">
      <c r="B156" s="166"/>
      <c r="C156" s="332" t="s">
        <v>241</v>
      </c>
      <c r="D156" s="332" t="s">
        <v>218</v>
      </c>
      <c r="E156" s="333" t="s">
        <v>755</v>
      </c>
      <c r="F156" s="334" t="s">
        <v>756</v>
      </c>
      <c r="G156" s="335" t="s">
        <v>111</v>
      </c>
      <c r="H156" s="336">
        <v>4309</v>
      </c>
      <c r="I156" s="329">
        <v>0</v>
      </c>
      <c r="J156" s="337">
        <f t="shared" si="10"/>
        <v>0</v>
      </c>
      <c r="K156" s="338"/>
      <c r="L156" s="166"/>
      <c r="M156" s="281" t="s">
        <v>171</v>
      </c>
      <c r="N156" s="282" t="s">
        <v>185</v>
      </c>
      <c r="O156" s="283">
        <v>4.8000000000000001E-2</v>
      </c>
      <c r="P156" s="283">
        <f t="shared" si="11"/>
        <v>206.83199999999999</v>
      </c>
      <c r="Q156" s="283">
        <v>5.8100000000000001E-3</v>
      </c>
      <c r="R156" s="283">
        <f t="shared" si="12"/>
        <v>25.03529</v>
      </c>
      <c r="S156" s="283">
        <v>0</v>
      </c>
      <c r="T156" s="284">
        <f t="shared" si="13"/>
        <v>0</v>
      </c>
      <c r="AR156" s="285" t="s">
        <v>110</v>
      </c>
      <c r="AT156" s="285" t="s">
        <v>218</v>
      </c>
      <c r="AU156" s="285" t="s">
        <v>108</v>
      </c>
      <c r="AY156" s="153" t="s">
        <v>217</v>
      </c>
      <c r="BE156" s="286">
        <f t="shared" si="14"/>
        <v>0</v>
      </c>
      <c r="BF156" s="286">
        <f t="shared" si="15"/>
        <v>0</v>
      </c>
      <c r="BG156" s="286">
        <f t="shared" si="16"/>
        <v>0</v>
      </c>
      <c r="BH156" s="286">
        <f t="shared" si="17"/>
        <v>0</v>
      </c>
      <c r="BI156" s="286">
        <f t="shared" si="18"/>
        <v>0</v>
      </c>
      <c r="BJ156" s="153" t="s">
        <v>108</v>
      </c>
      <c r="BK156" s="286">
        <f t="shared" si="19"/>
        <v>0</v>
      </c>
      <c r="BL156" s="153" t="s">
        <v>110</v>
      </c>
      <c r="BM156" s="285" t="s">
        <v>757</v>
      </c>
    </row>
    <row r="157" spans="2:65" s="165" customFormat="1" ht="37.9" customHeight="1" x14ac:dyDescent="0.25">
      <c r="B157" s="166"/>
      <c r="C157" s="332" t="s">
        <v>242</v>
      </c>
      <c r="D157" s="332" t="s">
        <v>218</v>
      </c>
      <c r="E157" s="333" t="s">
        <v>758</v>
      </c>
      <c r="F157" s="334" t="s">
        <v>759</v>
      </c>
      <c r="G157" s="335" t="s">
        <v>111</v>
      </c>
      <c r="H157" s="336">
        <v>7883</v>
      </c>
      <c r="I157" s="329">
        <v>0</v>
      </c>
      <c r="J157" s="337">
        <f t="shared" si="10"/>
        <v>0</v>
      </c>
      <c r="K157" s="338"/>
      <c r="L157" s="166"/>
      <c r="M157" s="281" t="s">
        <v>171</v>
      </c>
      <c r="N157" s="282" t="s">
        <v>185</v>
      </c>
      <c r="O157" s="283">
        <v>7.0999999999999994E-2</v>
      </c>
      <c r="P157" s="283">
        <f t="shared" si="11"/>
        <v>559.69299999999998</v>
      </c>
      <c r="Q157" s="283">
        <v>0.12966</v>
      </c>
      <c r="R157" s="283">
        <f t="shared" si="12"/>
        <v>1022.10978</v>
      </c>
      <c r="S157" s="283">
        <v>0</v>
      </c>
      <c r="T157" s="284">
        <f t="shared" si="13"/>
        <v>0</v>
      </c>
      <c r="AR157" s="285" t="s">
        <v>110</v>
      </c>
      <c r="AT157" s="285" t="s">
        <v>218</v>
      </c>
      <c r="AU157" s="285" t="s">
        <v>108</v>
      </c>
      <c r="AY157" s="153" t="s">
        <v>217</v>
      </c>
      <c r="BE157" s="286">
        <f t="shared" si="14"/>
        <v>0</v>
      </c>
      <c r="BF157" s="286">
        <f t="shared" si="15"/>
        <v>0</v>
      </c>
      <c r="BG157" s="286">
        <f t="shared" si="16"/>
        <v>0</v>
      </c>
      <c r="BH157" s="286">
        <f t="shared" si="17"/>
        <v>0</v>
      </c>
      <c r="BI157" s="286">
        <f t="shared" si="18"/>
        <v>0</v>
      </c>
      <c r="BJ157" s="153" t="s">
        <v>108</v>
      </c>
      <c r="BK157" s="286">
        <f t="shared" si="19"/>
        <v>0</v>
      </c>
      <c r="BL157" s="153" t="s">
        <v>110</v>
      </c>
      <c r="BM157" s="285" t="s">
        <v>760</v>
      </c>
    </row>
    <row r="158" spans="2:65" s="165" customFormat="1" ht="37.9" customHeight="1" x14ac:dyDescent="0.25">
      <c r="B158" s="166"/>
      <c r="C158" s="332" t="s">
        <v>243</v>
      </c>
      <c r="D158" s="332" t="s">
        <v>218</v>
      </c>
      <c r="E158" s="333" t="s">
        <v>761</v>
      </c>
      <c r="F158" s="334" t="s">
        <v>762</v>
      </c>
      <c r="G158" s="335" t="s">
        <v>111</v>
      </c>
      <c r="H158" s="336">
        <v>830</v>
      </c>
      <c r="I158" s="329">
        <v>0</v>
      </c>
      <c r="J158" s="337">
        <f t="shared" si="10"/>
        <v>0</v>
      </c>
      <c r="K158" s="338"/>
      <c r="L158" s="166"/>
      <c r="M158" s="281" t="s">
        <v>171</v>
      </c>
      <c r="N158" s="282" t="s">
        <v>185</v>
      </c>
      <c r="O158" s="283">
        <v>8.5000000000000006E-2</v>
      </c>
      <c r="P158" s="283">
        <f t="shared" si="11"/>
        <v>70.550000000000011</v>
      </c>
      <c r="Q158" s="283">
        <v>0.18462999999999999</v>
      </c>
      <c r="R158" s="283">
        <f t="shared" si="12"/>
        <v>153.24289999999999</v>
      </c>
      <c r="S158" s="283">
        <v>0</v>
      </c>
      <c r="T158" s="284">
        <f t="shared" si="13"/>
        <v>0</v>
      </c>
      <c r="AR158" s="285" t="s">
        <v>110</v>
      </c>
      <c r="AT158" s="285" t="s">
        <v>218</v>
      </c>
      <c r="AU158" s="285" t="s">
        <v>108</v>
      </c>
      <c r="AY158" s="153" t="s">
        <v>217</v>
      </c>
      <c r="BE158" s="286">
        <f t="shared" si="14"/>
        <v>0</v>
      </c>
      <c r="BF158" s="286">
        <f t="shared" si="15"/>
        <v>0</v>
      </c>
      <c r="BG158" s="286">
        <f t="shared" si="16"/>
        <v>0</v>
      </c>
      <c r="BH158" s="286">
        <f t="shared" si="17"/>
        <v>0</v>
      </c>
      <c r="BI158" s="286">
        <f t="shared" si="18"/>
        <v>0</v>
      </c>
      <c r="BJ158" s="153" t="s">
        <v>108</v>
      </c>
      <c r="BK158" s="286">
        <f t="shared" si="19"/>
        <v>0</v>
      </c>
      <c r="BL158" s="153" t="s">
        <v>110</v>
      </c>
      <c r="BM158" s="285" t="s">
        <v>763</v>
      </c>
    </row>
    <row r="159" spans="2:65" s="165" customFormat="1" ht="37.9" customHeight="1" x14ac:dyDescent="0.25">
      <c r="B159" s="166"/>
      <c r="C159" s="332" t="s">
        <v>244</v>
      </c>
      <c r="D159" s="332" t="s">
        <v>218</v>
      </c>
      <c r="E159" s="333" t="s">
        <v>764</v>
      </c>
      <c r="F159" s="334" t="s">
        <v>765</v>
      </c>
      <c r="G159" s="335" t="s">
        <v>111</v>
      </c>
      <c r="H159" s="336">
        <v>438</v>
      </c>
      <c r="I159" s="329">
        <v>0</v>
      </c>
      <c r="J159" s="337">
        <f t="shared" si="10"/>
        <v>0</v>
      </c>
      <c r="K159" s="338"/>
      <c r="L159" s="166"/>
      <c r="M159" s="281" t="s">
        <v>171</v>
      </c>
      <c r="N159" s="282" t="s">
        <v>185</v>
      </c>
      <c r="O159" s="283">
        <v>2.5100000000000001E-2</v>
      </c>
      <c r="P159" s="283">
        <f t="shared" si="11"/>
        <v>10.9938</v>
      </c>
      <c r="Q159" s="283">
        <v>0.43096599000000002</v>
      </c>
      <c r="R159" s="283">
        <f t="shared" si="12"/>
        <v>188.76310362000001</v>
      </c>
      <c r="S159" s="283">
        <v>0</v>
      </c>
      <c r="T159" s="284">
        <f t="shared" si="13"/>
        <v>0</v>
      </c>
      <c r="AR159" s="285" t="s">
        <v>110</v>
      </c>
      <c r="AT159" s="285" t="s">
        <v>218</v>
      </c>
      <c r="AU159" s="285" t="s">
        <v>108</v>
      </c>
      <c r="AY159" s="153" t="s">
        <v>217</v>
      </c>
      <c r="BE159" s="286">
        <f t="shared" si="14"/>
        <v>0</v>
      </c>
      <c r="BF159" s="286">
        <f t="shared" si="15"/>
        <v>0</v>
      </c>
      <c r="BG159" s="286">
        <f t="shared" si="16"/>
        <v>0</v>
      </c>
      <c r="BH159" s="286">
        <f t="shared" si="17"/>
        <v>0</v>
      </c>
      <c r="BI159" s="286">
        <f t="shared" si="18"/>
        <v>0</v>
      </c>
      <c r="BJ159" s="153" t="s">
        <v>108</v>
      </c>
      <c r="BK159" s="286">
        <f t="shared" si="19"/>
        <v>0</v>
      </c>
      <c r="BL159" s="153" t="s">
        <v>110</v>
      </c>
      <c r="BM159" s="285" t="s">
        <v>766</v>
      </c>
    </row>
    <row r="160" spans="2:65" s="165" customFormat="1" ht="24.2" customHeight="1" x14ac:dyDescent="0.25">
      <c r="B160" s="166"/>
      <c r="C160" s="332" t="s">
        <v>245</v>
      </c>
      <c r="D160" s="332" t="s">
        <v>218</v>
      </c>
      <c r="E160" s="333" t="s">
        <v>767</v>
      </c>
      <c r="F160" s="334" t="s">
        <v>768</v>
      </c>
      <c r="G160" s="335" t="s">
        <v>111</v>
      </c>
      <c r="H160" s="336">
        <v>261</v>
      </c>
      <c r="I160" s="329">
        <v>0</v>
      </c>
      <c r="J160" s="337">
        <f t="shared" si="10"/>
        <v>0</v>
      </c>
      <c r="K160" s="338"/>
      <c r="L160" s="166"/>
      <c r="M160" s="281" t="s">
        <v>171</v>
      </c>
      <c r="N160" s="282" t="s">
        <v>185</v>
      </c>
      <c r="O160" s="283">
        <v>3.6119999999999999E-2</v>
      </c>
      <c r="P160" s="283">
        <f t="shared" si="11"/>
        <v>9.4273199999999999</v>
      </c>
      <c r="Q160" s="283">
        <v>0.46</v>
      </c>
      <c r="R160" s="283">
        <f t="shared" si="12"/>
        <v>120.06</v>
      </c>
      <c r="S160" s="283">
        <v>0</v>
      </c>
      <c r="T160" s="284">
        <f t="shared" si="13"/>
        <v>0</v>
      </c>
      <c r="AR160" s="285" t="s">
        <v>110</v>
      </c>
      <c r="AT160" s="285" t="s">
        <v>218</v>
      </c>
      <c r="AU160" s="285" t="s">
        <v>108</v>
      </c>
      <c r="AY160" s="153" t="s">
        <v>217</v>
      </c>
      <c r="BE160" s="286">
        <f t="shared" si="14"/>
        <v>0</v>
      </c>
      <c r="BF160" s="286">
        <f t="shared" si="15"/>
        <v>0</v>
      </c>
      <c r="BG160" s="286">
        <f t="shared" si="16"/>
        <v>0</v>
      </c>
      <c r="BH160" s="286">
        <f t="shared" si="17"/>
        <v>0</v>
      </c>
      <c r="BI160" s="286">
        <f t="shared" si="18"/>
        <v>0</v>
      </c>
      <c r="BJ160" s="153" t="s">
        <v>108</v>
      </c>
      <c r="BK160" s="286">
        <f t="shared" si="19"/>
        <v>0</v>
      </c>
      <c r="BL160" s="153" t="s">
        <v>110</v>
      </c>
      <c r="BM160" s="285" t="s">
        <v>769</v>
      </c>
    </row>
    <row r="161" spans="2:65" s="165" customFormat="1" ht="37.9" customHeight="1" x14ac:dyDescent="0.25">
      <c r="B161" s="166"/>
      <c r="C161" s="332" t="s">
        <v>246</v>
      </c>
      <c r="D161" s="332" t="s">
        <v>218</v>
      </c>
      <c r="E161" s="333" t="s">
        <v>770</v>
      </c>
      <c r="F161" s="334" t="s">
        <v>771</v>
      </c>
      <c r="G161" s="335" t="s">
        <v>111</v>
      </c>
      <c r="H161" s="336">
        <v>7883</v>
      </c>
      <c r="I161" s="329">
        <v>0</v>
      </c>
      <c r="J161" s="337">
        <f t="shared" si="10"/>
        <v>0</v>
      </c>
      <c r="K161" s="338"/>
      <c r="L161" s="166"/>
      <c r="M161" s="281" t="s">
        <v>171</v>
      </c>
      <c r="N161" s="282" t="s">
        <v>185</v>
      </c>
      <c r="O161" s="283">
        <v>2.3999999999999998E-3</v>
      </c>
      <c r="P161" s="283">
        <f t="shared" si="11"/>
        <v>18.9192</v>
      </c>
      <c r="Q161" s="283">
        <v>5.1000000000000004E-4</v>
      </c>
      <c r="R161" s="283">
        <f t="shared" si="12"/>
        <v>4.0203300000000004</v>
      </c>
      <c r="S161" s="283">
        <v>0</v>
      </c>
      <c r="T161" s="284">
        <f t="shared" si="13"/>
        <v>0</v>
      </c>
      <c r="AR161" s="285" t="s">
        <v>110</v>
      </c>
      <c r="AT161" s="285" t="s">
        <v>218</v>
      </c>
      <c r="AU161" s="285" t="s">
        <v>108</v>
      </c>
      <c r="AY161" s="153" t="s">
        <v>217</v>
      </c>
      <c r="BE161" s="286">
        <f t="shared" si="14"/>
        <v>0</v>
      </c>
      <c r="BF161" s="286">
        <f t="shared" si="15"/>
        <v>0</v>
      </c>
      <c r="BG161" s="286">
        <f t="shared" si="16"/>
        <v>0</v>
      </c>
      <c r="BH161" s="286">
        <f t="shared" si="17"/>
        <v>0</v>
      </c>
      <c r="BI161" s="286">
        <f t="shared" si="18"/>
        <v>0</v>
      </c>
      <c r="BJ161" s="153" t="s">
        <v>108</v>
      </c>
      <c r="BK161" s="286">
        <f t="shared" si="19"/>
        <v>0</v>
      </c>
      <c r="BL161" s="153" t="s">
        <v>110</v>
      </c>
      <c r="BM161" s="285" t="s">
        <v>772</v>
      </c>
    </row>
    <row r="162" spans="2:65" s="165" customFormat="1" ht="33" customHeight="1" x14ac:dyDescent="0.25">
      <c r="B162" s="166"/>
      <c r="C162" s="332" t="s">
        <v>247</v>
      </c>
      <c r="D162" s="332" t="s">
        <v>218</v>
      </c>
      <c r="E162" s="333" t="s">
        <v>773</v>
      </c>
      <c r="F162" s="334" t="s">
        <v>774</v>
      </c>
      <c r="G162" s="335" t="s">
        <v>111</v>
      </c>
      <c r="H162" s="336">
        <v>3479</v>
      </c>
      <c r="I162" s="329">
        <v>0</v>
      </c>
      <c r="J162" s="337">
        <f t="shared" si="10"/>
        <v>0</v>
      </c>
      <c r="K162" s="338"/>
      <c r="L162" s="166"/>
      <c r="M162" s="281" t="s">
        <v>171</v>
      </c>
      <c r="N162" s="282" t="s">
        <v>185</v>
      </c>
      <c r="O162" s="283">
        <v>6.6000000000000003E-2</v>
      </c>
      <c r="P162" s="283">
        <f t="shared" si="11"/>
        <v>229.614</v>
      </c>
      <c r="Q162" s="283">
        <v>0.10373</v>
      </c>
      <c r="R162" s="283">
        <f t="shared" si="12"/>
        <v>360.87666999999999</v>
      </c>
      <c r="S162" s="283">
        <v>0</v>
      </c>
      <c r="T162" s="284">
        <f t="shared" si="13"/>
        <v>0</v>
      </c>
      <c r="AR162" s="285" t="s">
        <v>110</v>
      </c>
      <c r="AT162" s="285" t="s">
        <v>218</v>
      </c>
      <c r="AU162" s="285" t="s">
        <v>108</v>
      </c>
      <c r="AY162" s="153" t="s">
        <v>217</v>
      </c>
      <c r="BE162" s="286">
        <f t="shared" si="14"/>
        <v>0</v>
      </c>
      <c r="BF162" s="286">
        <f t="shared" si="15"/>
        <v>0</v>
      </c>
      <c r="BG162" s="286">
        <f t="shared" si="16"/>
        <v>0</v>
      </c>
      <c r="BH162" s="286">
        <f t="shared" si="17"/>
        <v>0</v>
      </c>
      <c r="BI162" s="286">
        <f t="shared" si="18"/>
        <v>0</v>
      </c>
      <c r="BJ162" s="153" t="s">
        <v>108</v>
      </c>
      <c r="BK162" s="286">
        <f t="shared" si="19"/>
        <v>0</v>
      </c>
      <c r="BL162" s="153" t="s">
        <v>110</v>
      </c>
      <c r="BM162" s="285" t="s">
        <v>775</v>
      </c>
    </row>
    <row r="163" spans="2:65" s="165" customFormat="1" ht="33" customHeight="1" x14ac:dyDescent="0.25">
      <c r="B163" s="166"/>
      <c r="C163" s="332" t="s">
        <v>248</v>
      </c>
      <c r="D163" s="332" t="s">
        <v>218</v>
      </c>
      <c r="E163" s="333" t="s">
        <v>776</v>
      </c>
      <c r="F163" s="334" t="s">
        <v>777</v>
      </c>
      <c r="G163" s="335" t="s">
        <v>111</v>
      </c>
      <c r="H163" s="336">
        <v>3479</v>
      </c>
      <c r="I163" s="329">
        <v>0</v>
      </c>
      <c r="J163" s="337">
        <f t="shared" si="10"/>
        <v>0</v>
      </c>
      <c r="K163" s="338"/>
      <c r="L163" s="166"/>
      <c r="M163" s="281" t="s">
        <v>171</v>
      </c>
      <c r="N163" s="282" t="s">
        <v>185</v>
      </c>
      <c r="O163" s="283">
        <v>0.107</v>
      </c>
      <c r="P163" s="283">
        <f t="shared" si="11"/>
        <v>372.25299999999999</v>
      </c>
      <c r="Q163" s="283">
        <v>0.26375999999999999</v>
      </c>
      <c r="R163" s="283">
        <f t="shared" si="12"/>
        <v>917.62103999999999</v>
      </c>
      <c r="S163" s="283">
        <v>0</v>
      </c>
      <c r="T163" s="284">
        <f t="shared" si="13"/>
        <v>0</v>
      </c>
      <c r="AR163" s="285" t="s">
        <v>110</v>
      </c>
      <c r="AT163" s="285" t="s">
        <v>218</v>
      </c>
      <c r="AU163" s="285" t="s">
        <v>108</v>
      </c>
      <c r="AY163" s="153" t="s">
        <v>217</v>
      </c>
      <c r="BE163" s="286">
        <f t="shared" si="14"/>
        <v>0</v>
      </c>
      <c r="BF163" s="286">
        <f t="shared" si="15"/>
        <v>0</v>
      </c>
      <c r="BG163" s="286">
        <f t="shared" si="16"/>
        <v>0</v>
      </c>
      <c r="BH163" s="286">
        <f t="shared" si="17"/>
        <v>0</v>
      </c>
      <c r="BI163" s="286">
        <f t="shared" si="18"/>
        <v>0</v>
      </c>
      <c r="BJ163" s="153" t="s">
        <v>108</v>
      </c>
      <c r="BK163" s="286">
        <f t="shared" si="19"/>
        <v>0</v>
      </c>
      <c r="BL163" s="153" t="s">
        <v>110</v>
      </c>
      <c r="BM163" s="285" t="s">
        <v>778</v>
      </c>
    </row>
    <row r="164" spans="2:65" s="165" customFormat="1" ht="24.2" customHeight="1" x14ac:dyDescent="0.25">
      <c r="B164" s="166"/>
      <c r="C164" s="332" t="s">
        <v>249</v>
      </c>
      <c r="D164" s="332" t="s">
        <v>218</v>
      </c>
      <c r="E164" s="333" t="s">
        <v>779</v>
      </c>
      <c r="F164" s="334" t="s">
        <v>780</v>
      </c>
      <c r="G164" s="335" t="s">
        <v>111</v>
      </c>
      <c r="H164" s="336">
        <v>4259</v>
      </c>
      <c r="I164" s="329">
        <v>0</v>
      </c>
      <c r="J164" s="337">
        <f t="shared" si="10"/>
        <v>0</v>
      </c>
      <c r="K164" s="338"/>
      <c r="L164" s="166"/>
      <c r="M164" s="281" t="s">
        <v>171</v>
      </c>
      <c r="N164" s="282" t="s">
        <v>185</v>
      </c>
      <c r="O164" s="283">
        <v>3.6119999999999999E-2</v>
      </c>
      <c r="P164" s="283">
        <f t="shared" si="11"/>
        <v>153.83508</v>
      </c>
      <c r="Q164" s="283">
        <v>0.48299999999999998</v>
      </c>
      <c r="R164" s="283">
        <f t="shared" si="12"/>
        <v>2057.0969999999998</v>
      </c>
      <c r="S164" s="283">
        <v>0</v>
      </c>
      <c r="T164" s="284">
        <f t="shared" si="13"/>
        <v>0</v>
      </c>
      <c r="AR164" s="285" t="s">
        <v>110</v>
      </c>
      <c r="AT164" s="285" t="s">
        <v>218</v>
      </c>
      <c r="AU164" s="285" t="s">
        <v>108</v>
      </c>
      <c r="AY164" s="153" t="s">
        <v>217</v>
      </c>
      <c r="BE164" s="286">
        <f t="shared" si="14"/>
        <v>0</v>
      </c>
      <c r="BF164" s="286">
        <f t="shared" si="15"/>
        <v>0</v>
      </c>
      <c r="BG164" s="286">
        <f t="shared" si="16"/>
        <v>0</v>
      </c>
      <c r="BH164" s="286">
        <f t="shared" si="17"/>
        <v>0</v>
      </c>
      <c r="BI164" s="286">
        <f t="shared" si="18"/>
        <v>0</v>
      </c>
      <c r="BJ164" s="153" t="s">
        <v>108</v>
      </c>
      <c r="BK164" s="286">
        <f t="shared" si="19"/>
        <v>0</v>
      </c>
      <c r="BL164" s="153" t="s">
        <v>110</v>
      </c>
      <c r="BM164" s="285" t="s">
        <v>781</v>
      </c>
    </row>
    <row r="165" spans="2:65" s="165" customFormat="1" ht="33" customHeight="1" x14ac:dyDescent="0.25">
      <c r="B165" s="166"/>
      <c r="C165" s="332" t="s">
        <v>250</v>
      </c>
      <c r="D165" s="332" t="s">
        <v>218</v>
      </c>
      <c r="E165" s="333" t="s">
        <v>782</v>
      </c>
      <c r="F165" s="334" t="s">
        <v>783</v>
      </c>
      <c r="G165" s="335" t="s">
        <v>111</v>
      </c>
      <c r="H165" s="904">
        <v>2580</v>
      </c>
      <c r="I165" s="329">
        <v>0</v>
      </c>
      <c r="J165" s="337">
        <f t="shared" si="10"/>
        <v>0</v>
      </c>
      <c r="K165" s="338"/>
      <c r="L165" s="166"/>
      <c r="M165" s="281" t="s">
        <v>171</v>
      </c>
      <c r="N165" s="282" t="s">
        <v>185</v>
      </c>
      <c r="O165" s="283">
        <v>2.9000000000000001E-2</v>
      </c>
      <c r="P165" s="283">
        <f t="shared" si="11"/>
        <v>74.820000000000007</v>
      </c>
      <c r="Q165" s="283">
        <v>3.3000000000000003E-5</v>
      </c>
      <c r="R165" s="283">
        <f t="shared" si="12"/>
        <v>8.5140000000000007E-2</v>
      </c>
      <c r="S165" s="283">
        <v>0</v>
      </c>
      <c r="T165" s="284">
        <f t="shared" si="13"/>
        <v>0</v>
      </c>
      <c r="AR165" s="285" t="s">
        <v>110</v>
      </c>
      <c r="AT165" s="285" t="s">
        <v>218</v>
      </c>
      <c r="AU165" s="285" t="s">
        <v>108</v>
      </c>
      <c r="AY165" s="153" t="s">
        <v>217</v>
      </c>
      <c r="BE165" s="286">
        <f t="shared" si="14"/>
        <v>0</v>
      </c>
      <c r="BF165" s="286">
        <f t="shared" si="15"/>
        <v>0</v>
      </c>
      <c r="BG165" s="286">
        <f t="shared" si="16"/>
        <v>0</v>
      </c>
      <c r="BH165" s="286">
        <f t="shared" si="17"/>
        <v>0</v>
      </c>
      <c r="BI165" s="286">
        <f t="shared" si="18"/>
        <v>0</v>
      </c>
      <c r="BJ165" s="153" t="s">
        <v>108</v>
      </c>
      <c r="BK165" s="286">
        <f t="shared" si="19"/>
        <v>0</v>
      </c>
      <c r="BL165" s="153" t="s">
        <v>110</v>
      </c>
      <c r="BM165" s="285" t="s">
        <v>784</v>
      </c>
    </row>
    <row r="166" spans="2:65" s="165" customFormat="1" ht="24.2" customHeight="1" x14ac:dyDescent="0.25">
      <c r="B166" s="166"/>
      <c r="C166" s="339" t="s">
        <v>251</v>
      </c>
      <c r="D166" s="339" t="s">
        <v>259</v>
      </c>
      <c r="E166" s="340" t="s">
        <v>785</v>
      </c>
      <c r="F166" s="341" t="s">
        <v>786</v>
      </c>
      <c r="G166" s="342" t="s">
        <v>111</v>
      </c>
      <c r="H166" s="905">
        <v>2642.444</v>
      </c>
      <c r="I166" s="330">
        <v>0</v>
      </c>
      <c r="J166" s="344">
        <f t="shared" si="10"/>
        <v>0</v>
      </c>
      <c r="K166" s="345"/>
      <c r="L166" s="287"/>
      <c r="M166" s="288" t="s">
        <v>171</v>
      </c>
      <c r="N166" s="289" t="s">
        <v>185</v>
      </c>
      <c r="O166" s="283">
        <v>0</v>
      </c>
      <c r="P166" s="283">
        <f t="shared" si="11"/>
        <v>0</v>
      </c>
      <c r="Q166" s="283">
        <v>8.8999999999999995E-4</v>
      </c>
      <c r="R166" s="283">
        <f t="shared" si="12"/>
        <v>2.3517751599999999</v>
      </c>
      <c r="S166" s="283">
        <v>0</v>
      </c>
      <c r="T166" s="284">
        <f t="shared" si="13"/>
        <v>0</v>
      </c>
      <c r="AR166" s="285" t="s">
        <v>115</v>
      </c>
      <c r="AT166" s="285" t="s">
        <v>259</v>
      </c>
      <c r="AU166" s="285" t="s">
        <v>108</v>
      </c>
      <c r="AY166" s="153" t="s">
        <v>217</v>
      </c>
      <c r="BE166" s="286">
        <f t="shared" si="14"/>
        <v>0</v>
      </c>
      <c r="BF166" s="286">
        <f t="shared" si="15"/>
        <v>0</v>
      </c>
      <c r="BG166" s="286">
        <f t="shared" si="16"/>
        <v>0</v>
      </c>
      <c r="BH166" s="286">
        <f t="shared" si="17"/>
        <v>0</v>
      </c>
      <c r="BI166" s="286">
        <f t="shared" si="18"/>
        <v>0</v>
      </c>
      <c r="BJ166" s="153" t="s">
        <v>108</v>
      </c>
      <c r="BK166" s="286">
        <f t="shared" si="19"/>
        <v>0</v>
      </c>
      <c r="BL166" s="153" t="s">
        <v>110</v>
      </c>
      <c r="BM166" s="285" t="s">
        <v>787</v>
      </c>
    </row>
    <row r="167" spans="2:65" s="165" customFormat="1" ht="24.2" customHeight="1" x14ac:dyDescent="0.25">
      <c r="B167" s="166"/>
      <c r="C167" s="332" t="s">
        <v>252</v>
      </c>
      <c r="D167" s="332" t="s">
        <v>218</v>
      </c>
      <c r="E167" s="333" t="s">
        <v>788</v>
      </c>
      <c r="F167" s="334" t="s">
        <v>789</v>
      </c>
      <c r="G167" s="335" t="s">
        <v>111</v>
      </c>
      <c r="H167" s="336">
        <v>249</v>
      </c>
      <c r="I167" s="329">
        <v>0</v>
      </c>
      <c r="J167" s="337">
        <f t="shared" si="10"/>
        <v>0</v>
      </c>
      <c r="K167" s="338"/>
      <c r="L167" s="166"/>
      <c r="M167" s="281" t="s">
        <v>171</v>
      </c>
      <c r="N167" s="282" t="s">
        <v>185</v>
      </c>
      <c r="O167" s="283">
        <v>0.40500000000000003</v>
      </c>
      <c r="P167" s="283">
        <f t="shared" si="11"/>
        <v>100.84500000000001</v>
      </c>
      <c r="Q167" s="283">
        <v>0.1837</v>
      </c>
      <c r="R167" s="283">
        <f t="shared" si="12"/>
        <v>45.741300000000003</v>
      </c>
      <c r="S167" s="283">
        <v>0</v>
      </c>
      <c r="T167" s="284">
        <f t="shared" si="13"/>
        <v>0</v>
      </c>
      <c r="AR167" s="285" t="s">
        <v>110</v>
      </c>
      <c r="AT167" s="285" t="s">
        <v>218</v>
      </c>
      <c r="AU167" s="285" t="s">
        <v>108</v>
      </c>
      <c r="AY167" s="153" t="s">
        <v>217</v>
      </c>
      <c r="BE167" s="286">
        <f t="shared" si="14"/>
        <v>0</v>
      </c>
      <c r="BF167" s="286">
        <f t="shared" si="15"/>
        <v>0</v>
      </c>
      <c r="BG167" s="286">
        <f t="shared" si="16"/>
        <v>0</v>
      </c>
      <c r="BH167" s="286">
        <f t="shared" si="17"/>
        <v>0</v>
      </c>
      <c r="BI167" s="286">
        <f t="shared" si="18"/>
        <v>0</v>
      </c>
      <c r="BJ167" s="153" t="s">
        <v>108</v>
      </c>
      <c r="BK167" s="286">
        <f t="shared" si="19"/>
        <v>0</v>
      </c>
      <c r="BL167" s="153" t="s">
        <v>110</v>
      </c>
      <c r="BM167" s="285" t="s">
        <v>790</v>
      </c>
    </row>
    <row r="168" spans="2:65" s="165" customFormat="1" ht="16.5" customHeight="1" x14ac:dyDescent="0.25">
      <c r="B168" s="166"/>
      <c r="C168" s="339" t="s">
        <v>253</v>
      </c>
      <c r="D168" s="339" t="s">
        <v>259</v>
      </c>
      <c r="E168" s="340" t="s">
        <v>791</v>
      </c>
      <c r="F168" s="341" t="s">
        <v>792</v>
      </c>
      <c r="G168" s="342" t="s">
        <v>111</v>
      </c>
      <c r="H168" s="343">
        <v>255.67</v>
      </c>
      <c r="I168" s="330">
        <v>0</v>
      </c>
      <c r="J168" s="344">
        <f t="shared" si="10"/>
        <v>0</v>
      </c>
      <c r="K168" s="345"/>
      <c r="L168" s="287"/>
      <c r="M168" s="288" t="s">
        <v>171</v>
      </c>
      <c r="N168" s="289" t="s">
        <v>185</v>
      </c>
      <c r="O168" s="283">
        <v>0</v>
      </c>
      <c r="P168" s="283">
        <f t="shared" si="11"/>
        <v>0</v>
      </c>
      <c r="Q168" s="283">
        <v>0.184</v>
      </c>
      <c r="R168" s="283">
        <f t="shared" si="12"/>
        <v>47.043279999999996</v>
      </c>
      <c r="S168" s="283">
        <v>0</v>
      </c>
      <c r="T168" s="284">
        <f t="shared" si="13"/>
        <v>0</v>
      </c>
      <c r="AR168" s="285" t="s">
        <v>115</v>
      </c>
      <c r="AT168" s="285" t="s">
        <v>259</v>
      </c>
      <c r="AU168" s="285" t="s">
        <v>108</v>
      </c>
      <c r="AY168" s="153" t="s">
        <v>217</v>
      </c>
      <c r="BE168" s="286">
        <f t="shared" si="14"/>
        <v>0</v>
      </c>
      <c r="BF168" s="286">
        <f t="shared" si="15"/>
        <v>0</v>
      </c>
      <c r="BG168" s="286">
        <f t="shared" si="16"/>
        <v>0</v>
      </c>
      <c r="BH168" s="286">
        <f t="shared" si="17"/>
        <v>0</v>
      </c>
      <c r="BI168" s="286">
        <f t="shared" si="18"/>
        <v>0</v>
      </c>
      <c r="BJ168" s="153" t="s">
        <v>108</v>
      </c>
      <c r="BK168" s="286">
        <f t="shared" si="19"/>
        <v>0</v>
      </c>
      <c r="BL168" s="153" t="s">
        <v>110</v>
      </c>
      <c r="BM168" s="285" t="s">
        <v>793</v>
      </c>
    </row>
    <row r="169" spans="2:65" s="165" customFormat="1" ht="16.5" customHeight="1" x14ac:dyDescent="0.25">
      <c r="B169" s="166"/>
      <c r="C169" s="339" t="s">
        <v>254</v>
      </c>
      <c r="D169" s="339" t="s">
        <v>259</v>
      </c>
      <c r="E169" s="340" t="s">
        <v>794</v>
      </c>
      <c r="F169" s="341" t="s">
        <v>795</v>
      </c>
      <c r="G169" s="342" t="s">
        <v>111</v>
      </c>
      <c r="H169" s="343">
        <v>27.79</v>
      </c>
      <c r="I169" s="330">
        <v>0</v>
      </c>
      <c r="J169" s="344">
        <f t="shared" si="10"/>
        <v>0</v>
      </c>
      <c r="K169" s="345"/>
      <c r="L169" s="287"/>
      <c r="M169" s="288" t="s">
        <v>171</v>
      </c>
      <c r="N169" s="289" t="s">
        <v>185</v>
      </c>
      <c r="O169" s="283">
        <v>0</v>
      </c>
      <c r="P169" s="283">
        <f t="shared" si="11"/>
        <v>0</v>
      </c>
      <c r="Q169" s="283">
        <v>0.13</v>
      </c>
      <c r="R169" s="283">
        <f t="shared" si="12"/>
        <v>3.6126999999999998</v>
      </c>
      <c r="S169" s="283">
        <v>0</v>
      </c>
      <c r="T169" s="284">
        <f t="shared" si="13"/>
        <v>0</v>
      </c>
      <c r="AR169" s="285" t="s">
        <v>115</v>
      </c>
      <c r="AT169" s="285" t="s">
        <v>259</v>
      </c>
      <c r="AU169" s="285" t="s">
        <v>108</v>
      </c>
      <c r="AY169" s="153" t="s">
        <v>217</v>
      </c>
      <c r="BE169" s="286">
        <f t="shared" si="14"/>
        <v>0</v>
      </c>
      <c r="BF169" s="286">
        <f t="shared" si="15"/>
        <v>0</v>
      </c>
      <c r="BG169" s="286">
        <f t="shared" si="16"/>
        <v>0</v>
      </c>
      <c r="BH169" s="286">
        <f t="shared" si="17"/>
        <v>0</v>
      </c>
      <c r="BI169" s="286">
        <f t="shared" si="18"/>
        <v>0</v>
      </c>
      <c r="BJ169" s="153" t="s">
        <v>108</v>
      </c>
      <c r="BK169" s="286">
        <f t="shared" si="19"/>
        <v>0</v>
      </c>
      <c r="BL169" s="153" t="s">
        <v>110</v>
      </c>
      <c r="BM169" s="285" t="s">
        <v>796</v>
      </c>
    </row>
    <row r="170" spans="2:65" s="165" customFormat="1" ht="37.9" customHeight="1" x14ac:dyDescent="0.25">
      <c r="B170" s="166"/>
      <c r="C170" s="332" t="s">
        <v>255</v>
      </c>
      <c r="D170" s="332" t="s">
        <v>218</v>
      </c>
      <c r="E170" s="333" t="s">
        <v>797</v>
      </c>
      <c r="F170" s="334" t="s">
        <v>798</v>
      </c>
      <c r="G170" s="335" t="s">
        <v>111</v>
      </c>
      <c r="H170" s="336">
        <v>224</v>
      </c>
      <c r="I170" s="329">
        <v>0</v>
      </c>
      <c r="J170" s="337">
        <f t="shared" si="10"/>
        <v>0</v>
      </c>
      <c r="K170" s="338"/>
      <c r="L170" s="166"/>
      <c r="M170" s="281" t="s">
        <v>171</v>
      </c>
      <c r="N170" s="282" t="s">
        <v>185</v>
      </c>
      <c r="O170" s="283">
        <v>2.4119999999999999E-2</v>
      </c>
      <c r="P170" s="283">
        <f t="shared" si="11"/>
        <v>5.4028799999999997</v>
      </c>
      <c r="Q170" s="283">
        <v>0.28731066</v>
      </c>
      <c r="R170" s="283">
        <f t="shared" si="12"/>
        <v>64.357587839999994</v>
      </c>
      <c r="S170" s="283">
        <v>0</v>
      </c>
      <c r="T170" s="284">
        <f t="shared" si="13"/>
        <v>0</v>
      </c>
      <c r="AR170" s="285" t="s">
        <v>110</v>
      </c>
      <c r="AT170" s="285" t="s">
        <v>218</v>
      </c>
      <c r="AU170" s="285" t="s">
        <v>108</v>
      </c>
      <c r="AY170" s="153" t="s">
        <v>217</v>
      </c>
      <c r="BE170" s="286">
        <f t="shared" si="14"/>
        <v>0</v>
      </c>
      <c r="BF170" s="286">
        <f t="shared" si="15"/>
        <v>0</v>
      </c>
      <c r="BG170" s="286">
        <f t="shared" si="16"/>
        <v>0</v>
      </c>
      <c r="BH170" s="286">
        <f t="shared" si="17"/>
        <v>0</v>
      </c>
      <c r="BI170" s="286">
        <f t="shared" si="18"/>
        <v>0</v>
      </c>
      <c r="BJ170" s="153" t="s">
        <v>108</v>
      </c>
      <c r="BK170" s="286">
        <f t="shared" si="19"/>
        <v>0</v>
      </c>
      <c r="BL170" s="153" t="s">
        <v>110</v>
      </c>
      <c r="BM170" s="285" t="s">
        <v>799</v>
      </c>
    </row>
    <row r="171" spans="2:65" s="165" customFormat="1" ht="33" customHeight="1" x14ac:dyDescent="0.25">
      <c r="B171" s="166"/>
      <c r="C171" s="332" t="s">
        <v>256</v>
      </c>
      <c r="D171" s="332" t="s">
        <v>218</v>
      </c>
      <c r="E171" s="333" t="s">
        <v>800</v>
      </c>
      <c r="F171" s="334" t="s">
        <v>801</v>
      </c>
      <c r="G171" s="335" t="s">
        <v>113</v>
      </c>
      <c r="H171" s="336">
        <v>1928</v>
      </c>
      <c r="I171" s="329">
        <v>0</v>
      </c>
      <c r="J171" s="337">
        <f t="shared" si="10"/>
        <v>0</v>
      </c>
      <c r="K171" s="338"/>
      <c r="L171" s="166"/>
      <c r="M171" s="281" t="s">
        <v>171</v>
      </c>
      <c r="N171" s="282" t="s">
        <v>185</v>
      </c>
      <c r="O171" s="283">
        <v>0.192</v>
      </c>
      <c r="P171" s="283">
        <f t="shared" si="11"/>
        <v>370.17599999999999</v>
      </c>
      <c r="Q171" s="283">
        <v>9.8529599999999995E-2</v>
      </c>
      <c r="R171" s="283">
        <f t="shared" si="12"/>
        <v>189.96506879999998</v>
      </c>
      <c r="S171" s="283">
        <v>0</v>
      </c>
      <c r="T171" s="284">
        <f t="shared" si="13"/>
        <v>0</v>
      </c>
      <c r="AR171" s="285" t="s">
        <v>110</v>
      </c>
      <c r="AT171" s="285" t="s">
        <v>218</v>
      </c>
      <c r="AU171" s="285" t="s">
        <v>108</v>
      </c>
      <c r="AY171" s="153" t="s">
        <v>217</v>
      </c>
      <c r="BE171" s="286">
        <f t="shared" si="14"/>
        <v>0</v>
      </c>
      <c r="BF171" s="286">
        <f t="shared" si="15"/>
        <v>0</v>
      </c>
      <c r="BG171" s="286">
        <f t="shared" si="16"/>
        <v>0</v>
      </c>
      <c r="BH171" s="286">
        <f t="shared" si="17"/>
        <v>0</v>
      </c>
      <c r="BI171" s="286">
        <f t="shared" si="18"/>
        <v>0</v>
      </c>
      <c r="BJ171" s="153" t="s">
        <v>108</v>
      </c>
      <c r="BK171" s="286">
        <f t="shared" si="19"/>
        <v>0</v>
      </c>
      <c r="BL171" s="153" t="s">
        <v>110</v>
      </c>
      <c r="BM171" s="285" t="s">
        <v>802</v>
      </c>
    </row>
    <row r="172" spans="2:65" s="165" customFormat="1" ht="16.5" customHeight="1" x14ac:dyDescent="0.25">
      <c r="B172" s="166"/>
      <c r="C172" s="339" t="s">
        <v>257</v>
      </c>
      <c r="D172" s="339" t="s">
        <v>259</v>
      </c>
      <c r="E172" s="340" t="s">
        <v>803</v>
      </c>
      <c r="F172" s="341" t="s">
        <v>804</v>
      </c>
      <c r="G172" s="342" t="s">
        <v>123</v>
      </c>
      <c r="H172" s="343">
        <v>2024.4</v>
      </c>
      <c r="I172" s="330">
        <v>0</v>
      </c>
      <c r="J172" s="344">
        <f t="shared" si="10"/>
        <v>0</v>
      </c>
      <c r="K172" s="345"/>
      <c r="L172" s="287"/>
      <c r="M172" s="288" t="s">
        <v>171</v>
      </c>
      <c r="N172" s="289" t="s">
        <v>185</v>
      </c>
      <c r="O172" s="283">
        <v>0</v>
      </c>
      <c r="P172" s="283">
        <f t="shared" si="11"/>
        <v>0</v>
      </c>
      <c r="Q172" s="283">
        <v>4.8000000000000001E-2</v>
      </c>
      <c r="R172" s="283">
        <f t="shared" si="12"/>
        <v>97.171200000000013</v>
      </c>
      <c r="S172" s="283">
        <v>0</v>
      </c>
      <c r="T172" s="284">
        <f t="shared" si="13"/>
        <v>0</v>
      </c>
      <c r="AR172" s="285" t="s">
        <v>115</v>
      </c>
      <c r="AT172" s="285" t="s">
        <v>259</v>
      </c>
      <c r="AU172" s="285" t="s">
        <v>108</v>
      </c>
      <c r="AY172" s="153" t="s">
        <v>217</v>
      </c>
      <c r="BE172" s="286">
        <f t="shared" si="14"/>
        <v>0</v>
      </c>
      <c r="BF172" s="286">
        <f t="shared" si="15"/>
        <v>0</v>
      </c>
      <c r="BG172" s="286">
        <f t="shared" si="16"/>
        <v>0</v>
      </c>
      <c r="BH172" s="286">
        <f t="shared" si="17"/>
        <v>0</v>
      </c>
      <c r="BI172" s="286">
        <f t="shared" si="18"/>
        <v>0</v>
      </c>
      <c r="BJ172" s="153" t="s">
        <v>108</v>
      </c>
      <c r="BK172" s="286">
        <f t="shared" si="19"/>
        <v>0</v>
      </c>
      <c r="BL172" s="153" t="s">
        <v>110</v>
      </c>
      <c r="BM172" s="285" t="s">
        <v>805</v>
      </c>
    </row>
    <row r="173" spans="2:65" s="165" customFormat="1" ht="16.5" customHeight="1" x14ac:dyDescent="0.25">
      <c r="B173" s="166"/>
      <c r="C173" s="339" t="s">
        <v>258</v>
      </c>
      <c r="D173" s="339" t="s">
        <v>259</v>
      </c>
      <c r="E173" s="340" t="s">
        <v>806</v>
      </c>
      <c r="F173" s="341" t="s">
        <v>807</v>
      </c>
      <c r="G173" s="342" t="s">
        <v>123</v>
      </c>
      <c r="H173" s="343">
        <v>30.45</v>
      </c>
      <c r="I173" s="330">
        <v>0</v>
      </c>
      <c r="J173" s="344">
        <f t="shared" si="10"/>
        <v>0</v>
      </c>
      <c r="K173" s="345"/>
      <c r="L173" s="287"/>
      <c r="M173" s="288" t="s">
        <v>171</v>
      </c>
      <c r="N173" s="289" t="s">
        <v>185</v>
      </c>
      <c r="O173" s="283">
        <v>0</v>
      </c>
      <c r="P173" s="283">
        <f t="shared" si="11"/>
        <v>0</v>
      </c>
      <c r="Q173" s="283">
        <v>8.5000000000000006E-2</v>
      </c>
      <c r="R173" s="283">
        <f t="shared" si="12"/>
        <v>2.5882499999999999</v>
      </c>
      <c r="S173" s="283">
        <v>0</v>
      </c>
      <c r="T173" s="284">
        <f t="shared" si="13"/>
        <v>0</v>
      </c>
      <c r="AR173" s="285" t="s">
        <v>115</v>
      </c>
      <c r="AT173" s="285" t="s">
        <v>259</v>
      </c>
      <c r="AU173" s="285" t="s">
        <v>108</v>
      </c>
      <c r="AY173" s="153" t="s">
        <v>217</v>
      </c>
      <c r="BE173" s="286">
        <f t="shared" si="14"/>
        <v>0</v>
      </c>
      <c r="BF173" s="286">
        <f t="shared" si="15"/>
        <v>0</v>
      </c>
      <c r="BG173" s="286">
        <f t="shared" si="16"/>
        <v>0</v>
      </c>
      <c r="BH173" s="286">
        <f t="shared" si="17"/>
        <v>0</v>
      </c>
      <c r="BI173" s="286">
        <f t="shared" si="18"/>
        <v>0</v>
      </c>
      <c r="BJ173" s="153" t="s">
        <v>108</v>
      </c>
      <c r="BK173" s="286">
        <f t="shared" si="19"/>
        <v>0</v>
      </c>
      <c r="BL173" s="153" t="s">
        <v>110</v>
      </c>
      <c r="BM173" s="285" t="s">
        <v>808</v>
      </c>
    </row>
    <row r="174" spans="2:65" s="165" customFormat="1" ht="33" customHeight="1" x14ac:dyDescent="0.25">
      <c r="B174" s="166"/>
      <c r="C174" s="332" t="s">
        <v>260</v>
      </c>
      <c r="D174" s="332" t="s">
        <v>218</v>
      </c>
      <c r="E174" s="333" t="s">
        <v>809</v>
      </c>
      <c r="F174" s="334" t="s">
        <v>810</v>
      </c>
      <c r="G174" s="335" t="s">
        <v>111</v>
      </c>
      <c r="H174" s="336">
        <v>454</v>
      </c>
      <c r="I174" s="329">
        <v>0</v>
      </c>
      <c r="J174" s="337">
        <f t="shared" si="10"/>
        <v>0</v>
      </c>
      <c r="K174" s="338"/>
      <c r="L174" s="166"/>
      <c r="M174" s="281" t="s">
        <v>171</v>
      </c>
      <c r="N174" s="282" t="s">
        <v>185</v>
      </c>
      <c r="O174" s="283">
        <v>5.5E-2</v>
      </c>
      <c r="P174" s="283">
        <f t="shared" si="11"/>
        <v>24.97</v>
      </c>
      <c r="Q174" s="283">
        <v>0.29160000000000003</v>
      </c>
      <c r="R174" s="283">
        <f t="shared" si="12"/>
        <v>132.38640000000001</v>
      </c>
      <c r="S174" s="283">
        <v>0</v>
      </c>
      <c r="T174" s="284">
        <f t="shared" si="13"/>
        <v>0</v>
      </c>
      <c r="AR174" s="285" t="s">
        <v>110</v>
      </c>
      <c r="AT174" s="285" t="s">
        <v>218</v>
      </c>
      <c r="AU174" s="285" t="s">
        <v>108</v>
      </c>
      <c r="AY174" s="153" t="s">
        <v>217</v>
      </c>
      <c r="BE174" s="286">
        <f t="shared" si="14"/>
        <v>0</v>
      </c>
      <c r="BF174" s="286">
        <f t="shared" si="15"/>
        <v>0</v>
      </c>
      <c r="BG174" s="286">
        <f t="shared" si="16"/>
        <v>0</v>
      </c>
      <c r="BH174" s="286">
        <f t="shared" si="17"/>
        <v>0</v>
      </c>
      <c r="BI174" s="286">
        <f t="shared" si="18"/>
        <v>0</v>
      </c>
      <c r="BJ174" s="153" t="s">
        <v>108</v>
      </c>
      <c r="BK174" s="286">
        <f t="shared" si="19"/>
        <v>0</v>
      </c>
      <c r="BL174" s="153" t="s">
        <v>110</v>
      </c>
      <c r="BM174" s="285" t="s">
        <v>811</v>
      </c>
    </row>
    <row r="175" spans="2:65" s="165" customFormat="1" ht="24.2" customHeight="1" x14ac:dyDescent="0.25">
      <c r="B175" s="166"/>
      <c r="C175" s="332" t="s">
        <v>262</v>
      </c>
      <c r="D175" s="332" t="s">
        <v>218</v>
      </c>
      <c r="E175" s="333" t="s">
        <v>812</v>
      </c>
      <c r="F175" s="334" t="s">
        <v>813</v>
      </c>
      <c r="G175" s="335" t="s">
        <v>113</v>
      </c>
      <c r="H175" s="336">
        <v>650</v>
      </c>
      <c r="I175" s="329">
        <v>0</v>
      </c>
      <c r="J175" s="337">
        <f t="shared" si="10"/>
        <v>0</v>
      </c>
      <c r="K175" s="338"/>
      <c r="L175" s="166"/>
      <c r="M175" s="281" t="s">
        <v>171</v>
      </c>
      <c r="N175" s="282" t="s">
        <v>185</v>
      </c>
      <c r="O175" s="283">
        <v>0.104</v>
      </c>
      <c r="P175" s="283">
        <f t="shared" si="11"/>
        <v>67.599999999999994</v>
      </c>
      <c r="Q175" s="283">
        <v>4.2059999999999998E-4</v>
      </c>
      <c r="R175" s="283">
        <f t="shared" si="12"/>
        <v>0.27338999999999997</v>
      </c>
      <c r="S175" s="283">
        <v>0</v>
      </c>
      <c r="T175" s="284">
        <f t="shared" si="13"/>
        <v>0</v>
      </c>
      <c r="AR175" s="285" t="s">
        <v>110</v>
      </c>
      <c r="AT175" s="285" t="s">
        <v>218</v>
      </c>
      <c r="AU175" s="285" t="s">
        <v>108</v>
      </c>
      <c r="AY175" s="153" t="s">
        <v>217</v>
      </c>
      <c r="BE175" s="286">
        <f t="shared" si="14"/>
        <v>0</v>
      </c>
      <c r="BF175" s="286">
        <f t="shared" si="15"/>
        <v>0</v>
      </c>
      <c r="BG175" s="286">
        <f t="shared" si="16"/>
        <v>0</v>
      </c>
      <c r="BH175" s="286">
        <f t="shared" si="17"/>
        <v>0</v>
      </c>
      <c r="BI175" s="286">
        <f t="shared" si="18"/>
        <v>0</v>
      </c>
      <c r="BJ175" s="153" t="s">
        <v>108</v>
      </c>
      <c r="BK175" s="286">
        <f t="shared" si="19"/>
        <v>0</v>
      </c>
      <c r="BL175" s="153" t="s">
        <v>110</v>
      </c>
      <c r="BM175" s="285" t="s">
        <v>814</v>
      </c>
    </row>
    <row r="176" spans="2:65" s="269" customFormat="1" ht="22.9" customHeight="1" x14ac:dyDescent="0.2">
      <c r="B176" s="270"/>
      <c r="D176" s="271" t="s">
        <v>216</v>
      </c>
      <c r="E176" s="279" t="s">
        <v>162</v>
      </c>
      <c r="F176" s="279" t="s">
        <v>633</v>
      </c>
      <c r="I176" s="331"/>
      <c r="J176" s="280">
        <f>BK176</f>
        <v>0</v>
      </c>
      <c r="L176" s="270"/>
      <c r="M176" s="274"/>
      <c r="P176" s="275">
        <f>SUM(P177:P217)</f>
        <v>3393.5667919999992</v>
      </c>
      <c r="R176" s="275">
        <f>SUM(R177:R217)</f>
        <v>783.40773449000017</v>
      </c>
      <c r="T176" s="276">
        <f>SUM(T177:T217)</f>
        <v>630.3180000000001</v>
      </c>
      <c r="AR176" s="271" t="s">
        <v>109</v>
      </c>
      <c r="AT176" s="277" t="s">
        <v>216</v>
      </c>
      <c r="AU176" s="277" t="s">
        <v>109</v>
      </c>
      <c r="AY176" s="271" t="s">
        <v>217</v>
      </c>
      <c r="BK176" s="278">
        <f>SUM(BK177:BK217)</f>
        <v>0</v>
      </c>
    </row>
    <row r="177" spans="2:65" s="165" customFormat="1" ht="24.2" customHeight="1" x14ac:dyDescent="0.25">
      <c r="B177" s="166"/>
      <c r="C177" s="332" t="s">
        <v>263</v>
      </c>
      <c r="D177" s="332" t="s">
        <v>218</v>
      </c>
      <c r="E177" s="333" t="s">
        <v>815</v>
      </c>
      <c r="F177" s="334" t="s">
        <v>816</v>
      </c>
      <c r="G177" s="335" t="s">
        <v>111</v>
      </c>
      <c r="H177" s="336">
        <v>700</v>
      </c>
      <c r="I177" s="329">
        <v>0</v>
      </c>
      <c r="J177" s="337">
        <f t="shared" ref="J177:J217" si="20">ROUND(I177*H177,2)</f>
        <v>0</v>
      </c>
      <c r="K177" s="338"/>
      <c r="L177" s="166"/>
      <c r="M177" s="281" t="s">
        <v>171</v>
      </c>
      <c r="N177" s="282" t="s">
        <v>185</v>
      </c>
      <c r="O177" s="283">
        <v>1.169</v>
      </c>
      <c r="P177" s="283">
        <f t="shared" ref="P177:P217" si="21">O177*H177</f>
        <v>818.30000000000007</v>
      </c>
      <c r="Q177" s="283">
        <v>0</v>
      </c>
      <c r="R177" s="283">
        <f t="shared" ref="R177:R217" si="22">Q177*H177</f>
        <v>0</v>
      </c>
      <c r="S177" s="283">
        <v>0.22500000000000001</v>
      </c>
      <c r="T177" s="284">
        <f t="shared" ref="T177:T217" si="23">S177*H177</f>
        <v>157.5</v>
      </c>
      <c r="AR177" s="285" t="s">
        <v>110</v>
      </c>
      <c r="AT177" s="285" t="s">
        <v>218</v>
      </c>
      <c r="AU177" s="285" t="s">
        <v>108</v>
      </c>
      <c r="AY177" s="153" t="s">
        <v>217</v>
      </c>
      <c r="BE177" s="286">
        <f t="shared" ref="BE177:BE217" si="24">IF(N177="základná",J177,0)</f>
        <v>0</v>
      </c>
      <c r="BF177" s="286">
        <f t="shared" ref="BF177:BF217" si="25">IF(N177="znížená",J177,0)</f>
        <v>0</v>
      </c>
      <c r="BG177" s="286">
        <f t="shared" ref="BG177:BG217" si="26">IF(N177="zákl. prenesená",J177,0)</f>
        <v>0</v>
      </c>
      <c r="BH177" s="286">
        <f t="shared" ref="BH177:BH217" si="27">IF(N177="zníž. prenesená",J177,0)</f>
        <v>0</v>
      </c>
      <c r="BI177" s="286">
        <f t="shared" ref="BI177:BI217" si="28">IF(N177="nulová",J177,0)</f>
        <v>0</v>
      </c>
      <c r="BJ177" s="153" t="s">
        <v>108</v>
      </c>
      <c r="BK177" s="286">
        <f t="shared" ref="BK177:BK217" si="29">ROUND(I177*H177,2)</f>
        <v>0</v>
      </c>
      <c r="BL177" s="153" t="s">
        <v>110</v>
      </c>
      <c r="BM177" s="285" t="s">
        <v>817</v>
      </c>
    </row>
    <row r="178" spans="2:65" s="165" customFormat="1" ht="37.9" customHeight="1" x14ac:dyDescent="0.25">
      <c r="B178" s="166"/>
      <c r="C178" s="332" t="s">
        <v>264</v>
      </c>
      <c r="D178" s="332" t="s">
        <v>218</v>
      </c>
      <c r="E178" s="333" t="s">
        <v>690</v>
      </c>
      <c r="F178" s="334" t="s">
        <v>691</v>
      </c>
      <c r="G178" s="335" t="s">
        <v>111</v>
      </c>
      <c r="H178" s="336">
        <v>3574</v>
      </c>
      <c r="I178" s="329">
        <v>0</v>
      </c>
      <c r="J178" s="337">
        <f t="shared" si="20"/>
        <v>0</v>
      </c>
      <c r="K178" s="338"/>
      <c r="L178" s="166"/>
      <c r="M178" s="281" t="s">
        <v>171</v>
      </c>
      <c r="N178" s="282" t="s">
        <v>185</v>
      </c>
      <c r="O178" s="283">
        <v>2.7099999999999999E-2</v>
      </c>
      <c r="P178" s="283">
        <f t="shared" si="21"/>
        <v>96.855400000000003</v>
      </c>
      <c r="Q178" s="283">
        <v>1.0127E-4</v>
      </c>
      <c r="R178" s="283">
        <f t="shared" si="22"/>
        <v>0.36193897999999997</v>
      </c>
      <c r="S178" s="283">
        <v>0.125</v>
      </c>
      <c r="T178" s="284">
        <f t="shared" si="23"/>
        <v>446.75</v>
      </c>
      <c r="AR178" s="285" t="s">
        <v>110</v>
      </c>
      <c r="AT178" s="285" t="s">
        <v>218</v>
      </c>
      <c r="AU178" s="285" t="s">
        <v>108</v>
      </c>
      <c r="AY178" s="153" t="s">
        <v>217</v>
      </c>
      <c r="BE178" s="286">
        <f t="shared" si="24"/>
        <v>0</v>
      </c>
      <c r="BF178" s="286">
        <f t="shared" si="25"/>
        <v>0</v>
      </c>
      <c r="BG178" s="286">
        <f t="shared" si="26"/>
        <v>0</v>
      </c>
      <c r="BH178" s="286">
        <f t="shared" si="27"/>
        <v>0</v>
      </c>
      <c r="BI178" s="286">
        <f t="shared" si="28"/>
        <v>0</v>
      </c>
      <c r="BJ178" s="153" t="s">
        <v>108</v>
      </c>
      <c r="BK178" s="286">
        <f t="shared" si="29"/>
        <v>0</v>
      </c>
      <c r="BL178" s="153" t="s">
        <v>110</v>
      </c>
      <c r="BM178" s="285" t="s">
        <v>818</v>
      </c>
    </row>
    <row r="179" spans="2:65" s="165" customFormat="1" ht="24.2" customHeight="1" x14ac:dyDescent="0.25">
      <c r="B179" s="166"/>
      <c r="C179" s="332" t="s">
        <v>265</v>
      </c>
      <c r="D179" s="332" t="s">
        <v>218</v>
      </c>
      <c r="E179" s="333" t="s">
        <v>819</v>
      </c>
      <c r="F179" s="334" t="s">
        <v>820</v>
      </c>
      <c r="G179" s="335" t="s">
        <v>111</v>
      </c>
      <c r="H179" s="336">
        <v>1</v>
      </c>
      <c r="I179" s="329">
        <v>0</v>
      </c>
      <c r="J179" s="337">
        <f t="shared" si="20"/>
        <v>0</v>
      </c>
      <c r="K179" s="338"/>
      <c r="L179" s="166"/>
      <c r="M179" s="281" t="s">
        <v>171</v>
      </c>
      <c r="N179" s="282" t="s">
        <v>185</v>
      </c>
      <c r="O179" s="283">
        <v>0.33966000000000002</v>
      </c>
      <c r="P179" s="283">
        <f t="shared" si="21"/>
        <v>0.33966000000000002</v>
      </c>
      <c r="Q179" s="283">
        <v>0</v>
      </c>
      <c r="R179" s="283">
        <f t="shared" si="22"/>
        <v>0</v>
      </c>
      <c r="S179" s="283">
        <v>0</v>
      </c>
      <c r="T179" s="284">
        <f t="shared" si="23"/>
        <v>0</v>
      </c>
      <c r="AR179" s="285" t="s">
        <v>110</v>
      </c>
      <c r="AT179" s="285" t="s">
        <v>218</v>
      </c>
      <c r="AU179" s="285" t="s">
        <v>108</v>
      </c>
      <c r="AY179" s="153" t="s">
        <v>217</v>
      </c>
      <c r="BE179" s="286">
        <f t="shared" si="24"/>
        <v>0</v>
      </c>
      <c r="BF179" s="286">
        <f t="shared" si="25"/>
        <v>0</v>
      </c>
      <c r="BG179" s="286">
        <f t="shared" si="26"/>
        <v>0</v>
      </c>
      <c r="BH179" s="286">
        <f t="shared" si="27"/>
        <v>0</v>
      </c>
      <c r="BI179" s="286">
        <f t="shared" si="28"/>
        <v>0</v>
      </c>
      <c r="BJ179" s="153" t="s">
        <v>108</v>
      </c>
      <c r="BK179" s="286">
        <f t="shared" si="29"/>
        <v>0</v>
      </c>
      <c r="BL179" s="153" t="s">
        <v>110</v>
      </c>
      <c r="BM179" s="285" t="s">
        <v>821</v>
      </c>
    </row>
    <row r="180" spans="2:65" s="165" customFormat="1" ht="37.9" customHeight="1" x14ac:dyDescent="0.25">
      <c r="B180" s="166"/>
      <c r="C180" s="332" t="s">
        <v>266</v>
      </c>
      <c r="D180" s="332" t="s">
        <v>218</v>
      </c>
      <c r="E180" s="333" t="s">
        <v>822</v>
      </c>
      <c r="F180" s="334" t="s">
        <v>823</v>
      </c>
      <c r="G180" s="335" t="s">
        <v>113</v>
      </c>
      <c r="H180" s="336">
        <v>618</v>
      </c>
      <c r="I180" s="329">
        <v>0</v>
      </c>
      <c r="J180" s="337">
        <f t="shared" si="20"/>
        <v>0</v>
      </c>
      <c r="K180" s="338"/>
      <c r="L180" s="166"/>
      <c r="M180" s="281" t="s">
        <v>171</v>
      </c>
      <c r="N180" s="282" t="s">
        <v>185</v>
      </c>
      <c r="O180" s="283">
        <v>0.37</v>
      </c>
      <c r="P180" s="283">
        <f t="shared" si="21"/>
        <v>228.66</v>
      </c>
      <c r="Q180" s="283">
        <v>0</v>
      </c>
      <c r="R180" s="283">
        <f t="shared" si="22"/>
        <v>0</v>
      </c>
      <c r="S180" s="283">
        <v>0</v>
      </c>
      <c r="T180" s="284">
        <f t="shared" si="23"/>
        <v>0</v>
      </c>
      <c r="AR180" s="285" t="s">
        <v>110</v>
      </c>
      <c r="AT180" s="285" t="s">
        <v>218</v>
      </c>
      <c r="AU180" s="285" t="s">
        <v>108</v>
      </c>
      <c r="AY180" s="153" t="s">
        <v>217</v>
      </c>
      <c r="BE180" s="286">
        <f t="shared" si="24"/>
        <v>0</v>
      </c>
      <c r="BF180" s="286">
        <f t="shared" si="25"/>
        <v>0</v>
      </c>
      <c r="BG180" s="286">
        <f t="shared" si="26"/>
        <v>0</v>
      </c>
      <c r="BH180" s="286">
        <f t="shared" si="27"/>
        <v>0</v>
      </c>
      <c r="BI180" s="286">
        <f t="shared" si="28"/>
        <v>0</v>
      </c>
      <c r="BJ180" s="153" t="s">
        <v>108</v>
      </c>
      <c r="BK180" s="286">
        <f t="shared" si="29"/>
        <v>0</v>
      </c>
      <c r="BL180" s="153" t="s">
        <v>110</v>
      </c>
      <c r="BM180" s="285" t="s">
        <v>824</v>
      </c>
    </row>
    <row r="181" spans="2:65" s="165" customFormat="1" ht="37.9" customHeight="1" x14ac:dyDescent="0.25">
      <c r="B181" s="166"/>
      <c r="C181" s="339" t="s">
        <v>573</v>
      </c>
      <c r="D181" s="339" t="s">
        <v>259</v>
      </c>
      <c r="E181" s="340" t="s">
        <v>825</v>
      </c>
      <c r="F181" s="341" t="s">
        <v>826</v>
      </c>
      <c r="G181" s="342" t="s">
        <v>113</v>
      </c>
      <c r="H181" s="343">
        <v>618</v>
      </c>
      <c r="I181" s="330">
        <v>0</v>
      </c>
      <c r="J181" s="344">
        <f t="shared" si="20"/>
        <v>0</v>
      </c>
      <c r="K181" s="345"/>
      <c r="L181" s="287"/>
      <c r="M181" s="288" t="s">
        <v>171</v>
      </c>
      <c r="N181" s="289" t="s">
        <v>185</v>
      </c>
      <c r="O181" s="283">
        <v>0</v>
      </c>
      <c r="P181" s="283">
        <f t="shared" si="21"/>
        <v>0</v>
      </c>
      <c r="Q181" s="283">
        <v>1.2500000000000001E-2</v>
      </c>
      <c r="R181" s="283">
        <f t="shared" si="22"/>
        <v>7.7250000000000005</v>
      </c>
      <c r="S181" s="283">
        <v>0</v>
      </c>
      <c r="T181" s="284">
        <f t="shared" si="23"/>
        <v>0</v>
      </c>
      <c r="AR181" s="285" t="s">
        <v>115</v>
      </c>
      <c r="AT181" s="285" t="s">
        <v>259</v>
      </c>
      <c r="AU181" s="285" t="s">
        <v>108</v>
      </c>
      <c r="AY181" s="153" t="s">
        <v>217</v>
      </c>
      <c r="BE181" s="286">
        <f t="shared" si="24"/>
        <v>0</v>
      </c>
      <c r="BF181" s="286">
        <f t="shared" si="25"/>
        <v>0</v>
      </c>
      <c r="BG181" s="286">
        <f t="shared" si="26"/>
        <v>0</v>
      </c>
      <c r="BH181" s="286">
        <f t="shared" si="27"/>
        <v>0</v>
      </c>
      <c r="BI181" s="286">
        <f t="shared" si="28"/>
        <v>0</v>
      </c>
      <c r="BJ181" s="153" t="s">
        <v>108</v>
      </c>
      <c r="BK181" s="286">
        <f t="shared" si="29"/>
        <v>0</v>
      </c>
      <c r="BL181" s="153" t="s">
        <v>110</v>
      </c>
      <c r="BM181" s="285" t="s">
        <v>827</v>
      </c>
    </row>
    <row r="182" spans="2:65" s="165" customFormat="1" ht="16.5" customHeight="1" x14ac:dyDescent="0.25">
      <c r="B182" s="166"/>
      <c r="C182" s="332" t="s">
        <v>577</v>
      </c>
      <c r="D182" s="332" t="s">
        <v>218</v>
      </c>
      <c r="E182" s="333" t="s">
        <v>828</v>
      </c>
      <c r="F182" s="334" t="s">
        <v>829</v>
      </c>
      <c r="G182" s="335" t="s">
        <v>123</v>
      </c>
      <c r="H182" s="336">
        <v>206</v>
      </c>
      <c r="I182" s="329">
        <v>0</v>
      </c>
      <c r="J182" s="337">
        <f t="shared" si="20"/>
        <v>0</v>
      </c>
      <c r="K182" s="338"/>
      <c r="L182" s="166"/>
      <c r="M182" s="281" t="s">
        <v>171</v>
      </c>
      <c r="N182" s="282" t="s">
        <v>185</v>
      </c>
      <c r="O182" s="283">
        <v>7.0000000000000007E-2</v>
      </c>
      <c r="P182" s="283">
        <f t="shared" si="21"/>
        <v>14.420000000000002</v>
      </c>
      <c r="Q182" s="283">
        <v>1.7997999999999999E-4</v>
      </c>
      <c r="R182" s="283">
        <f t="shared" si="22"/>
        <v>3.7075879999999999E-2</v>
      </c>
      <c r="S182" s="283">
        <v>0</v>
      </c>
      <c r="T182" s="284">
        <f t="shared" si="23"/>
        <v>0</v>
      </c>
      <c r="AR182" s="285" t="s">
        <v>110</v>
      </c>
      <c r="AT182" s="285" t="s">
        <v>218</v>
      </c>
      <c r="AU182" s="285" t="s">
        <v>108</v>
      </c>
      <c r="AY182" s="153" t="s">
        <v>217</v>
      </c>
      <c r="BE182" s="286">
        <f t="shared" si="24"/>
        <v>0</v>
      </c>
      <c r="BF182" s="286">
        <f t="shared" si="25"/>
        <v>0</v>
      </c>
      <c r="BG182" s="286">
        <f t="shared" si="26"/>
        <v>0</v>
      </c>
      <c r="BH182" s="286">
        <f t="shared" si="27"/>
        <v>0</v>
      </c>
      <c r="BI182" s="286">
        <f t="shared" si="28"/>
        <v>0</v>
      </c>
      <c r="BJ182" s="153" t="s">
        <v>108</v>
      </c>
      <c r="BK182" s="286">
        <f t="shared" si="29"/>
        <v>0</v>
      </c>
      <c r="BL182" s="153" t="s">
        <v>110</v>
      </c>
      <c r="BM182" s="285" t="s">
        <v>830</v>
      </c>
    </row>
    <row r="183" spans="2:65" s="165" customFormat="1" ht="24.2" customHeight="1" x14ac:dyDescent="0.25">
      <c r="B183" s="166"/>
      <c r="C183" s="339" t="s">
        <v>581</v>
      </c>
      <c r="D183" s="339" t="s">
        <v>259</v>
      </c>
      <c r="E183" s="340" t="s">
        <v>831</v>
      </c>
      <c r="F183" s="341" t="s">
        <v>832</v>
      </c>
      <c r="G183" s="342" t="s">
        <v>123</v>
      </c>
      <c r="H183" s="343">
        <v>206</v>
      </c>
      <c r="I183" s="330">
        <v>0</v>
      </c>
      <c r="J183" s="344">
        <f t="shared" si="20"/>
        <v>0</v>
      </c>
      <c r="K183" s="345"/>
      <c r="L183" s="287"/>
      <c r="M183" s="288" t="s">
        <v>171</v>
      </c>
      <c r="N183" s="289" t="s">
        <v>185</v>
      </c>
      <c r="O183" s="283">
        <v>0</v>
      </c>
      <c r="P183" s="283">
        <f t="shared" si="21"/>
        <v>0</v>
      </c>
      <c r="Q183" s="283">
        <v>2.9999999999999997E-4</v>
      </c>
      <c r="R183" s="283">
        <f t="shared" si="22"/>
        <v>6.1799999999999994E-2</v>
      </c>
      <c r="S183" s="283">
        <v>0</v>
      </c>
      <c r="T183" s="284">
        <f t="shared" si="23"/>
        <v>0</v>
      </c>
      <c r="AR183" s="285" t="s">
        <v>115</v>
      </c>
      <c r="AT183" s="285" t="s">
        <v>259</v>
      </c>
      <c r="AU183" s="285" t="s">
        <v>108</v>
      </c>
      <c r="AY183" s="153" t="s">
        <v>217</v>
      </c>
      <c r="BE183" s="286">
        <f t="shared" si="24"/>
        <v>0</v>
      </c>
      <c r="BF183" s="286">
        <f t="shared" si="25"/>
        <v>0</v>
      </c>
      <c r="BG183" s="286">
        <f t="shared" si="26"/>
        <v>0</v>
      </c>
      <c r="BH183" s="286">
        <f t="shared" si="27"/>
        <v>0</v>
      </c>
      <c r="BI183" s="286">
        <f t="shared" si="28"/>
        <v>0</v>
      </c>
      <c r="BJ183" s="153" t="s">
        <v>108</v>
      </c>
      <c r="BK183" s="286">
        <f t="shared" si="29"/>
        <v>0</v>
      </c>
      <c r="BL183" s="153" t="s">
        <v>110</v>
      </c>
      <c r="BM183" s="285" t="s">
        <v>833</v>
      </c>
    </row>
    <row r="184" spans="2:65" s="165" customFormat="1" ht="24.2" customHeight="1" x14ac:dyDescent="0.25">
      <c r="B184" s="166"/>
      <c r="C184" s="332" t="s">
        <v>585</v>
      </c>
      <c r="D184" s="332" t="s">
        <v>218</v>
      </c>
      <c r="E184" s="333" t="s">
        <v>834</v>
      </c>
      <c r="F184" s="334" t="s">
        <v>835</v>
      </c>
      <c r="G184" s="335" t="s">
        <v>123</v>
      </c>
      <c r="H184" s="336">
        <v>10</v>
      </c>
      <c r="I184" s="329">
        <v>0</v>
      </c>
      <c r="J184" s="337">
        <f t="shared" si="20"/>
        <v>0</v>
      </c>
      <c r="K184" s="338"/>
      <c r="L184" s="166"/>
      <c r="M184" s="281" t="s">
        <v>171</v>
      </c>
      <c r="N184" s="282" t="s">
        <v>185</v>
      </c>
      <c r="O184" s="283">
        <v>0.42</v>
      </c>
      <c r="P184" s="283">
        <f t="shared" si="21"/>
        <v>4.2</v>
      </c>
      <c r="Q184" s="283">
        <v>0.119575</v>
      </c>
      <c r="R184" s="283">
        <f t="shared" si="22"/>
        <v>1.1957500000000001</v>
      </c>
      <c r="S184" s="283">
        <v>0</v>
      </c>
      <c r="T184" s="284">
        <f t="shared" si="23"/>
        <v>0</v>
      </c>
      <c r="AR184" s="285" t="s">
        <v>110</v>
      </c>
      <c r="AT184" s="285" t="s">
        <v>218</v>
      </c>
      <c r="AU184" s="285" t="s">
        <v>108</v>
      </c>
      <c r="AY184" s="153" t="s">
        <v>217</v>
      </c>
      <c r="BE184" s="286">
        <f t="shared" si="24"/>
        <v>0</v>
      </c>
      <c r="BF184" s="286">
        <f t="shared" si="25"/>
        <v>0</v>
      </c>
      <c r="BG184" s="286">
        <f t="shared" si="26"/>
        <v>0</v>
      </c>
      <c r="BH184" s="286">
        <f t="shared" si="27"/>
        <v>0</v>
      </c>
      <c r="BI184" s="286">
        <f t="shared" si="28"/>
        <v>0</v>
      </c>
      <c r="BJ184" s="153" t="s">
        <v>108</v>
      </c>
      <c r="BK184" s="286">
        <f t="shared" si="29"/>
        <v>0</v>
      </c>
      <c r="BL184" s="153" t="s">
        <v>110</v>
      </c>
      <c r="BM184" s="285" t="s">
        <v>836</v>
      </c>
    </row>
    <row r="185" spans="2:65" s="165" customFormat="1" ht="24.2" customHeight="1" x14ac:dyDescent="0.25">
      <c r="B185" s="166"/>
      <c r="C185" s="332" t="s">
        <v>589</v>
      </c>
      <c r="D185" s="332" t="s">
        <v>218</v>
      </c>
      <c r="E185" s="333" t="s">
        <v>837</v>
      </c>
      <c r="F185" s="334" t="s">
        <v>838</v>
      </c>
      <c r="G185" s="335" t="s">
        <v>123</v>
      </c>
      <c r="H185" s="336">
        <v>10</v>
      </c>
      <c r="I185" s="329">
        <v>0</v>
      </c>
      <c r="J185" s="337">
        <f t="shared" si="20"/>
        <v>0</v>
      </c>
      <c r="K185" s="338"/>
      <c r="L185" s="166"/>
      <c r="M185" s="281" t="s">
        <v>171</v>
      </c>
      <c r="N185" s="282" t="s">
        <v>185</v>
      </c>
      <c r="O185" s="283">
        <v>0.746</v>
      </c>
      <c r="P185" s="283">
        <f t="shared" si="21"/>
        <v>7.46</v>
      </c>
      <c r="Q185" s="283">
        <v>0.22133</v>
      </c>
      <c r="R185" s="283">
        <f t="shared" si="22"/>
        <v>2.2132999999999998</v>
      </c>
      <c r="S185" s="283">
        <v>0</v>
      </c>
      <c r="T185" s="284">
        <f t="shared" si="23"/>
        <v>0</v>
      </c>
      <c r="AR185" s="285" t="s">
        <v>110</v>
      </c>
      <c r="AT185" s="285" t="s">
        <v>218</v>
      </c>
      <c r="AU185" s="285" t="s">
        <v>108</v>
      </c>
      <c r="AY185" s="153" t="s">
        <v>217</v>
      </c>
      <c r="BE185" s="286">
        <f t="shared" si="24"/>
        <v>0</v>
      </c>
      <c r="BF185" s="286">
        <f t="shared" si="25"/>
        <v>0</v>
      </c>
      <c r="BG185" s="286">
        <f t="shared" si="26"/>
        <v>0</v>
      </c>
      <c r="BH185" s="286">
        <f t="shared" si="27"/>
        <v>0</v>
      </c>
      <c r="BI185" s="286">
        <f t="shared" si="28"/>
        <v>0</v>
      </c>
      <c r="BJ185" s="153" t="s">
        <v>108</v>
      </c>
      <c r="BK185" s="286">
        <f t="shared" si="29"/>
        <v>0</v>
      </c>
      <c r="BL185" s="153" t="s">
        <v>110</v>
      </c>
      <c r="BM185" s="285" t="s">
        <v>839</v>
      </c>
    </row>
    <row r="186" spans="2:65" s="165" customFormat="1" ht="16.5" customHeight="1" x14ac:dyDescent="0.25">
      <c r="B186" s="166"/>
      <c r="C186" s="339" t="s">
        <v>593</v>
      </c>
      <c r="D186" s="339" t="s">
        <v>259</v>
      </c>
      <c r="E186" s="340" t="s">
        <v>268</v>
      </c>
      <c r="F186" s="341" t="s">
        <v>840</v>
      </c>
      <c r="G186" s="342" t="s">
        <v>123</v>
      </c>
      <c r="H186" s="343">
        <v>10</v>
      </c>
      <c r="I186" s="330">
        <v>0</v>
      </c>
      <c r="J186" s="344">
        <f t="shared" si="20"/>
        <v>0</v>
      </c>
      <c r="K186" s="345"/>
      <c r="L186" s="287"/>
      <c r="M186" s="288" t="s">
        <v>171</v>
      </c>
      <c r="N186" s="289" t="s">
        <v>185</v>
      </c>
      <c r="O186" s="283">
        <v>0</v>
      </c>
      <c r="P186" s="283">
        <f t="shared" si="21"/>
        <v>0</v>
      </c>
      <c r="Q186" s="283">
        <v>1.4E-3</v>
      </c>
      <c r="R186" s="283">
        <f t="shared" si="22"/>
        <v>1.4E-2</v>
      </c>
      <c r="S186" s="283">
        <v>0</v>
      </c>
      <c r="T186" s="284">
        <f t="shared" si="23"/>
        <v>0</v>
      </c>
      <c r="AR186" s="285" t="s">
        <v>115</v>
      </c>
      <c r="AT186" s="285" t="s">
        <v>259</v>
      </c>
      <c r="AU186" s="285" t="s">
        <v>108</v>
      </c>
      <c r="AY186" s="153" t="s">
        <v>217</v>
      </c>
      <c r="BE186" s="286">
        <f t="shared" si="24"/>
        <v>0</v>
      </c>
      <c r="BF186" s="286">
        <f t="shared" si="25"/>
        <v>0</v>
      </c>
      <c r="BG186" s="286">
        <f t="shared" si="26"/>
        <v>0</v>
      </c>
      <c r="BH186" s="286">
        <f t="shared" si="27"/>
        <v>0</v>
      </c>
      <c r="BI186" s="286">
        <f t="shared" si="28"/>
        <v>0</v>
      </c>
      <c r="BJ186" s="153" t="s">
        <v>108</v>
      </c>
      <c r="BK186" s="286">
        <f t="shared" si="29"/>
        <v>0</v>
      </c>
      <c r="BL186" s="153" t="s">
        <v>110</v>
      </c>
      <c r="BM186" s="285" t="s">
        <v>841</v>
      </c>
    </row>
    <row r="187" spans="2:65" s="165" customFormat="1" ht="24.2" customHeight="1" x14ac:dyDescent="0.25">
      <c r="B187" s="166"/>
      <c r="C187" s="339" t="s">
        <v>597</v>
      </c>
      <c r="D187" s="339" t="s">
        <v>259</v>
      </c>
      <c r="E187" s="340" t="s">
        <v>842</v>
      </c>
      <c r="F187" s="341" t="s">
        <v>843</v>
      </c>
      <c r="G187" s="342" t="s">
        <v>123</v>
      </c>
      <c r="H187" s="343">
        <v>10</v>
      </c>
      <c r="I187" s="330">
        <v>0</v>
      </c>
      <c r="J187" s="344">
        <f t="shared" si="20"/>
        <v>0</v>
      </c>
      <c r="K187" s="345"/>
      <c r="L187" s="287"/>
      <c r="M187" s="288" t="s">
        <v>171</v>
      </c>
      <c r="N187" s="289" t="s">
        <v>185</v>
      </c>
      <c r="O187" s="283">
        <v>0</v>
      </c>
      <c r="P187" s="283">
        <f t="shared" si="21"/>
        <v>0</v>
      </c>
      <c r="Q187" s="283">
        <v>9.3000000000000005E-4</v>
      </c>
      <c r="R187" s="283">
        <f t="shared" si="22"/>
        <v>9.300000000000001E-3</v>
      </c>
      <c r="S187" s="283">
        <v>0</v>
      </c>
      <c r="T187" s="284">
        <f t="shared" si="23"/>
        <v>0</v>
      </c>
      <c r="AR187" s="285" t="s">
        <v>115</v>
      </c>
      <c r="AT187" s="285" t="s">
        <v>259</v>
      </c>
      <c r="AU187" s="285" t="s">
        <v>108</v>
      </c>
      <c r="AY187" s="153" t="s">
        <v>217</v>
      </c>
      <c r="BE187" s="286">
        <f t="shared" si="24"/>
        <v>0</v>
      </c>
      <c r="BF187" s="286">
        <f t="shared" si="25"/>
        <v>0</v>
      </c>
      <c r="BG187" s="286">
        <f t="shared" si="26"/>
        <v>0</v>
      </c>
      <c r="BH187" s="286">
        <f t="shared" si="27"/>
        <v>0</v>
      </c>
      <c r="BI187" s="286">
        <f t="shared" si="28"/>
        <v>0</v>
      </c>
      <c r="BJ187" s="153" t="s">
        <v>108</v>
      </c>
      <c r="BK187" s="286">
        <f t="shared" si="29"/>
        <v>0</v>
      </c>
      <c r="BL187" s="153" t="s">
        <v>110</v>
      </c>
      <c r="BM187" s="285" t="s">
        <v>844</v>
      </c>
    </row>
    <row r="188" spans="2:65" s="165" customFormat="1" ht="16.5" customHeight="1" x14ac:dyDescent="0.25">
      <c r="B188" s="166"/>
      <c r="C188" s="332" t="s">
        <v>601</v>
      </c>
      <c r="D188" s="332" t="s">
        <v>218</v>
      </c>
      <c r="E188" s="333" t="s">
        <v>845</v>
      </c>
      <c r="F188" s="334" t="s">
        <v>846</v>
      </c>
      <c r="G188" s="335" t="s">
        <v>123</v>
      </c>
      <c r="H188" s="336">
        <v>20</v>
      </c>
      <c r="I188" s="329">
        <v>0</v>
      </c>
      <c r="J188" s="337">
        <f t="shared" si="20"/>
        <v>0</v>
      </c>
      <c r="K188" s="338"/>
      <c r="L188" s="166"/>
      <c r="M188" s="281" t="s">
        <v>171</v>
      </c>
      <c r="N188" s="282" t="s">
        <v>185</v>
      </c>
      <c r="O188" s="283">
        <v>1.1759999999999999</v>
      </c>
      <c r="P188" s="283">
        <f t="shared" si="21"/>
        <v>23.52</v>
      </c>
      <c r="Q188" s="283">
        <v>0</v>
      </c>
      <c r="R188" s="283">
        <f t="shared" si="22"/>
        <v>0</v>
      </c>
      <c r="S188" s="283">
        <v>0</v>
      </c>
      <c r="T188" s="284">
        <f t="shared" si="23"/>
        <v>0</v>
      </c>
      <c r="AR188" s="285" t="s">
        <v>110</v>
      </c>
      <c r="AT188" s="285" t="s">
        <v>218</v>
      </c>
      <c r="AU188" s="285" t="s">
        <v>108</v>
      </c>
      <c r="AY188" s="153" t="s">
        <v>217</v>
      </c>
      <c r="BE188" s="286">
        <f t="shared" si="24"/>
        <v>0</v>
      </c>
      <c r="BF188" s="286">
        <f t="shared" si="25"/>
        <v>0</v>
      </c>
      <c r="BG188" s="286">
        <f t="shared" si="26"/>
        <v>0</v>
      </c>
      <c r="BH188" s="286">
        <f t="shared" si="27"/>
        <v>0</v>
      </c>
      <c r="BI188" s="286">
        <f t="shared" si="28"/>
        <v>0</v>
      </c>
      <c r="BJ188" s="153" t="s">
        <v>108</v>
      </c>
      <c r="BK188" s="286">
        <f t="shared" si="29"/>
        <v>0</v>
      </c>
      <c r="BL188" s="153" t="s">
        <v>110</v>
      </c>
      <c r="BM188" s="285" t="s">
        <v>847</v>
      </c>
    </row>
    <row r="189" spans="2:65" s="165" customFormat="1" ht="24.2" customHeight="1" x14ac:dyDescent="0.25">
      <c r="B189" s="166"/>
      <c r="C189" s="332" t="s">
        <v>605</v>
      </c>
      <c r="D189" s="332" t="s">
        <v>218</v>
      </c>
      <c r="E189" s="333" t="s">
        <v>848</v>
      </c>
      <c r="F189" s="334" t="s">
        <v>849</v>
      </c>
      <c r="G189" s="335" t="s">
        <v>123</v>
      </c>
      <c r="H189" s="336">
        <v>175</v>
      </c>
      <c r="I189" s="329">
        <v>0</v>
      </c>
      <c r="J189" s="337">
        <f t="shared" si="20"/>
        <v>0</v>
      </c>
      <c r="K189" s="338"/>
      <c r="L189" s="166"/>
      <c r="M189" s="281" t="s">
        <v>171</v>
      </c>
      <c r="N189" s="282" t="s">
        <v>185</v>
      </c>
      <c r="O189" s="283">
        <v>0.06</v>
      </c>
      <c r="P189" s="283">
        <f t="shared" si="21"/>
        <v>10.5</v>
      </c>
      <c r="Q189" s="283">
        <v>0</v>
      </c>
      <c r="R189" s="283">
        <f t="shared" si="22"/>
        <v>0</v>
      </c>
      <c r="S189" s="283">
        <v>0</v>
      </c>
      <c r="T189" s="284">
        <f t="shared" si="23"/>
        <v>0</v>
      </c>
      <c r="AR189" s="285" t="s">
        <v>110</v>
      </c>
      <c r="AT189" s="285" t="s">
        <v>218</v>
      </c>
      <c r="AU189" s="285" t="s">
        <v>108</v>
      </c>
      <c r="AY189" s="153" t="s">
        <v>217</v>
      </c>
      <c r="BE189" s="286">
        <f t="shared" si="24"/>
        <v>0</v>
      </c>
      <c r="BF189" s="286">
        <f t="shared" si="25"/>
        <v>0</v>
      </c>
      <c r="BG189" s="286">
        <f t="shared" si="26"/>
        <v>0</v>
      </c>
      <c r="BH189" s="286">
        <f t="shared" si="27"/>
        <v>0</v>
      </c>
      <c r="BI189" s="286">
        <f t="shared" si="28"/>
        <v>0</v>
      </c>
      <c r="BJ189" s="153" t="s">
        <v>108</v>
      </c>
      <c r="BK189" s="286">
        <f t="shared" si="29"/>
        <v>0</v>
      </c>
      <c r="BL189" s="153" t="s">
        <v>110</v>
      </c>
      <c r="BM189" s="285" t="s">
        <v>850</v>
      </c>
    </row>
    <row r="190" spans="2:65" s="165" customFormat="1" ht="33" customHeight="1" x14ac:dyDescent="0.25">
      <c r="B190" s="166"/>
      <c r="C190" s="339" t="s">
        <v>609</v>
      </c>
      <c r="D190" s="339" t="s">
        <v>259</v>
      </c>
      <c r="E190" s="340" t="s">
        <v>851</v>
      </c>
      <c r="F190" s="341" t="s">
        <v>852</v>
      </c>
      <c r="G190" s="342" t="s">
        <v>123</v>
      </c>
      <c r="H190" s="343">
        <v>8100</v>
      </c>
      <c r="I190" s="330">
        <v>0</v>
      </c>
      <c r="J190" s="344">
        <f t="shared" si="20"/>
        <v>0</v>
      </c>
      <c r="K190" s="345"/>
      <c r="L190" s="287"/>
      <c r="M190" s="288" t="s">
        <v>171</v>
      </c>
      <c r="N190" s="289" t="s">
        <v>185</v>
      </c>
      <c r="O190" s="283">
        <v>0</v>
      </c>
      <c r="P190" s="283">
        <f t="shared" si="21"/>
        <v>0</v>
      </c>
      <c r="Q190" s="283">
        <v>1.14E-2</v>
      </c>
      <c r="R190" s="283">
        <f t="shared" si="22"/>
        <v>92.34</v>
      </c>
      <c r="S190" s="283">
        <v>0</v>
      </c>
      <c r="T190" s="284">
        <f t="shared" si="23"/>
        <v>0</v>
      </c>
      <c r="AR190" s="285" t="s">
        <v>115</v>
      </c>
      <c r="AT190" s="285" t="s">
        <v>259</v>
      </c>
      <c r="AU190" s="285" t="s">
        <v>108</v>
      </c>
      <c r="AY190" s="153" t="s">
        <v>217</v>
      </c>
      <c r="BE190" s="286">
        <f t="shared" si="24"/>
        <v>0</v>
      </c>
      <c r="BF190" s="286">
        <f t="shared" si="25"/>
        <v>0</v>
      </c>
      <c r="BG190" s="286">
        <f t="shared" si="26"/>
        <v>0</v>
      </c>
      <c r="BH190" s="286">
        <f t="shared" si="27"/>
        <v>0</v>
      </c>
      <c r="BI190" s="286">
        <f t="shared" si="28"/>
        <v>0</v>
      </c>
      <c r="BJ190" s="153" t="s">
        <v>108</v>
      </c>
      <c r="BK190" s="286">
        <f t="shared" si="29"/>
        <v>0</v>
      </c>
      <c r="BL190" s="153" t="s">
        <v>110</v>
      </c>
      <c r="BM190" s="285" t="s">
        <v>853</v>
      </c>
    </row>
    <row r="191" spans="2:65" s="165" customFormat="1" ht="37.9" customHeight="1" x14ac:dyDescent="0.25">
      <c r="B191" s="166"/>
      <c r="C191" s="332" t="s">
        <v>613</v>
      </c>
      <c r="D191" s="332" t="s">
        <v>218</v>
      </c>
      <c r="E191" s="333" t="s">
        <v>854</v>
      </c>
      <c r="F191" s="334" t="s">
        <v>855</v>
      </c>
      <c r="G191" s="335" t="s">
        <v>113</v>
      </c>
      <c r="H191" s="336">
        <v>1355</v>
      </c>
      <c r="I191" s="329">
        <v>0</v>
      </c>
      <c r="J191" s="337">
        <f t="shared" si="20"/>
        <v>0</v>
      </c>
      <c r="K191" s="338"/>
      <c r="L191" s="166"/>
      <c r="M191" s="281" t="s">
        <v>171</v>
      </c>
      <c r="N191" s="282" t="s">
        <v>185</v>
      </c>
      <c r="O191" s="283">
        <v>2.1999999999999999E-2</v>
      </c>
      <c r="P191" s="283">
        <f t="shared" si="21"/>
        <v>29.81</v>
      </c>
      <c r="Q191" s="283">
        <v>1.0119999999999999E-4</v>
      </c>
      <c r="R191" s="283">
        <f t="shared" si="22"/>
        <v>0.137126</v>
      </c>
      <c r="S191" s="283">
        <v>0</v>
      </c>
      <c r="T191" s="284">
        <f t="shared" si="23"/>
        <v>0</v>
      </c>
      <c r="AR191" s="285" t="s">
        <v>110</v>
      </c>
      <c r="AT191" s="285" t="s">
        <v>218</v>
      </c>
      <c r="AU191" s="285" t="s">
        <v>108</v>
      </c>
      <c r="AY191" s="153" t="s">
        <v>217</v>
      </c>
      <c r="BE191" s="286">
        <f t="shared" si="24"/>
        <v>0</v>
      </c>
      <c r="BF191" s="286">
        <f t="shared" si="25"/>
        <v>0</v>
      </c>
      <c r="BG191" s="286">
        <f t="shared" si="26"/>
        <v>0</v>
      </c>
      <c r="BH191" s="286">
        <f t="shared" si="27"/>
        <v>0</v>
      </c>
      <c r="BI191" s="286">
        <f t="shared" si="28"/>
        <v>0</v>
      </c>
      <c r="BJ191" s="153" t="s">
        <v>108</v>
      </c>
      <c r="BK191" s="286">
        <f t="shared" si="29"/>
        <v>0</v>
      </c>
      <c r="BL191" s="153" t="s">
        <v>110</v>
      </c>
      <c r="BM191" s="285" t="s">
        <v>856</v>
      </c>
    </row>
    <row r="192" spans="2:65" s="165" customFormat="1" ht="44.25" customHeight="1" x14ac:dyDescent="0.25">
      <c r="B192" s="166"/>
      <c r="C192" s="332" t="s">
        <v>617</v>
      </c>
      <c r="D192" s="332" t="s">
        <v>218</v>
      </c>
      <c r="E192" s="333" t="s">
        <v>857</v>
      </c>
      <c r="F192" s="334" t="s">
        <v>858</v>
      </c>
      <c r="G192" s="335" t="s">
        <v>113</v>
      </c>
      <c r="H192" s="336">
        <v>1210</v>
      </c>
      <c r="I192" s="329">
        <v>0</v>
      </c>
      <c r="J192" s="337">
        <f t="shared" si="20"/>
        <v>0</v>
      </c>
      <c r="K192" s="338"/>
      <c r="L192" s="166"/>
      <c r="M192" s="281" t="s">
        <v>171</v>
      </c>
      <c r="N192" s="282" t="s">
        <v>185</v>
      </c>
      <c r="O192" s="283">
        <v>2.1999999999999999E-2</v>
      </c>
      <c r="P192" s="283">
        <f t="shared" si="21"/>
        <v>26.619999999999997</v>
      </c>
      <c r="Q192" s="283">
        <v>1E-4</v>
      </c>
      <c r="R192" s="283">
        <f t="shared" si="22"/>
        <v>0.12100000000000001</v>
      </c>
      <c r="S192" s="283">
        <v>0</v>
      </c>
      <c r="T192" s="284">
        <f t="shared" si="23"/>
        <v>0</v>
      </c>
      <c r="AR192" s="285" t="s">
        <v>110</v>
      </c>
      <c r="AT192" s="285" t="s">
        <v>218</v>
      </c>
      <c r="AU192" s="285" t="s">
        <v>108</v>
      </c>
      <c r="AY192" s="153" t="s">
        <v>217</v>
      </c>
      <c r="BE192" s="286">
        <f t="shared" si="24"/>
        <v>0</v>
      </c>
      <c r="BF192" s="286">
        <f t="shared" si="25"/>
        <v>0</v>
      </c>
      <c r="BG192" s="286">
        <f t="shared" si="26"/>
        <v>0</v>
      </c>
      <c r="BH192" s="286">
        <f t="shared" si="27"/>
        <v>0</v>
      </c>
      <c r="BI192" s="286">
        <f t="shared" si="28"/>
        <v>0</v>
      </c>
      <c r="BJ192" s="153" t="s">
        <v>108</v>
      </c>
      <c r="BK192" s="286">
        <f t="shared" si="29"/>
        <v>0</v>
      </c>
      <c r="BL192" s="153" t="s">
        <v>110</v>
      </c>
      <c r="BM192" s="285" t="s">
        <v>859</v>
      </c>
    </row>
    <row r="193" spans="2:65" s="165" customFormat="1" ht="37.9" customHeight="1" x14ac:dyDescent="0.25">
      <c r="B193" s="166"/>
      <c r="C193" s="332" t="s">
        <v>621</v>
      </c>
      <c r="D193" s="332" t="s">
        <v>218</v>
      </c>
      <c r="E193" s="333" t="s">
        <v>860</v>
      </c>
      <c r="F193" s="334" t="s">
        <v>861</v>
      </c>
      <c r="G193" s="335" t="s">
        <v>113</v>
      </c>
      <c r="H193" s="336">
        <v>2100</v>
      </c>
      <c r="I193" s="329">
        <v>0</v>
      </c>
      <c r="J193" s="337">
        <f t="shared" si="20"/>
        <v>0</v>
      </c>
      <c r="K193" s="338"/>
      <c r="L193" s="166"/>
      <c r="M193" s="281" t="s">
        <v>171</v>
      </c>
      <c r="N193" s="282" t="s">
        <v>185</v>
      </c>
      <c r="O193" s="283">
        <v>2.5000000000000001E-2</v>
      </c>
      <c r="P193" s="283">
        <f t="shared" si="21"/>
        <v>52.5</v>
      </c>
      <c r="Q193" s="283">
        <v>1.1752E-4</v>
      </c>
      <c r="R193" s="283">
        <f t="shared" si="22"/>
        <v>0.24679200000000001</v>
      </c>
      <c r="S193" s="283">
        <v>0</v>
      </c>
      <c r="T193" s="284">
        <f t="shared" si="23"/>
        <v>0</v>
      </c>
      <c r="AR193" s="285" t="s">
        <v>110</v>
      </c>
      <c r="AT193" s="285" t="s">
        <v>218</v>
      </c>
      <c r="AU193" s="285" t="s">
        <v>108</v>
      </c>
      <c r="AY193" s="153" t="s">
        <v>217</v>
      </c>
      <c r="BE193" s="286">
        <f t="shared" si="24"/>
        <v>0</v>
      </c>
      <c r="BF193" s="286">
        <f t="shared" si="25"/>
        <v>0</v>
      </c>
      <c r="BG193" s="286">
        <f t="shared" si="26"/>
        <v>0</v>
      </c>
      <c r="BH193" s="286">
        <f t="shared" si="27"/>
        <v>0</v>
      </c>
      <c r="BI193" s="286">
        <f t="shared" si="28"/>
        <v>0</v>
      </c>
      <c r="BJ193" s="153" t="s">
        <v>108</v>
      </c>
      <c r="BK193" s="286">
        <f t="shared" si="29"/>
        <v>0</v>
      </c>
      <c r="BL193" s="153" t="s">
        <v>110</v>
      </c>
      <c r="BM193" s="285" t="s">
        <v>862</v>
      </c>
    </row>
    <row r="194" spans="2:65" s="165" customFormat="1" ht="37.9" customHeight="1" x14ac:dyDescent="0.25">
      <c r="B194" s="166"/>
      <c r="C194" s="332" t="s">
        <v>625</v>
      </c>
      <c r="D194" s="332" t="s">
        <v>218</v>
      </c>
      <c r="E194" s="333" t="s">
        <v>863</v>
      </c>
      <c r="F194" s="334" t="s">
        <v>864</v>
      </c>
      <c r="G194" s="335" t="s">
        <v>113</v>
      </c>
      <c r="H194" s="336">
        <v>33</v>
      </c>
      <c r="I194" s="329">
        <v>0</v>
      </c>
      <c r="J194" s="337">
        <f t="shared" si="20"/>
        <v>0</v>
      </c>
      <c r="K194" s="338"/>
      <c r="L194" s="166"/>
      <c r="M194" s="281" t="s">
        <v>171</v>
      </c>
      <c r="N194" s="282" t="s">
        <v>185</v>
      </c>
      <c r="O194" s="283">
        <v>2.8000000000000001E-2</v>
      </c>
      <c r="P194" s="283">
        <f t="shared" si="21"/>
        <v>0.92400000000000004</v>
      </c>
      <c r="Q194" s="283">
        <v>2.4509E-4</v>
      </c>
      <c r="R194" s="283">
        <f t="shared" si="22"/>
        <v>8.0879699999999999E-3</v>
      </c>
      <c r="S194" s="283">
        <v>0</v>
      </c>
      <c r="T194" s="284">
        <f t="shared" si="23"/>
        <v>0</v>
      </c>
      <c r="AR194" s="285" t="s">
        <v>110</v>
      </c>
      <c r="AT194" s="285" t="s">
        <v>218</v>
      </c>
      <c r="AU194" s="285" t="s">
        <v>108</v>
      </c>
      <c r="AY194" s="153" t="s">
        <v>217</v>
      </c>
      <c r="BE194" s="286">
        <f t="shared" si="24"/>
        <v>0</v>
      </c>
      <c r="BF194" s="286">
        <f t="shared" si="25"/>
        <v>0</v>
      </c>
      <c r="BG194" s="286">
        <f t="shared" si="26"/>
        <v>0</v>
      </c>
      <c r="BH194" s="286">
        <f t="shared" si="27"/>
        <v>0</v>
      </c>
      <c r="BI194" s="286">
        <f t="shared" si="28"/>
        <v>0</v>
      </c>
      <c r="BJ194" s="153" t="s">
        <v>108</v>
      </c>
      <c r="BK194" s="286">
        <f t="shared" si="29"/>
        <v>0</v>
      </c>
      <c r="BL194" s="153" t="s">
        <v>110</v>
      </c>
      <c r="BM194" s="285" t="s">
        <v>865</v>
      </c>
    </row>
    <row r="195" spans="2:65" s="165" customFormat="1" ht="37.9" customHeight="1" x14ac:dyDescent="0.25">
      <c r="B195" s="166"/>
      <c r="C195" s="332" t="s">
        <v>629</v>
      </c>
      <c r="D195" s="332" t="s">
        <v>218</v>
      </c>
      <c r="E195" s="333" t="s">
        <v>866</v>
      </c>
      <c r="F195" s="334" t="s">
        <v>867</v>
      </c>
      <c r="G195" s="335" t="s">
        <v>111</v>
      </c>
      <c r="H195" s="336">
        <v>95</v>
      </c>
      <c r="I195" s="329">
        <v>0</v>
      </c>
      <c r="J195" s="337">
        <f t="shared" si="20"/>
        <v>0</v>
      </c>
      <c r="K195" s="338"/>
      <c r="L195" s="166"/>
      <c r="M195" s="281" t="s">
        <v>171</v>
      </c>
      <c r="N195" s="282" t="s">
        <v>185</v>
      </c>
      <c r="O195" s="283">
        <v>0.48</v>
      </c>
      <c r="P195" s="283">
        <f t="shared" si="21"/>
        <v>45.6</v>
      </c>
      <c r="Q195" s="283">
        <v>8.9999999999999998E-4</v>
      </c>
      <c r="R195" s="283">
        <f t="shared" si="22"/>
        <v>8.5499999999999993E-2</v>
      </c>
      <c r="S195" s="283">
        <v>0</v>
      </c>
      <c r="T195" s="284">
        <f t="shared" si="23"/>
        <v>0</v>
      </c>
      <c r="AR195" s="285" t="s">
        <v>110</v>
      </c>
      <c r="AT195" s="285" t="s">
        <v>218</v>
      </c>
      <c r="AU195" s="285" t="s">
        <v>108</v>
      </c>
      <c r="AY195" s="153" t="s">
        <v>217</v>
      </c>
      <c r="BE195" s="286">
        <f t="shared" si="24"/>
        <v>0</v>
      </c>
      <c r="BF195" s="286">
        <f t="shared" si="25"/>
        <v>0</v>
      </c>
      <c r="BG195" s="286">
        <f t="shared" si="26"/>
        <v>0</v>
      </c>
      <c r="BH195" s="286">
        <f t="shared" si="27"/>
        <v>0</v>
      </c>
      <c r="BI195" s="286">
        <f t="shared" si="28"/>
        <v>0</v>
      </c>
      <c r="BJ195" s="153" t="s">
        <v>108</v>
      </c>
      <c r="BK195" s="286">
        <f t="shared" si="29"/>
        <v>0</v>
      </c>
      <c r="BL195" s="153" t="s">
        <v>110</v>
      </c>
      <c r="BM195" s="285" t="s">
        <v>868</v>
      </c>
    </row>
    <row r="196" spans="2:65" s="165" customFormat="1" ht="24.2" customHeight="1" x14ac:dyDescent="0.25">
      <c r="B196" s="166"/>
      <c r="C196" s="332" t="s">
        <v>634</v>
      </c>
      <c r="D196" s="332" t="s">
        <v>218</v>
      </c>
      <c r="E196" s="333" t="s">
        <v>869</v>
      </c>
      <c r="F196" s="334" t="s">
        <v>269</v>
      </c>
      <c r="G196" s="335" t="s">
        <v>113</v>
      </c>
      <c r="H196" s="336">
        <v>2598</v>
      </c>
      <c r="I196" s="329">
        <v>0</v>
      </c>
      <c r="J196" s="337">
        <f t="shared" si="20"/>
        <v>0</v>
      </c>
      <c r="K196" s="338"/>
      <c r="L196" s="166"/>
      <c r="M196" s="281" t="s">
        <v>171</v>
      </c>
      <c r="N196" s="282" t="s">
        <v>185</v>
      </c>
      <c r="O196" s="283">
        <v>1.4999999999999999E-2</v>
      </c>
      <c r="P196" s="283">
        <f t="shared" si="21"/>
        <v>38.97</v>
      </c>
      <c r="Q196" s="283">
        <v>3.7500000000000001E-6</v>
      </c>
      <c r="R196" s="283">
        <f t="shared" si="22"/>
        <v>9.7424999999999994E-3</v>
      </c>
      <c r="S196" s="283">
        <v>0</v>
      </c>
      <c r="T196" s="284">
        <f t="shared" si="23"/>
        <v>0</v>
      </c>
      <c r="AR196" s="285" t="s">
        <v>110</v>
      </c>
      <c r="AT196" s="285" t="s">
        <v>218</v>
      </c>
      <c r="AU196" s="285" t="s">
        <v>108</v>
      </c>
      <c r="AY196" s="153" t="s">
        <v>217</v>
      </c>
      <c r="BE196" s="286">
        <f t="shared" si="24"/>
        <v>0</v>
      </c>
      <c r="BF196" s="286">
        <f t="shared" si="25"/>
        <v>0</v>
      </c>
      <c r="BG196" s="286">
        <f t="shared" si="26"/>
        <v>0</v>
      </c>
      <c r="BH196" s="286">
        <f t="shared" si="27"/>
        <v>0</v>
      </c>
      <c r="BI196" s="286">
        <f t="shared" si="28"/>
        <v>0</v>
      </c>
      <c r="BJ196" s="153" t="s">
        <v>108</v>
      </c>
      <c r="BK196" s="286">
        <f t="shared" si="29"/>
        <v>0</v>
      </c>
      <c r="BL196" s="153" t="s">
        <v>110</v>
      </c>
      <c r="BM196" s="285" t="s">
        <v>870</v>
      </c>
    </row>
    <row r="197" spans="2:65" s="165" customFormat="1" ht="24.2" customHeight="1" x14ac:dyDescent="0.25">
      <c r="B197" s="166"/>
      <c r="C197" s="332" t="s">
        <v>637</v>
      </c>
      <c r="D197" s="332" t="s">
        <v>218</v>
      </c>
      <c r="E197" s="333" t="s">
        <v>871</v>
      </c>
      <c r="F197" s="334" t="s">
        <v>872</v>
      </c>
      <c r="G197" s="335" t="s">
        <v>111</v>
      </c>
      <c r="H197" s="336">
        <v>95</v>
      </c>
      <c r="I197" s="329">
        <v>0</v>
      </c>
      <c r="J197" s="337">
        <f t="shared" si="20"/>
        <v>0</v>
      </c>
      <c r="K197" s="338"/>
      <c r="L197" s="166"/>
      <c r="M197" s="281" t="s">
        <v>171</v>
      </c>
      <c r="N197" s="282" t="s">
        <v>185</v>
      </c>
      <c r="O197" s="283">
        <v>0.11899999999999999</v>
      </c>
      <c r="P197" s="283">
        <f t="shared" si="21"/>
        <v>11.305</v>
      </c>
      <c r="Q197" s="283">
        <v>9.3999999999999998E-6</v>
      </c>
      <c r="R197" s="283">
        <f t="shared" si="22"/>
        <v>8.9300000000000002E-4</v>
      </c>
      <c r="S197" s="283">
        <v>0</v>
      </c>
      <c r="T197" s="284">
        <f t="shared" si="23"/>
        <v>0</v>
      </c>
      <c r="AR197" s="285" t="s">
        <v>110</v>
      </c>
      <c r="AT197" s="285" t="s">
        <v>218</v>
      </c>
      <c r="AU197" s="285" t="s">
        <v>108</v>
      </c>
      <c r="AY197" s="153" t="s">
        <v>217</v>
      </c>
      <c r="BE197" s="286">
        <f t="shared" si="24"/>
        <v>0</v>
      </c>
      <c r="BF197" s="286">
        <f t="shared" si="25"/>
        <v>0</v>
      </c>
      <c r="BG197" s="286">
        <f t="shared" si="26"/>
        <v>0</v>
      </c>
      <c r="BH197" s="286">
        <f t="shared" si="27"/>
        <v>0</v>
      </c>
      <c r="BI197" s="286">
        <f t="shared" si="28"/>
        <v>0</v>
      </c>
      <c r="BJ197" s="153" t="s">
        <v>108</v>
      </c>
      <c r="BK197" s="286">
        <f t="shared" si="29"/>
        <v>0</v>
      </c>
      <c r="BL197" s="153" t="s">
        <v>110</v>
      </c>
      <c r="BM197" s="285" t="s">
        <v>873</v>
      </c>
    </row>
    <row r="198" spans="2:65" s="165" customFormat="1" ht="33" customHeight="1" x14ac:dyDescent="0.25">
      <c r="B198" s="166"/>
      <c r="C198" s="332" t="s">
        <v>640</v>
      </c>
      <c r="D198" s="332" t="s">
        <v>218</v>
      </c>
      <c r="E198" s="333" t="s">
        <v>874</v>
      </c>
      <c r="F198" s="334" t="s">
        <v>875</v>
      </c>
      <c r="G198" s="335" t="s">
        <v>113</v>
      </c>
      <c r="H198" s="336">
        <v>29</v>
      </c>
      <c r="I198" s="329">
        <v>0</v>
      </c>
      <c r="J198" s="337">
        <f t="shared" si="20"/>
        <v>0</v>
      </c>
      <c r="K198" s="338"/>
      <c r="L198" s="166"/>
      <c r="M198" s="281" t="s">
        <v>171</v>
      </c>
      <c r="N198" s="282" t="s">
        <v>185</v>
      </c>
      <c r="O198" s="283">
        <v>0.39400000000000002</v>
      </c>
      <c r="P198" s="283">
        <f t="shared" si="21"/>
        <v>11.426</v>
      </c>
      <c r="Q198" s="283">
        <v>0.19697571999999999</v>
      </c>
      <c r="R198" s="283">
        <f t="shared" si="22"/>
        <v>5.7122958800000001</v>
      </c>
      <c r="S198" s="283">
        <v>0</v>
      </c>
      <c r="T198" s="284">
        <f t="shared" si="23"/>
        <v>0</v>
      </c>
      <c r="AR198" s="285" t="s">
        <v>110</v>
      </c>
      <c r="AT198" s="285" t="s">
        <v>218</v>
      </c>
      <c r="AU198" s="285" t="s">
        <v>108</v>
      </c>
      <c r="AY198" s="153" t="s">
        <v>217</v>
      </c>
      <c r="BE198" s="286">
        <f t="shared" si="24"/>
        <v>0</v>
      </c>
      <c r="BF198" s="286">
        <f t="shared" si="25"/>
        <v>0</v>
      </c>
      <c r="BG198" s="286">
        <f t="shared" si="26"/>
        <v>0</v>
      </c>
      <c r="BH198" s="286">
        <f t="shared" si="27"/>
        <v>0</v>
      </c>
      <c r="BI198" s="286">
        <f t="shared" si="28"/>
        <v>0</v>
      </c>
      <c r="BJ198" s="153" t="s">
        <v>108</v>
      </c>
      <c r="BK198" s="286">
        <f t="shared" si="29"/>
        <v>0</v>
      </c>
      <c r="BL198" s="153" t="s">
        <v>110</v>
      </c>
      <c r="BM198" s="285" t="s">
        <v>876</v>
      </c>
    </row>
    <row r="199" spans="2:65" s="165" customFormat="1" ht="33" customHeight="1" x14ac:dyDescent="0.25">
      <c r="B199" s="166"/>
      <c r="C199" s="332" t="s">
        <v>644</v>
      </c>
      <c r="D199" s="332" t="s">
        <v>218</v>
      </c>
      <c r="E199" s="333" t="s">
        <v>877</v>
      </c>
      <c r="F199" s="334" t="s">
        <v>878</v>
      </c>
      <c r="G199" s="335" t="s">
        <v>113</v>
      </c>
      <c r="H199" s="336">
        <v>42</v>
      </c>
      <c r="I199" s="329">
        <v>0</v>
      </c>
      <c r="J199" s="337">
        <f t="shared" si="20"/>
        <v>0</v>
      </c>
      <c r="K199" s="338"/>
      <c r="L199" s="166"/>
      <c r="M199" s="281" t="s">
        <v>171</v>
      </c>
      <c r="N199" s="282" t="s">
        <v>185</v>
      </c>
      <c r="O199" s="283">
        <v>0.35</v>
      </c>
      <c r="P199" s="283">
        <f t="shared" si="21"/>
        <v>14.7</v>
      </c>
      <c r="Q199" s="283">
        <v>0.15112999999999999</v>
      </c>
      <c r="R199" s="283">
        <f t="shared" si="22"/>
        <v>6.3474599999999999</v>
      </c>
      <c r="S199" s="283">
        <v>0</v>
      </c>
      <c r="T199" s="284">
        <f t="shared" si="23"/>
        <v>0</v>
      </c>
      <c r="AR199" s="285" t="s">
        <v>110</v>
      </c>
      <c r="AT199" s="285" t="s">
        <v>218</v>
      </c>
      <c r="AU199" s="285" t="s">
        <v>108</v>
      </c>
      <c r="AY199" s="153" t="s">
        <v>217</v>
      </c>
      <c r="BE199" s="286">
        <f t="shared" si="24"/>
        <v>0</v>
      </c>
      <c r="BF199" s="286">
        <f t="shared" si="25"/>
        <v>0</v>
      </c>
      <c r="BG199" s="286">
        <f t="shared" si="26"/>
        <v>0</v>
      </c>
      <c r="BH199" s="286">
        <f t="shared" si="27"/>
        <v>0</v>
      </c>
      <c r="BI199" s="286">
        <f t="shared" si="28"/>
        <v>0</v>
      </c>
      <c r="BJ199" s="153" t="s">
        <v>108</v>
      </c>
      <c r="BK199" s="286">
        <f t="shared" si="29"/>
        <v>0</v>
      </c>
      <c r="BL199" s="153" t="s">
        <v>110</v>
      </c>
      <c r="BM199" s="285" t="s">
        <v>879</v>
      </c>
    </row>
    <row r="200" spans="2:65" s="165" customFormat="1" ht="16.5" customHeight="1" x14ac:dyDescent="0.25">
      <c r="B200" s="166"/>
      <c r="C200" s="339" t="s">
        <v>645</v>
      </c>
      <c r="D200" s="339" t="s">
        <v>259</v>
      </c>
      <c r="E200" s="340" t="s">
        <v>880</v>
      </c>
      <c r="F200" s="341" t="s">
        <v>881</v>
      </c>
      <c r="G200" s="342" t="s">
        <v>123</v>
      </c>
      <c r="H200" s="343">
        <v>42.42</v>
      </c>
      <c r="I200" s="330">
        <v>0</v>
      </c>
      <c r="J200" s="344">
        <f t="shared" si="20"/>
        <v>0</v>
      </c>
      <c r="K200" s="345"/>
      <c r="L200" s="287"/>
      <c r="M200" s="288" t="s">
        <v>171</v>
      </c>
      <c r="N200" s="289" t="s">
        <v>185</v>
      </c>
      <c r="O200" s="283">
        <v>0</v>
      </c>
      <c r="P200" s="283">
        <f t="shared" si="21"/>
        <v>0</v>
      </c>
      <c r="Q200" s="283">
        <v>8.5000000000000006E-2</v>
      </c>
      <c r="R200" s="283">
        <f t="shared" si="22"/>
        <v>3.6057000000000006</v>
      </c>
      <c r="S200" s="283">
        <v>0</v>
      </c>
      <c r="T200" s="284">
        <f t="shared" si="23"/>
        <v>0</v>
      </c>
      <c r="AR200" s="285" t="s">
        <v>115</v>
      </c>
      <c r="AT200" s="285" t="s">
        <v>259</v>
      </c>
      <c r="AU200" s="285" t="s">
        <v>108</v>
      </c>
      <c r="AY200" s="153" t="s">
        <v>217</v>
      </c>
      <c r="BE200" s="286">
        <f t="shared" si="24"/>
        <v>0</v>
      </c>
      <c r="BF200" s="286">
        <f t="shared" si="25"/>
        <v>0</v>
      </c>
      <c r="BG200" s="286">
        <f t="shared" si="26"/>
        <v>0</v>
      </c>
      <c r="BH200" s="286">
        <f t="shared" si="27"/>
        <v>0</v>
      </c>
      <c r="BI200" s="286">
        <f t="shared" si="28"/>
        <v>0</v>
      </c>
      <c r="BJ200" s="153" t="s">
        <v>108</v>
      </c>
      <c r="BK200" s="286">
        <f t="shared" si="29"/>
        <v>0</v>
      </c>
      <c r="BL200" s="153" t="s">
        <v>110</v>
      </c>
      <c r="BM200" s="285" t="s">
        <v>882</v>
      </c>
    </row>
    <row r="201" spans="2:65" s="165" customFormat="1" ht="33" customHeight="1" x14ac:dyDescent="0.25">
      <c r="B201" s="166"/>
      <c r="C201" s="332" t="s">
        <v>651</v>
      </c>
      <c r="D201" s="332" t="s">
        <v>218</v>
      </c>
      <c r="E201" s="333" t="s">
        <v>883</v>
      </c>
      <c r="F201" s="334" t="s">
        <v>270</v>
      </c>
      <c r="G201" s="335" t="s">
        <v>114</v>
      </c>
      <c r="H201" s="336">
        <v>297.39999999999998</v>
      </c>
      <c r="I201" s="329">
        <v>0</v>
      </c>
      <c r="J201" s="337">
        <f t="shared" si="20"/>
        <v>0</v>
      </c>
      <c r="K201" s="338"/>
      <c r="L201" s="166"/>
      <c r="M201" s="281" t="s">
        <v>171</v>
      </c>
      <c r="N201" s="282" t="s">
        <v>185</v>
      </c>
      <c r="O201" s="283">
        <v>1.363</v>
      </c>
      <c r="P201" s="283">
        <f t="shared" si="21"/>
        <v>405.35619999999994</v>
      </c>
      <c r="Q201" s="283">
        <v>2.2151320000000001</v>
      </c>
      <c r="R201" s="283">
        <f t="shared" si="22"/>
        <v>658.78025679999996</v>
      </c>
      <c r="S201" s="283">
        <v>0</v>
      </c>
      <c r="T201" s="284">
        <f t="shared" si="23"/>
        <v>0</v>
      </c>
      <c r="AR201" s="285" t="s">
        <v>110</v>
      </c>
      <c r="AT201" s="285" t="s">
        <v>218</v>
      </c>
      <c r="AU201" s="285" t="s">
        <v>108</v>
      </c>
      <c r="AY201" s="153" t="s">
        <v>217</v>
      </c>
      <c r="BE201" s="286">
        <f t="shared" si="24"/>
        <v>0</v>
      </c>
      <c r="BF201" s="286">
        <f t="shared" si="25"/>
        <v>0</v>
      </c>
      <c r="BG201" s="286">
        <f t="shared" si="26"/>
        <v>0</v>
      </c>
      <c r="BH201" s="286">
        <f t="shared" si="27"/>
        <v>0</v>
      </c>
      <c r="BI201" s="286">
        <f t="shared" si="28"/>
        <v>0</v>
      </c>
      <c r="BJ201" s="153" t="s">
        <v>108</v>
      </c>
      <c r="BK201" s="286">
        <f t="shared" si="29"/>
        <v>0</v>
      </c>
      <c r="BL201" s="153" t="s">
        <v>110</v>
      </c>
      <c r="BM201" s="285" t="s">
        <v>884</v>
      </c>
    </row>
    <row r="202" spans="2:65" s="165" customFormat="1" ht="16.5" customHeight="1" x14ac:dyDescent="0.25">
      <c r="B202" s="166"/>
      <c r="C202" s="332" t="s">
        <v>655</v>
      </c>
      <c r="D202" s="332" t="s">
        <v>218</v>
      </c>
      <c r="E202" s="333" t="s">
        <v>885</v>
      </c>
      <c r="F202" s="334" t="s">
        <v>886</v>
      </c>
      <c r="G202" s="335" t="s">
        <v>123</v>
      </c>
      <c r="H202" s="336">
        <v>860</v>
      </c>
      <c r="I202" s="329">
        <v>0</v>
      </c>
      <c r="J202" s="337">
        <f t="shared" si="20"/>
        <v>0</v>
      </c>
      <c r="K202" s="338"/>
      <c r="L202" s="166"/>
      <c r="M202" s="281" t="s">
        <v>171</v>
      </c>
      <c r="N202" s="282" t="s">
        <v>185</v>
      </c>
      <c r="O202" s="283">
        <v>8.5000000000000006E-2</v>
      </c>
      <c r="P202" s="283">
        <f t="shared" si="21"/>
        <v>73.100000000000009</v>
      </c>
      <c r="Q202" s="283">
        <v>2.0200000000000001E-3</v>
      </c>
      <c r="R202" s="283">
        <f t="shared" si="22"/>
        <v>1.7372000000000001</v>
      </c>
      <c r="S202" s="283">
        <v>0</v>
      </c>
      <c r="T202" s="284">
        <f t="shared" si="23"/>
        <v>0</v>
      </c>
      <c r="AR202" s="285" t="s">
        <v>110</v>
      </c>
      <c r="AT202" s="285" t="s">
        <v>218</v>
      </c>
      <c r="AU202" s="285" t="s">
        <v>108</v>
      </c>
      <c r="AY202" s="153" t="s">
        <v>217</v>
      </c>
      <c r="BE202" s="286">
        <f t="shared" si="24"/>
        <v>0</v>
      </c>
      <c r="BF202" s="286">
        <f t="shared" si="25"/>
        <v>0</v>
      </c>
      <c r="BG202" s="286">
        <f t="shared" si="26"/>
        <v>0</v>
      </c>
      <c r="BH202" s="286">
        <f t="shared" si="27"/>
        <v>0</v>
      </c>
      <c r="BI202" s="286">
        <f t="shared" si="28"/>
        <v>0</v>
      </c>
      <c r="BJ202" s="153" t="s">
        <v>108</v>
      </c>
      <c r="BK202" s="286">
        <f t="shared" si="29"/>
        <v>0</v>
      </c>
      <c r="BL202" s="153" t="s">
        <v>110</v>
      </c>
      <c r="BM202" s="285" t="s">
        <v>887</v>
      </c>
    </row>
    <row r="203" spans="2:65" s="165" customFormat="1" ht="24.2" customHeight="1" x14ac:dyDescent="0.25">
      <c r="B203" s="166"/>
      <c r="C203" s="339" t="s">
        <v>659</v>
      </c>
      <c r="D203" s="339" t="s">
        <v>259</v>
      </c>
      <c r="E203" s="340" t="s">
        <v>888</v>
      </c>
      <c r="F203" s="341" t="s">
        <v>889</v>
      </c>
      <c r="G203" s="342" t="s">
        <v>113</v>
      </c>
      <c r="H203" s="343">
        <v>1236</v>
      </c>
      <c r="I203" s="330">
        <v>0</v>
      </c>
      <c r="J203" s="344">
        <f t="shared" si="20"/>
        <v>0</v>
      </c>
      <c r="K203" s="345"/>
      <c r="L203" s="287"/>
      <c r="M203" s="288" t="s">
        <v>171</v>
      </c>
      <c r="N203" s="289" t="s">
        <v>185</v>
      </c>
      <c r="O203" s="283">
        <v>0</v>
      </c>
      <c r="P203" s="283">
        <f t="shared" si="21"/>
        <v>0</v>
      </c>
      <c r="Q203" s="283">
        <v>1.1999999999999999E-3</v>
      </c>
      <c r="R203" s="283">
        <f t="shared" si="22"/>
        <v>1.4831999999999999</v>
      </c>
      <c r="S203" s="283">
        <v>0</v>
      </c>
      <c r="T203" s="284">
        <f t="shared" si="23"/>
        <v>0</v>
      </c>
      <c r="AR203" s="285" t="s">
        <v>115</v>
      </c>
      <c r="AT203" s="285" t="s">
        <v>259</v>
      </c>
      <c r="AU203" s="285" t="s">
        <v>108</v>
      </c>
      <c r="AY203" s="153" t="s">
        <v>217</v>
      </c>
      <c r="BE203" s="286">
        <f t="shared" si="24"/>
        <v>0</v>
      </c>
      <c r="BF203" s="286">
        <f t="shared" si="25"/>
        <v>0</v>
      </c>
      <c r="BG203" s="286">
        <f t="shared" si="26"/>
        <v>0</v>
      </c>
      <c r="BH203" s="286">
        <f t="shared" si="27"/>
        <v>0</v>
      </c>
      <c r="BI203" s="286">
        <f t="shared" si="28"/>
        <v>0</v>
      </c>
      <c r="BJ203" s="153" t="s">
        <v>108</v>
      </c>
      <c r="BK203" s="286">
        <f t="shared" si="29"/>
        <v>0</v>
      </c>
      <c r="BL203" s="153" t="s">
        <v>110</v>
      </c>
      <c r="BM203" s="285" t="s">
        <v>890</v>
      </c>
    </row>
    <row r="204" spans="2:65" s="165" customFormat="1" ht="24.2" customHeight="1" x14ac:dyDescent="0.25">
      <c r="B204" s="166"/>
      <c r="C204" s="332" t="s">
        <v>664</v>
      </c>
      <c r="D204" s="332" t="s">
        <v>218</v>
      </c>
      <c r="E204" s="333" t="s">
        <v>891</v>
      </c>
      <c r="F204" s="334" t="s">
        <v>892</v>
      </c>
      <c r="G204" s="335" t="s">
        <v>113</v>
      </c>
      <c r="H204" s="336">
        <v>1150</v>
      </c>
      <c r="I204" s="329">
        <v>0</v>
      </c>
      <c r="J204" s="337">
        <f t="shared" si="20"/>
        <v>0</v>
      </c>
      <c r="K204" s="338"/>
      <c r="L204" s="166"/>
      <c r="M204" s="281" t="s">
        <v>171</v>
      </c>
      <c r="N204" s="282" t="s">
        <v>185</v>
      </c>
      <c r="O204" s="283">
        <v>0.65900999999999998</v>
      </c>
      <c r="P204" s="283">
        <f t="shared" si="21"/>
        <v>757.86149999999998</v>
      </c>
      <c r="Q204" s="283">
        <v>1.3920000000000001E-5</v>
      </c>
      <c r="R204" s="283">
        <f t="shared" si="22"/>
        <v>1.6008000000000001E-2</v>
      </c>
      <c r="S204" s="283">
        <v>0</v>
      </c>
      <c r="T204" s="284">
        <f t="shared" si="23"/>
        <v>0</v>
      </c>
      <c r="AR204" s="285" t="s">
        <v>110</v>
      </c>
      <c r="AT204" s="285" t="s">
        <v>218</v>
      </c>
      <c r="AU204" s="285" t="s">
        <v>108</v>
      </c>
      <c r="AY204" s="153" t="s">
        <v>217</v>
      </c>
      <c r="BE204" s="286">
        <f t="shared" si="24"/>
        <v>0</v>
      </c>
      <c r="BF204" s="286">
        <f t="shared" si="25"/>
        <v>0</v>
      </c>
      <c r="BG204" s="286">
        <f t="shared" si="26"/>
        <v>0</v>
      </c>
      <c r="BH204" s="286">
        <f t="shared" si="27"/>
        <v>0</v>
      </c>
      <c r="BI204" s="286">
        <f t="shared" si="28"/>
        <v>0</v>
      </c>
      <c r="BJ204" s="153" t="s">
        <v>108</v>
      </c>
      <c r="BK204" s="286">
        <f t="shared" si="29"/>
        <v>0</v>
      </c>
      <c r="BL204" s="153" t="s">
        <v>110</v>
      </c>
      <c r="BM204" s="285" t="s">
        <v>893</v>
      </c>
    </row>
    <row r="205" spans="2:65" s="165" customFormat="1" ht="24.2" customHeight="1" x14ac:dyDescent="0.25">
      <c r="B205" s="166"/>
      <c r="C205" s="332" t="s">
        <v>670</v>
      </c>
      <c r="D205" s="332" t="s">
        <v>218</v>
      </c>
      <c r="E205" s="333" t="s">
        <v>894</v>
      </c>
      <c r="F205" s="334" t="s">
        <v>895</v>
      </c>
      <c r="G205" s="335" t="s">
        <v>123</v>
      </c>
      <c r="H205" s="336">
        <v>2</v>
      </c>
      <c r="I205" s="329">
        <v>0</v>
      </c>
      <c r="J205" s="337">
        <f t="shared" si="20"/>
        <v>0</v>
      </c>
      <c r="K205" s="338"/>
      <c r="L205" s="166"/>
      <c r="M205" s="281" t="s">
        <v>171</v>
      </c>
      <c r="N205" s="282" t="s">
        <v>185</v>
      </c>
      <c r="O205" s="283">
        <v>0.70676000000000005</v>
      </c>
      <c r="P205" s="283">
        <f t="shared" si="21"/>
        <v>1.4135200000000001</v>
      </c>
      <c r="Q205" s="283">
        <v>0.23915</v>
      </c>
      <c r="R205" s="283">
        <f t="shared" si="22"/>
        <v>0.4783</v>
      </c>
      <c r="S205" s="283">
        <v>0</v>
      </c>
      <c r="T205" s="284">
        <f t="shared" si="23"/>
        <v>0</v>
      </c>
      <c r="AR205" s="285" t="s">
        <v>110</v>
      </c>
      <c r="AT205" s="285" t="s">
        <v>218</v>
      </c>
      <c r="AU205" s="285" t="s">
        <v>108</v>
      </c>
      <c r="AY205" s="153" t="s">
        <v>217</v>
      </c>
      <c r="BE205" s="286">
        <f t="shared" si="24"/>
        <v>0</v>
      </c>
      <c r="BF205" s="286">
        <f t="shared" si="25"/>
        <v>0</v>
      </c>
      <c r="BG205" s="286">
        <f t="shared" si="26"/>
        <v>0</v>
      </c>
      <c r="BH205" s="286">
        <f t="shared" si="27"/>
        <v>0</v>
      </c>
      <c r="BI205" s="286">
        <f t="shared" si="28"/>
        <v>0</v>
      </c>
      <c r="BJ205" s="153" t="s">
        <v>108</v>
      </c>
      <c r="BK205" s="286">
        <f t="shared" si="29"/>
        <v>0</v>
      </c>
      <c r="BL205" s="153" t="s">
        <v>110</v>
      </c>
      <c r="BM205" s="285" t="s">
        <v>896</v>
      </c>
    </row>
    <row r="206" spans="2:65" s="165" customFormat="1" ht="21.75" customHeight="1" x14ac:dyDescent="0.25">
      <c r="B206" s="166"/>
      <c r="C206" s="332" t="s">
        <v>674</v>
      </c>
      <c r="D206" s="332" t="s">
        <v>218</v>
      </c>
      <c r="E206" s="333" t="s">
        <v>897</v>
      </c>
      <c r="F206" s="334" t="s">
        <v>898</v>
      </c>
      <c r="G206" s="335" t="s">
        <v>113</v>
      </c>
      <c r="H206" s="336">
        <v>589</v>
      </c>
      <c r="I206" s="329">
        <v>0</v>
      </c>
      <c r="J206" s="337">
        <f t="shared" si="20"/>
        <v>0</v>
      </c>
      <c r="K206" s="338"/>
      <c r="L206" s="166"/>
      <c r="M206" s="281" t="s">
        <v>171</v>
      </c>
      <c r="N206" s="282" t="s">
        <v>185</v>
      </c>
      <c r="O206" s="283">
        <v>0.71809000000000001</v>
      </c>
      <c r="P206" s="283">
        <f t="shared" si="21"/>
        <v>422.95501000000002</v>
      </c>
      <c r="Q206" s="283">
        <v>8.7000000000000001E-5</v>
      </c>
      <c r="R206" s="283">
        <f t="shared" si="22"/>
        <v>5.1242999999999997E-2</v>
      </c>
      <c r="S206" s="283">
        <v>4.2000000000000003E-2</v>
      </c>
      <c r="T206" s="284">
        <f t="shared" si="23"/>
        <v>24.738000000000003</v>
      </c>
      <c r="AR206" s="285" t="s">
        <v>110</v>
      </c>
      <c r="AT206" s="285" t="s">
        <v>218</v>
      </c>
      <c r="AU206" s="285" t="s">
        <v>108</v>
      </c>
      <c r="AY206" s="153" t="s">
        <v>217</v>
      </c>
      <c r="BE206" s="286">
        <f t="shared" si="24"/>
        <v>0</v>
      </c>
      <c r="BF206" s="286">
        <f t="shared" si="25"/>
        <v>0</v>
      </c>
      <c r="BG206" s="286">
        <f t="shared" si="26"/>
        <v>0</v>
      </c>
      <c r="BH206" s="286">
        <f t="shared" si="27"/>
        <v>0</v>
      </c>
      <c r="BI206" s="286">
        <f t="shared" si="28"/>
        <v>0</v>
      </c>
      <c r="BJ206" s="153" t="s">
        <v>108</v>
      </c>
      <c r="BK206" s="286">
        <f t="shared" si="29"/>
        <v>0</v>
      </c>
      <c r="BL206" s="153" t="s">
        <v>110</v>
      </c>
      <c r="BM206" s="285" t="s">
        <v>899</v>
      </c>
    </row>
    <row r="207" spans="2:65" s="165" customFormat="1" ht="33" customHeight="1" x14ac:dyDescent="0.25">
      <c r="B207" s="166"/>
      <c r="C207" s="332" t="s">
        <v>678</v>
      </c>
      <c r="D207" s="332" t="s">
        <v>218</v>
      </c>
      <c r="E207" s="333" t="s">
        <v>900</v>
      </c>
      <c r="F207" s="334" t="s">
        <v>901</v>
      </c>
      <c r="G207" s="335" t="s">
        <v>123</v>
      </c>
      <c r="H207" s="336">
        <v>5</v>
      </c>
      <c r="I207" s="329">
        <v>0</v>
      </c>
      <c r="J207" s="337">
        <f t="shared" si="20"/>
        <v>0</v>
      </c>
      <c r="K207" s="338"/>
      <c r="L207" s="166"/>
      <c r="M207" s="281" t="s">
        <v>171</v>
      </c>
      <c r="N207" s="282" t="s">
        <v>185</v>
      </c>
      <c r="O207" s="283">
        <v>0.16500000000000001</v>
      </c>
      <c r="P207" s="283">
        <f t="shared" si="21"/>
        <v>0.82500000000000007</v>
      </c>
      <c r="Q207" s="283">
        <v>0</v>
      </c>
      <c r="R207" s="283">
        <f t="shared" si="22"/>
        <v>0</v>
      </c>
      <c r="S207" s="283">
        <v>4.0000000000000001E-3</v>
      </c>
      <c r="T207" s="284">
        <f t="shared" si="23"/>
        <v>0.02</v>
      </c>
      <c r="AR207" s="285" t="s">
        <v>110</v>
      </c>
      <c r="AT207" s="285" t="s">
        <v>218</v>
      </c>
      <c r="AU207" s="285" t="s">
        <v>108</v>
      </c>
      <c r="AY207" s="153" t="s">
        <v>217</v>
      </c>
      <c r="BE207" s="286">
        <f t="shared" si="24"/>
        <v>0</v>
      </c>
      <c r="BF207" s="286">
        <f t="shared" si="25"/>
        <v>0</v>
      </c>
      <c r="BG207" s="286">
        <f t="shared" si="26"/>
        <v>0</v>
      </c>
      <c r="BH207" s="286">
        <f t="shared" si="27"/>
        <v>0</v>
      </c>
      <c r="BI207" s="286">
        <f t="shared" si="28"/>
        <v>0</v>
      </c>
      <c r="BJ207" s="153" t="s">
        <v>108</v>
      </c>
      <c r="BK207" s="286">
        <f t="shared" si="29"/>
        <v>0</v>
      </c>
      <c r="BL207" s="153" t="s">
        <v>110</v>
      </c>
      <c r="BM207" s="285" t="s">
        <v>902</v>
      </c>
    </row>
    <row r="208" spans="2:65" s="165" customFormat="1" ht="24.2" customHeight="1" x14ac:dyDescent="0.25">
      <c r="B208" s="166"/>
      <c r="C208" s="332" t="s">
        <v>903</v>
      </c>
      <c r="D208" s="332" t="s">
        <v>218</v>
      </c>
      <c r="E208" s="333" t="s">
        <v>904</v>
      </c>
      <c r="F208" s="334" t="s">
        <v>905</v>
      </c>
      <c r="G208" s="335" t="s">
        <v>113</v>
      </c>
      <c r="H208" s="336">
        <v>45</v>
      </c>
      <c r="I208" s="329">
        <v>0</v>
      </c>
      <c r="J208" s="337">
        <f t="shared" si="20"/>
        <v>0</v>
      </c>
      <c r="K208" s="338"/>
      <c r="L208" s="166"/>
      <c r="M208" s="281" t="s">
        <v>171</v>
      </c>
      <c r="N208" s="282" t="s">
        <v>185</v>
      </c>
      <c r="O208" s="283">
        <v>0.45400000000000001</v>
      </c>
      <c r="P208" s="283">
        <f t="shared" si="21"/>
        <v>20.43</v>
      </c>
      <c r="Q208" s="283">
        <v>0</v>
      </c>
      <c r="R208" s="283">
        <f t="shared" si="22"/>
        <v>0</v>
      </c>
      <c r="S208" s="283">
        <v>0.01</v>
      </c>
      <c r="T208" s="284">
        <f t="shared" si="23"/>
        <v>0.45</v>
      </c>
      <c r="AR208" s="285" t="s">
        <v>110</v>
      </c>
      <c r="AT208" s="285" t="s">
        <v>218</v>
      </c>
      <c r="AU208" s="285" t="s">
        <v>108</v>
      </c>
      <c r="AY208" s="153" t="s">
        <v>217</v>
      </c>
      <c r="BE208" s="286">
        <f t="shared" si="24"/>
        <v>0</v>
      </c>
      <c r="BF208" s="286">
        <f t="shared" si="25"/>
        <v>0</v>
      </c>
      <c r="BG208" s="286">
        <f t="shared" si="26"/>
        <v>0</v>
      </c>
      <c r="BH208" s="286">
        <f t="shared" si="27"/>
        <v>0</v>
      </c>
      <c r="BI208" s="286">
        <f t="shared" si="28"/>
        <v>0</v>
      </c>
      <c r="BJ208" s="153" t="s">
        <v>108</v>
      </c>
      <c r="BK208" s="286">
        <f t="shared" si="29"/>
        <v>0</v>
      </c>
      <c r="BL208" s="153" t="s">
        <v>110</v>
      </c>
      <c r="BM208" s="285" t="s">
        <v>906</v>
      </c>
    </row>
    <row r="209" spans="2:65" s="165" customFormat="1" ht="24.2" customHeight="1" x14ac:dyDescent="0.25">
      <c r="B209" s="166"/>
      <c r="C209" s="332" t="s">
        <v>907</v>
      </c>
      <c r="D209" s="332" t="s">
        <v>218</v>
      </c>
      <c r="E209" s="333" t="s">
        <v>908</v>
      </c>
      <c r="F209" s="334" t="s">
        <v>909</v>
      </c>
      <c r="G209" s="335" t="s">
        <v>123</v>
      </c>
      <c r="H209" s="336">
        <v>1</v>
      </c>
      <c r="I209" s="329">
        <v>0</v>
      </c>
      <c r="J209" s="337">
        <f t="shared" si="20"/>
        <v>0</v>
      </c>
      <c r="K209" s="338"/>
      <c r="L209" s="166"/>
      <c r="M209" s="281" t="s">
        <v>171</v>
      </c>
      <c r="N209" s="282" t="s">
        <v>185</v>
      </c>
      <c r="O209" s="283">
        <v>10.205590000000001</v>
      </c>
      <c r="P209" s="283">
        <f t="shared" si="21"/>
        <v>10.205590000000001</v>
      </c>
      <c r="Q209" s="283">
        <v>8.7844800000000008E-3</v>
      </c>
      <c r="R209" s="283">
        <f t="shared" si="22"/>
        <v>8.7844800000000008E-3</v>
      </c>
      <c r="S209" s="283">
        <v>0</v>
      </c>
      <c r="T209" s="284">
        <f t="shared" si="23"/>
        <v>0</v>
      </c>
      <c r="AR209" s="285" t="s">
        <v>110</v>
      </c>
      <c r="AT209" s="285" t="s">
        <v>218</v>
      </c>
      <c r="AU209" s="285" t="s">
        <v>108</v>
      </c>
      <c r="AY209" s="153" t="s">
        <v>217</v>
      </c>
      <c r="BE209" s="286">
        <f t="shared" si="24"/>
        <v>0</v>
      </c>
      <c r="BF209" s="286">
        <f t="shared" si="25"/>
        <v>0</v>
      </c>
      <c r="BG209" s="286">
        <f t="shared" si="26"/>
        <v>0</v>
      </c>
      <c r="BH209" s="286">
        <f t="shared" si="27"/>
        <v>0</v>
      </c>
      <c r="BI209" s="286">
        <f t="shared" si="28"/>
        <v>0</v>
      </c>
      <c r="BJ209" s="153" t="s">
        <v>108</v>
      </c>
      <c r="BK209" s="286">
        <f t="shared" si="29"/>
        <v>0</v>
      </c>
      <c r="BL209" s="153" t="s">
        <v>110</v>
      </c>
      <c r="BM209" s="285" t="s">
        <v>910</v>
      </c>
    </row>
    <row r="210" spans="2:65" s="165" customFormat="1" ht="44.25" customHeight="1" x14ac:dyDescent="0.25">
      <c r="B210" s="166"/>
      <c r="C210" s="339" t="s">
        <v>911</v>
      </c>
      <c r="D210" s="339" t="s">
        <v>259</v>
      </c>
      <c r="E210" s="340" t="s">
        <v>912</v>
      </c>
      <c r="F210" s="341" t="s">
        <v>913</v>
      </c>
      <c r="G210" s="342" t="s">
        <v>123</v>
      </c>
      <c r="H210" s="343">
        <v>1</v>
      </c>
      <c r="I210" s="330">
        <v>0</v>
      </c>
      <c r="J210" s="344">
        <f t="shared" si="20"/>
        <v>0</v>
      </c>
      <c r="K210" s="345"/>
      <c r="L210" s="287"/>
      <c r="M210" s="288" t="s">
        <v>171</v>
      </c>
      <c r="N210" s="289" t="s">
        <v>185</v>
      </c>
      <c r="O210" s="283">
        <v>0</v>
      </c>
      <c r="P210" s="283">
        <f t="shared" si="21"/>
        <v>0</v>
      </c>
      <c r="Q210" s="283">
        <v>0.186</v>
      </c>
      <c r="R210" s="283">
        <f t="shared" si="22"/>
        <v>0.186</v>
      </c>
      <c r="S210" s="283">
        <v>0</v>
      </c>
      <c r="T210" s="284">
        <f t="shared" si="23"/>
        <v>0</v>
      </c>
      <c r="AR210" s="285" t="s">
        <v>115</v>
      </c>
      <c r="AT210" s="285" t="s">
        <v>259</v>
      </c>
      <c r="AU210" s="285" t="s">
        <v>108</v>
      </c>
      <c r="AY210" s="153" t="s">
        <v>217</v>
      </c>
      <c r="BE210" s="286">
        <f t="shared" si="24"/>
        <v>0</v>
      </c>
      <c r="BF210" s="286">
        <f t="shared" si="25"/>
        <v>0</v>
      </c>
      <c r="BG210" s="286">
        <f t="shared" si="26"/>
        <v>0</v>
      </c>
      <c r="BH210" s="286">
        <f t="shared" si="27"/>
        <v>0</v>
      </c>
      <c r="BI210" s="286">
        <f t="shared" si="28"/>
        <v>0</v>
      </c>
      <c r="BJ210" s="153" t="s">
        <v>108</v>
      </c>
      <c r="BK210" s="286">
        <f t="shared" si="29"/>
        <v>0</v>
      </c>
      <c r="BL210" s="153" t="s">
        <v>110</v>
      </c>
      <c r="BM210" s="285" t="s">
        <v>914</v>
      </c>
    </row>
    <row r="211" spans="2:65" s="165" customFormat="1" ht="33" customHeight="1" x14ac:dyDescent="0.25">
      <c r="B211" s="166"/>
      <c r="C211" s="339" t="s">
        <v>915</v>
      </c>
      <c r="D211" s="339" t="s">
        <v>259</v>
      </c>
      <c r="E211" s="340" t="s">
        <v>916</v>
      </c>
      <c r="F211" s="341" t="s">
        <v>917</v>
      </c>
      <c r="G211" s="342" t="s">
        <v>123</v>
      </c>
      <c r="H211" s="343">
        <v>1</v>
      </c>
      <c r="I211" s="330">
        <v>0</v>
      </c>
      <c r="J211" s="344">
        <f t="shared" si="20"/>
        <v>0</v>
      </c>
      <c r="K211" s="345"/>
      <c r="L211" s="287"/>
      <c r="M211" s="288" t="s">
        <v>171</v>
      </c>
      <c r="N211" s="289" t="s">
        <v>185</v>
      </c>
      <c r="O211" s="283">
        <v>0</v>
      </c>
      <c r="P211" s="283">
        <f t="shared" si="21"/>
        <v>0</v>
      </c>
      <c r="Q211" s="283">
        <v>0.01</v>
      </c>
      <c r="R211" s="283">
        <f t="shared" si="22"/>
        <v>0.01</v>
      </c>
      <c r="S211" s="283">
        <v>0</v>
      </c>
      <c r="T211" s="284">
        <f t="shared" si="23"/>
        <v>0</v>
      </c>
      <c r="AR211" s="285" t="s">
        <v>115</v>
      </c>
      <c r="AT211" s="285" t="s">
        <v>259</v>
      </c>
      <c r="AU211" s="285" t="s">
        <v>108</v>
      </c>
      <c r="AY211" s="153" t="s">
        <v>217</v>
      </c>
      <c r="BE211" s="286">
        <f t="shared" si="24"/>
        <v>0</v>
      </c>
      <c r="BF211" s="286">
        <f t="shared" si="25"/>
        <v>0</v>
      </c>
      <c r="BG211" s="286">
        <f t="shared" si="26"/>
        <v>0</v>
      </c>
      <c r="BH211" s="286">
        <f t="shared" si="27"/>
        <v>0</v>
      </c>
      <c r="BI211" s="286">
        <f t="shared" si="28"/>
        <v>0</v>
      </c>
      <c r="BJ211" s="153" t="s">
        <v>108</v>
      </c>
      <c r="BK211" s="286">
        <f t="shared" si="29"/>
        <v>0</v>
      </c>
      <c r="BL211" s="153" t="s">
        <v>110</v>
      </c>
      <c r="BM211" s="285" t="s">
        <v>918</v>
      </c>
    </row>
    <row r="212" spans="2:65" s="165" customFormat="1" ht="24.2" customHeight="1" x14ac:dyDescent="0.25">
      <c r="B212" s="166"/>
      <c r="C212" s="332" t="s">
        <v>919</v>
      </c>
      <c r="D212" s="332" t="s">
        <v>218</v>
      </c>
      <c r="E212" s="333" t="s">
        <v>920</v>
      </c>
      <c r="F212" s="334" t="s">
        <v>921</v>
      </c>
      <c r="G212" s="335" t="s">
        <v>502</v>
      </c>
      <c r="H212" s="336">
        <v>43000</v>
      </c>
      <c r="I212" s="329">
        <v>0</v>
      </c>
      <c r="J212" s="337">
        <f t="shared" si="20"/>
        <v>0</v>
      </c>
      <c r="K212" s="338"/>
      <c r="L212" s="166"/>
      <c r="M212" s="281" t="s">
        <v>171</v>
      </c>
      <c r="N212" s="282" t="s">
        <v>185</v>
      </c>
      <c r="O212" s="283">
        <v>6.0699999999999999E-3</v>
      </c>
      <c r="P212" s="283">
        <f t="shared" si="21"/>
        <v>261.01</v>
      </c>
      <c r="Q212" s="283">
        <v>9.8600000000000005E-6</v>
      </c>
      <c r="R212" s="283">
        <f t="shared" si="22"/>
        <v>0.42398000000000002</v>
      </c>
      <c r="S212" s="283">
        <v>2.0000000000000002E-5</v>
      </c>
      <c r="T212" s="284">
        <f t="shared" si="23"/>
        <v>0.8600000000000001</v>
      </c>
      <c r="AR212" s="285" t="s">
        <v>110</v>
      </c>
      <c r="AT212" s="285" t="s">
        <v>218</v>
      </c>
      <c r="AU212" s="285" t="s">
        <v>108</v>
      </c>
      <c r="AY212" s="153" t="s">
        <v>217</v>
      </c>
      <c r="BE212" s="286">
        <f t="shared" si="24"/>
        <v>0</v>
      </c>
      <c r="BF212" s="286">
        <f t="shared" si="25"/>
        <v>0</v>
      </c>
      <c r="BG212" s="286">
        <f t="shared" si="26"/>
        <v>0</v>
      </c>
      <c r="BH212" s="286">
        <f t="shared" si="27"/>
        <v>0</v>
      </c>
      <c r="BI212" s="286">
        <f t="shared" si="28"/>
        <v>0</v>
      </c>
      <c r="BJ212" s="153" t="s">
        <v>108</v>
      </c>
      <c r="BK212" s="286">
        <f t="shared" si="29"/>
        <v>0</v>
      </c>
      <c r="BL212" s="153" t="s">
        <v>110</v>
      </c>
      <c r="BM212" s="285" t="s">
        <v>922</v>
      </c>
    </row>
    <row r="213" spans="2:65" s="165" customFormat="1" ht="62.65" customHeight="1" x14ac:dyDescent="0.25">
      <c r="B213" s="166"/>
      <c r="C213" s="332" t="s">
        <v>923</v>
      </c>
      <c r="D213" s="332" t="s">
        <v>218</v>
      </c>
      <c r="E213" s="333" t="s">
        <v>635</v>
      </c>
      <c r="F213" s="334" t="s">
        <v>3073</v>
      </c>
      <c r="G213" s="335" t="s">
        <v>112</v>
      </c>
      <c r="H213" s="336">
        <f>Ponuka!L115</f>
        <v>376.50200000000001</v>
      </c>
      <c r="I213" s="329">
        <v>0</v>
      </c>
      <c r="J213" s="337">
        <f t="shared" si="20"/>
        <v>0</v>
      </c>
      <c r="K213" s="338"/>
      <c r="L213" s="166"/>
      <c r="M213" s="281" t="s">
        <v>171</v>
      </c>
      <c r="N213" s="282" t="s">
        <v>185</v>
      </c>
      <c r="O213" s="283">
        <v>0</v>
      </c>
      <c r="P213" s="283">
        <f t="shared" si="21"/>
        <v>0</v>
      </c>
      <c r="Q213" s="283">
        <v>0</v>
      </c>
      <c r="R213" s="283">
        <f t="shared" si="22"/>
        <v>0</v>
      </c>
      <c r="S213" s="283">
        <v>0</v>
      </c>
      <c r="T213" s="284">
        <f t="shared" si="23"/>
        <v>0</v>
      </c>
      <c r="AR213" s="285" t="s">
        <v>110</v>
      </c>
      <c r="AT213" s="285" t="s">
        <v>218</v>
      </c>
      <c r="AU213" s="285" t="s">
        <v>108</v>
      </c>
      <c r="AY213" s="153" t="s">
        <v>217</v>
      </c>
      <c r="BE213" s="286">
        <f t="shared" si="24"/>
        <v>0</v>
      </c>
      <c r="BF213" s="286">
        <f t="shared" si="25"/>
        <v>0</v>
      </c>
      <c r="BG213" s="286">
        <f t="shared" si="26"/>
        <v>0</v>
      </c>
      <c r="BH213" s="286">
        <f t="shared" si="27"/>
        <v>0</v>
      </c>
      <c r="BI213" s="286">
        <f t="shared" si="28"/>
        <v>0</v>
      </c>
      <c r="BJ213" s="153" t="s">
        <v>108</v>
      </c>
      <c r="BK213" s="286">
        <f t="shared" si="29"/>
        <v>0</v>
      </c>
      <c r="BL213" s="153" t="s">
        <v>110</v>
      </c>
      <c r="BM213" s="285" t="s">
        <v>924</v>
      </c>
    </row>
    <row r="214" spans="2:65" s="165" customFormat="1" ht="66.75" customHeight="1" x14ac:dyDescent="0.25">
      <c r="B214" s="166"/>
      <c r="C214" s="332" t="s">
        <v>925</v>
      </c>
      <c r="D214" s="332" t="s">
        <v>218</v>
      </c>
      <c r="E214" s="333" t="s">
        <v>926</v>
      </c>
      <c r="F214" s="334" t="s">
        <v>3074</v>
      </c>
      <c r="G214" s="335" t="s">
        <v>112</v>
      </c>
      <c r="H214" s="336">
        <f>Ponuka!N115</f>
        <v>1083.1659999999999</v>
      </c>
      <c r="I214" s="329">
        <v>0</v>
      </c>
      <c r="J214" s="337">
        <f t="shared" si="20"/>
        <v>0</v>
      </c>
      <c r="K214" s="338"/>
      <c r="L214" s="166"/>
      <c r="M214" s="281" t="s">
        <v>171</v>
      </c>
      <c r="N214" s="282" t="s">
        <v>185</v>
      </c>
      <c r="O214" s="283">
        <v>0</v>
      </c>
      <c r="P214" s="283">
        <f t="shared" si="21"/>
        <v>0</v>
      </c>
      <c r="Q214" s="283">
        <v>0</v>
      </c>
      <c r="R214" s="283">
        <f t="shared" si="22"/>
        <v>0</v>
      </c>
      <c r="S214" s="283">
        <v>0</v>
      </c>
      <c r="T214" s="284">
        <f t="shared" si="23"/>
        <v>0</v>
      </c>
      <c r="AR214" s="285" t="s">
        <v>110</v>
      </c>
      <c r="AT214" s="285" t="s">
        <v>218</v>
      </c>
      <c r="AU214" s="285" t="s">
        <v>108</v>
      </c>
      <c r="AY214" s="153" t="s">
        <v>217</v>
      </c>
      <c r="BE214" s="286">
        <f t="shared" si="24"/>
        <v>0</v>
      </c>
      <c r="BF214" s="286">
        <f t="shared" si="25"/>
        <v>0</v>
      </c>
      <c r="BG214" s="286">
        <f t="shared" si="26"/>
        <v>0</v>
      </c>
      <c r="BH214" s="286">
        <f t="shared" si="27"/>
        <v>0</v>
      </c>
      <c r="BI214" s="286">
        <f t="shared" si="28"/>
        <v>0</v>
      </c>
      <c r="BJ214" s="153" t="s">
        <v>108</v>
      </c>
      <c r="BK214" s="286">
        <f t="shared" si="29"/>
        <v>0</v>
      </c>
      <c r="BL214" s="153" t="s">
        <v>110</v>
      </c>
      <c r="BM214" s="285" t="s">
        <v>927</v>
      </c>
    </row>
    <row r="215" spans="2:65" s="165" customFormat="1" ht="62.65" customHeight="1" x14ac:dyDescent="0.25">
      <c r="B215" s="166"/>
      <c r="C215" s="332" t="s">
        <v>928</v>
      </c>
      <c r="D215" s="332" t="s">
        <v>218</v>
      </c>
      <c r="E215" s="333" t="s">
        <v>929</v>
      </c>
      <c r="F215" s="334" t="s">
        <v>3075</v>
      </c>
      <c r="G215" s="335" t="s">
        <v>112</v>
      </c>
      <c r="H215" s="336">
        <f>Ponuka!P115</f>
        <v>212.52</v>
      </c>
      <c r="I215" s="329">
        <v>0</v>
      </c>
      <c r="J215" s="337">
        <f t="shared" si="20"/>
        <v>0</v>
      </c>
      <c r="K215" s="338"/>
      <c r="L215" s="166"/>
      <c r="M215" s="281" t="s">
        <v>171</v>
      </c>
      <c r="N215" s="282" t="s">
        <v>185</v>
      </c>
      <c r="O215" s="283">
        <v>0</v>
      </c>
      <c r="P215" s="283">
        <f t="shared" si="21"/>
        <v>0</v>
      </c>
      <c r="Q215" s="283">
        <v>0</v>
      </c>
      <c r="R215" s="283">
        <f t="shared" si="22"/>
        <v>0</v>
      </c>
      <c r="S215" s="283">
        <v>0</v>
      </c>
      <c r="T215" s="284">
        <f t="shared" si="23"/>
        <v>0</v>
      </c>
      <c r="AR215" s="285" t="s">
        <v>110</v>
      </c>
      <c r="AT215" s="285" t="s">
        <v>218</v>
      </c>
      <c r="AU215" s="285" t="s">
        <v>108</v>
      </c>
      <c r="AY215" s="153" t="s">
        <v>217</v>
      </c>
      <c r="BE215" s="286">
        <f t="shared" si="24"/>
        <v>0</v>
      </c>
      <c r="BF215" s="286">
        <f t="shared" si="25"/>
        <v>0</v>
      </c>
      <c r="BG215" s="286">
        <f t="shared" si="26"/>
        <v>0</v>
      </c>
      <c r="BH215" s="286">
        <f t="shared" si="27"/>
        <v>0</v>
      </c>
      <c r="BI215" s="286">
        <f t="shared" si="28"/>
        <v>0</v>
      </c>
      <c r="BJ215" s="153" t="s">
        <v>108</v>
      </c>
      <c r="BK215" s="286">
        <f t="shared" si="29"/>
        <v>0</v>
      </c>
      <c r="BL215" s="153" t="s">
        <v>110</v>
      </c>
      <c r="BM215" s="285" t="s">
        <v>930</v>
      </c>
    </row>
    <row r="216" spans="2:65" s="165" customFormat="1" ht="66.75" customHeight="1" x14ac:dyDescent="0.25">
      <c r="B216" s="166"/>
      <c r="C216" s="332" t="s">
        <v>931</v>
      </c>
      <c r="D216" s="332" t="s">
        <v>218</v>
      </c>
      <c r="E216" s="333" t="s">
        <v>638</v>
      </c>
      <c r="F216" s="334" t="s">
        <v>3076</v>
      </c>
      <c r="G216" s="335" t="s">
        <v>112</v>
      </c>
      <c r="H216" s="336">
        <f>Ponuka!R115</f>
        <v>1113.6999999999998</v>
      </c>
      <c r="I216" s="329">
        <v>0</v>
      </c>
      <c r="J216" s="337">
        <f t="shared" si="20"/>
        <v>0</v>
      </c>
      <c r="K216" s="338"/>
      <c r="L216" s="166"/>
      <c r="M216" s="281" t="s">
        <v>171</v>
      </c>
      <c r="N216" s="282" t="s">
        <v>185</v>
      </c>
      <c r="O216" s="283">
        <v>0</v>
      </c>
      <c r="P216" s="283">
        <f t="shared" si="21"/>
        <v>0</v>
      </c>
      <c r="Q216" s="283">
        <v>0</v>
      </c>
      <c r="R216" s="283">
        <f t="shared" si="22"/>
        <v>0</v>
      </c>
      <c r="S216" s="283">
        <v>0</v>
      </c>
      <c r="T216" s="284">
        <f t="shared" si="23"/>
        <v>0</v>
      </c>
      <c r="AR216" s="285" t="s">
        <v>110</v>
      </c>
      <c r="AT216" s="285" t="s">
        <v>218</v>
      </c>
      <c r="AU216" s="285" t="s">
        <v>108</v>
      </c>
      <c r="AY216" s="153" t="s">
        <v>217</v>
      </c>
      <c r="BE216" s="286">
        <f t="shared" si="24"/>
        <v>0</v>
      </c>
      <c r="BF216" s="286">
        <f t="shared" si="25"/>
        <v>0</v>
      </c>
      <c r="BG216" s="286">
        <f t="shared" si="26"/>
        <v>0</v>
      </c>
      <c r="BH216" s="286">
        <f t="shared" si="27"/>
        <v>0</v>
      </c>
      <c r="BI216" s="286">
        <f t="shared" si="28"/>
        <v>0</v>
      </c>
      <c r="BJ216" s="153" t="s">
        <v>108</v>
      </c>
      <c r="BK216" s="286">
        <f t="shared" si="29"/>
        <v>0</v>
      </c>
      <c r="BL216" s="153" t="s">
        <v>110</v>
      </c>
      <c r="BM216" s="285" t="s">
        <v>932</v>
      </c>
    </row>
    <row r="217" spans="2:65" s="165" customFormat="1" ht="24.2" customHeight="1" x14ac:dyDescent="0.25">
      <c r="B217" s="166"/>
      <c r="C217" s="332" t="s">
        <v>933</v>
      </c>
      <c r="D217" s="332" t="s">
        <v>218</v>
      </c>
      <c r="E217" s="333" t="s">
        <v>641</v>
      </c>
      <c r="F217" s="334" t="s">
        <v>642</v>
      </c>
      <c r="G217" s="335" t="s">
        <v>112</v>
      </c>
      <c r="H217" s="336">
        <f>H220</f>
        <v>716.65200000000016</v>
      </c>
      <c r="I217" s="329">
        <v>0</v>
      </c>
      <c r="J217" s="337">
        <f t="shared" si="20"/>
        <v>0</v>
      </c>
      <c r="K217" s="338"/>
      <c r="L217" s="166"/>
      <c r="M217" s="281" t="s">
        <v>171</v>
      </c>
      <c r="N217" s="282" t="s">
        <v>185</v>
      </c>
      <c r="O217" s="283">
        <v>6.0000000000000001E-3</v>
      </c>
      <c r="P217" s="283">
        <f t="shared" si="21"/>
        <v>4.2999120000000008</v>
      </c>
      <c r="Q217" s="283">
        <v>0</v>
      </c>
      <c r="R217" s="283">
        <f t="shared" si="22"/>
        <v>0</v>
      </c>
      <c r="S217" s="283">
        <v>0</v>
      </c>
      <c r="T217" s="284">
        <f t="shared" si="23"/>
        <v>0</v>
      </c>
      <c r="AR217" s="285" t="s">
        <v>110</v>
      </c>
      <c r="AT217" s="285" t="s">
        <v>218</v>
      </c>
      <c r="AU217" s="285" t="s">
        <v>108</v>
      </c>
      <c r="AY217" s="153" t="s">
        <v>217</v>
      </c>
      <c r="BE217" s="286">
        <f t="shared" si="24"/>
        <v>0</v>
      </c>
      <c r="BF217" s="286">
        <f t="shared" si="25"/>
        <v>0</v>
      </c>
      <c r="BG217" s="286">
        <f t="shared" si="26"/>
        <v>0</v>
      </c>
      <c r="BH217" s="286">
        <f t="shared" si="27"/>
        <v>0</v>
      </c>
      <c r="BI217" s="286">
        <f t="shared" si="28"/>
        <v>0</v>
      </c>
      <c r="BJ217" s="153" t="s">
        <v>108</v>
      </c>
      <c r="BK217" s="286">
        <f t="shared" si="29"/>
        <v>0</v>
      </c>
      <c r="BL217" s="153" t="s">
        <v>110</v>
      </c>
      <c r="BM217" s="285" t="s">
        <v>934</v>
      </c>
    </row>
    <row r="218" spans="2:65" s="269" customFormat="1" ht="22.9" customHeight="1" x14ac:dyDescent="0.2">
      <c r="B218" s="270"/>
      <c r="D218" s="271" t="s">
        <v>216</v>
      </c>
      <c r="E218" s="279" t="s">
        <v>649</v>
      </c>
      <c r="F218" s="279" t="s">
        <v>650</v>
      </c>
      <c r="I218" s="331"/>
      <c r="J218" s="280">
        <f>BK218</f>
        <v>0</v>
      </c>
      <c r="L218" s="270"/>
      <c r="M218" s="274"/>
      <c r="P218" s="275">
        <f>SUM(P219:P223)</f>
        <v>807.53566400000011</v>
      </c>
      <c r="R218" s="275">
        <f>SUM(R219:R223)</f>
        <v>0</v>
      </c>
      <c r="T218" s="276">
        <f>SUM(T219:T223)</f>
        <v>0</v>
      </c>
      <c r="AR218" s="271" t="s">
        <v>109</v>
      </c>
      <c r="AT218" s="277" t="s">
        <v>216</v>
      </c>
      <c r="AU218" s="277" t="s">
        <v>109</v>
      </c>
      <c r="AY218" s="271" t="s">
        <v>217</v>
      </c>
      <c r="BK218" s="278">
        <f>SUM(BK219:BK223)</f>
        <v>0</v>
      </c>
    </row>
    <row r="219" spans="2:65" s="165" customFormat="1" ht="24.2" customHeight="1" x14ac:dyDescent="0.25">
      <c r="B219" s="166"/>
      <c r="C219" s="332" t="s">
        <v>935</v>
      </c>
      <c r="D219" s="332" t="s">
        <v>218</v>
      </c>
      <c r="E219" s="333" t="s">
        <v>665</v>
      </c>
      <c r="F219" s="334" t="s">
        <v>936</v>
      </c>
      <c r="G219" s="335" t="s">
        <v>112</v>
      </c>
      <c r="H219" s="336">
        <v>6715.3339999999998</v>
      </c>
      <c r="I219" s="329">
        <v>0</v>
      </c>
      <c r="J219" s="337">
        <f>ROUND(I219*H219,2)</f>
        <v>0</v>
      </c>
      <c r="K219" s="338"/>
      <c r="L219" s="166"/>
      <c r="M219" s="281" t="s">
        <v>171</v>
      </c>
      <c r="N219" s="282" t="s">
        <v>185</v>
      </c>
      <c r="O219" s="283">
        <v>0.04</v>
      </c>
      <c r="P219" s="283">
        <f>O219*H219</f>
        <v>268.61336</v>
      </c>
      <c r="Q219" s="283">
        <v>0</v>
      </c>
      <c r="R219" s="283">
        <f>Q219*H219</f>
        <v>0</v>
      </c>
      <c r="S219" s="283">
        <v>0</v>
      </c>
      <c r="T219" s="284">
        <f>S219*H219</f>
        <v>0</v>
      </c>
      <c r="AR219" s="285" t="s">
        <v>110</v>
      </c>
      <c r="AT219" s="285" t="s">
        <v>218</v>
      </c>
      <c r="AU219" s="285" t="s">
        <v>108</v>
      </c>
      <c r="AY219" s="153" t="s">
        <v>217</v>
      </c>
      <c r="BE219" s="286">
        <f>IF(N219="základná",J219,0)</f>
        <v>0</v>
      </c>
      <c r="BF219" s="286">
        <f>IF(N219="znížená",J219,0)</f>
        <v>0</v>
      </c>
      <c r="BG219" s="286">
        <f>IF(N219="zákl. prenesená",J219,0)</f>
        <v>0</v>
      </c>
      <c r="BH219" s="286">
        <f>IF(N219="zníž. prenesená",J219,0)</f>
        <v>0</v>
      </c>
      <c r="BI219" s="286">
        <f>IF(N219="nulová",J219,0)</f>
        <v>0</v>
      </c>
      <c r="BJ219" s="153" t="s">
        <v>108</v>
      </c>
      <c r="BK219" s="286">
        <f>ROUND(I219*H219,2)</f>
        <v>0</v>
      </c>
      <c r="BL219" s="153" t="s">
        <v>110</v>
      </c>
      <c r="BM219" s="285" t="s">
        <v>937</v>
      </c>
    </row>
    <row r="220" spans="2:65" s="165" customFormat="1" ht="24.2" customHeight="1" x14ac:dyDescent="0.25">
      <c r="B220" s="166"/>
      <c r="C220" s="332" t="s">
        <v>938</v>
      </c>
      <c r="D220" s="332" t="s">
        <v>218</v>
      </c>
      <c r="E220" s="333" t="s">
        <v>652</v>
      </c>
      <c r="F220" s="346" t="s">
        <v>939</v>
      </c>
      <c r="G220" s="335" t="s">
        <v>3077</v>
      </c>
      <c r="H220" s="336">
        <f>H222+H223+Ponuka!Q115</f>
        <v>716.65200000000016</v>
      </c>
      <c r="I220" s="329">
        <v>0</v>
      </c>
      <c r="J220" s="337">
        <f>ROUND(I220*H220,2)</f>
        <v>0</v>
      </c>
      <c r="K220" s="338"/>
      <c r="L220" s="166"/>
      <c r="M220" s="281" t="s">
        <v>171</v>
      </c>
      <c r="N220" s="282" t="s">
        <v>185</v>
      </c>
      <c r="O220" s="283">
        <v>0.59799999999999998</v>
      </c>
      <c r="P220" s="283">
        <f>O220*H220</f>
        <v>428.55789600000008</v>
      </c>
      <c r="Q220" s="283">
        <v>0</v>
      </c>
      <c r="R220" s="283">
        <f>Q220*H220</f>
        <v>0</v>
      </c>
      <c r="S220" s="283">
        <v>0</v>
      </c>
      <c r="T220" s="284">
        <f>S220*H220</f>
        <v>0</v>
      </c>
      <c r="AR220" s="285" t="s">
        <v>110</v>
      </c>
      <c r="AT220" s="285" t="s">
        <v>218</v>
      </c>
      <c r="AU220" s="285" t="s">
        <v>108</v>
      </c>
      <c r="AY220" s="153" t="s">
        <v>217</v>
      </c>
      <c r="BE220" s="286">
        <f>IF(N220="základná",J220,0)</f>
        <v>0</v>
      </c>
      <c r="BF220" s="286">
        <f>IF(N220="znížená",J220,0)</f>
        <v>0</v>
      </c>
      <c r="BG220" s="286">
        <f>IF(N220="zákl. prenesená",J220,0)</f>
        <v>0</v>
      </c>
      <c r="BH220" s="286">
        <f>IF(N220="zníž. prenesená",J220,0)</f>
        <v>0</v>
      </c>
      <c r="BI220" s="286">
        <f>IF(N220="nulová",J220,0)</f>
        <v>0</v>
      </c>
      <c r="BJ220" s="153" t="s">
        <v>108</v>
      </c>
      <c r="BK220" s="286">
        <f>ROUND(I220*H220,2)</f>
        <v>0</v>
      </c>
      <c r="BL220" s="153" t="s">
        <v>110</v>
      </c>
      <c r="BM220" s="285" t="s">
        <v>940</v>
      </c>
    </row>
    <row r="221" spans="2:65" s="165" customFormat="1" ht="24.2" customHeight="1" x14ac:dyDescent="0.25">
      <c r="B221" s="166"/>
      <c r="C221" s="332" t="s">
        <v>941</v>
      </c>
      <c r="D221" s="332" t="s">
        <v>218</v>
      </c>
      <c r="E221" s="333" t="s">
        <v>942</v>
      </c>
      <c r="F221" s="334" t="s">
        <v>943</v>
      </c>
      <c r="G221" s="335" t="s">
        <v>112</v>
      </c>
      <c r="H221" s="336">
        <f>H220*22</f>
        <v>15766.344000000003</v>
      </c>
      <c r="I221" s="329">
        <v>0</v>
      </c>
      <c r="J221" s="337">
        <f>ROUND(I221*H221,2)</f>
        <v>0</v>
      </c>
      <c r="K221" s="338"/>
      <c r="L221" s="166"/>
      <c r="M221" s="281" t="s">
        <v>171</v>
      </c>
      <c r="N221" s="282" t="s">
        <v>185</v>
      </c>
      <c r="O221" s="283">
        <v>7.0000000000000001E-3</v>
      </c>
      <c r="P221" s="283">
        <f>O221*H221</f>
        <v>110.36440800000003</v>
      </c>
      <c r="Q221" s="283">
        <v>0</v>
      </c>
      <c r="R221" s="283">
        <f>Q221*H221</f>
        <v>0</v>
      </c>
      <c r="S221" s="283">
        <v>0</v>
      </c>
      <c r="T221" s="284">
        <f>S221*H221</f>
        <v>0</v>
      </c>
      <c r="AR221" s="285" t="s">
        <v>110</v>
      </c>
      <c r="AT221" s="285" t="s">
        <v>218</v>
      </c>
      <c r="AU221" s="285" t="s">
        <v>108</v>
      </c>
      <c r="AY221" s="153" t="s">
        <v>217</v>
      </c>
      <c r="BE221" s="286">
        <f>IF(N221="základná",J221,0)</f>
        <v>0</v>
      </c>
      <c r="BF221" s="286">
        <f>IF(N221="znížená",J221,0)</f>
        <v>0</v>
      </c>
      <c r="BG221" s="286">
        <f>IF(N221="zákl. prenesená",J221,0)</f>
        <v>0</v>
      </c>
      <c r="BH221" s="286">
        <f>IF(N221="zníž. prenesená",J221,0)</f>
        <v>0</v>
      </c>
      <c r="BI221" s="286">
        <f>IF(N221="nulová",J221,0)</f>
        <v>0</v>
      </c>
      <c r="BJ221" s="153" t="s">
        <v>108</v>
      </c>
      <c r="BK221" s="286">
        <f>ROUND(I221*H221,2)</f>
        <v>0</v>
      </c>
      <c r="BL221" s="153" t="s">
        <v>110</v>
      </c>
      <c r="BM221" s="285" t="s">
        <v>944</v>
      </c>
    </row>
    <row r="222" spans="2:65" s="165" customFormat="1" ht="24.2" customHeight="1" x14ac:dyDescent="0.25">
      <c r="B222" s="166"/>
      <c r="C222" s="332" t="s">
        <v>945</v>
      </c>
      <c r="D222" s="332" t="s">
        <v>218</v>
      </c>
      <c r="E222" s="333" t="s">
        <v>946</v>
      </c>
      <c r="F222" s="334" t="s">
        <v>3078</v>
      </c>
      <c r="G222" s="335" t="s">
        <v>112</v>
      </c>
      <c r="H222" s="336">
        <f>Ponuka!M115</f>
        <v>161.358</v>
      </c>
      <c r="I222" s="329">
        <v>0</v>
      </c>
      <c r="J222" s="337">
        <f>ROUND(I222*H222,2)</f>
        <v>0</v>
      </c>
      <c r="K222" s="338"/>
      <c r="L222" s="166"/>
      <c r="M222" s="281" t="s">
        <v>171</v>
      </c>
      <c r="N222" s="282" t="s">
        <v>185</v>
      </c>
      <c r="O222" s="283">
        <v>0</v>
      </c>
      <c r="P222" s="283">
        <f>O222*H222</f>
        <v>0</v>
      </c>
      <c r="Q222" s="283">
        <v>0</v>
      </c>
      <c r="R222" s="283">
        <f>Q222*H222</f>
        <v>0</v>
      </c>
      <c r="S222" s="283">
        <v>0</v>
      </c>
      <c r="T222" s="284">
        <f>S222*H222</f>
        <v>0</v>
      </c>
      <c r="AR222" s="285" t="s">
        <v>110</v>
      </c>
      <c r="AT222" s="285" t="s">
        <v>218</v>
      </c>
      <c r="AU222" s="285" t="s">
        <v>108</v>
      </c>
      <c r="AY222" s="153" t="s">
        <v>217</v>
      </c>
      <c r="BE222" s="286">
        <f>IF(N222="základná",J222,0)</f>
        <v>0</v>
      </c>
      <c r="BF222" s="286">
        <f>IF(N222="znížená",J222,0)</f>
        <v>0</v>
      </c>
      <c r="BG222" s="286">
        <f>IF(N222="zákl. prenesená",J222,0)</f>
        <v>0</v>
      </c>
      <c r="BH222" s="286">
        <f>IF(N222="zníž. prenesená",J222,0)</f>
        <v>0</v>
      </c>
      <c r="BI222" s="286">
        <f>IF(N222="nulová",J222,0)</f>
        <v>0</v>
      </c>
      <c r="BJ222" s="153" t="s">
        <v>108</v>
      </c>
      <c r="BK222" s="286">
        <f>ROUND(I222*H222,2)</f>
        <v>0</v>
      </c>
      <c r="BL222" s="153" t="s">
        <v>110</v>
      </c>
      <c r="BM222" s="285" t="s">
        <v>947</v>
      </c>
    </row>
    <row r="223" spans="2:65" s="165" customFormat="1" ht="24.2" customHeight="1" x14ac:dyDescent="0.25">
      <c r="B223" s="166"/>
      <c r="C223" s="332" t="s">
        <v>948</v>
      </c>
      <c r="D223" s="332" t="s">
        <v>218</v>
      </c>
      <c r="E223" s="333" t="s">
        <v>949</v>
      </c>
      <c r="F223" s="334" t="s">
        <v>3079</v>
      </c>
      <c r="G223" s="335" t="s">
        <v>112</v>
      </c>
      <c r="H223" s="336">
        <f>Ponuka!O115</f>
        <v>464.21400000000017</v>
      </c>
      <c r="I223" s="329">
        <v>0</v>
      </c>
      <c r="J223" s="337">
        <f>ROUND(I223*H223,2)</f>
        <v>0</v>
      </c>
      <c r="K223" s="338"/>
      <c r="L223" s="166"/>
      <c r="M223" s="281" t="s">
        <v>171</v>
      </c>
      <c r="N223" s="282" t="s">
        <v>185</v>
      </c>
      <c r="O223" s="283">
        <v>0</v>
      </c>
      <c r="P223" s="283">
        <f>O223*H223</f>
        <v>0</v>
      </c>
      <c r="Q223" s="283">
        <v>0</v>
      </c>
      <c r="R223" s="283">
        <f>Q223*H223</f>
        <v>0</v>
      </c>
      <c r="S223" s="283">
        <v>0</v>
      </c>
      <c r="T223" s="284">
        <f>S223*H223</f>
        <v>0</v>
      </c>
      <c r="AR223" s="285" t="s">
        <v>110</v>
      </c>
      <c r="AT223" s="285" t="s">
        <v>218</v>
      </c>
      <c r="AU223" s="285" t="s">
        <v>108</v>
      </c>
      <c r="AY223" s="153" t="s">
        <v>217</v>
      </c>
      <c r="BE223" s="286">
        <f>IF(N223="základná",J223,0)</f>
        <v>0</v>
      </c>
      <c r="BF223" s="286">
        <f>IF(N223="znížená",J223,0)</f>
        <v>0</v>
      </c>
      <c r="BG223" s="286">
        <f>IF(N223="zákl. prenesená",J223,0)</f>
        <v>0</v>
      </c>
      <c r="BH223" s="286">
        <f>IF(N223="zníž. prenesená",J223,0)</f>
        <v>0</v>
      </c>
      <c r="BI223" s="286">
        <f>IF(N223="nulová",J223,0)</f>
        <v>0</v>
      </c>
      <c r="BJ223" s="153" t="s">
        <v>108</v>
      </c>
      <c r="BK223" s="286">
        <f>ROUND(I223*H223,2)</f>
        <v>0</v>
      </c>
      <c r="BL223" s="153" t="s">
        <v>110</v>
      </c>
      <c r="BM223" s="285" t="s">
        <v>950</v>
      </c>
    </row>
    <row r="224" spans="2:65" s="269" customFormat="1" ht="25.9" customHeight="1" x14ac:dyDescent="0.2">
      <c r="B224" s="270"/>
      <c r="D224" s="271" t="s">
        <v>216</v>
      </c>
      <c r="E224" s="272" t="s">
        <v>662</v>
      </c>
      <c r="F224" s="272" t="s">
        <v>663</v>
      </c>
      <c r="J224" s="273">
        <f>BK224</f>
        <v>0</v>
      </c>
      <c r="L224" s="270"/>
      <c r="M224" s="290"/>
      <c r="N224" s="291"/>
      <c r="O224" s="291"/>
      <c r="P224" s="292">
        <v>0</v>
      </c>
      <c r="Q224" s="291"/>
      <c r="R224" s="292">
        <v>0</v>
      </c>
      <c r="S224" s="291"/>
      <c r="T224" s="293">
        <v>0</v>
      </c>
      <c r="AR224" s="271" t="s">
        <v>108</v>
      </c>
      <c r="AT224" s="277" t="s">
        <v>216</v>
      </c>
      <c r="AU224" s="277" t="s">
        <v>165</v>
      </c>
      <c r="AY224" s="271" t="s">
        <v>217</v>
      </c>
      <c r="BK224" s="278">
        <v>0</v>
      </c>
    </row>
    <row r="225" spans="2:12" s="165" customFormat="1" ht="6.95" customHeight="1" x14ac:dyDescent="0.25">
      <c r="B225" s="182"/>
      <c r="C225" s="183"/>
      <c r="D225" s="183"/>
      <c r="E225" s="183"/>
      <c r="F225" s="183"/>
      <c r="G225" s="183"/>
      <c r="H225" s="183"/>
      <c r="I225" s="183"/>
      <c r="J225" s="183"/>
      <c r="K225" s="183"/>
      <c r="L225" s="166"/>
    </row>
  </sheetData>
  <sheetProtection algorithmName="SHA-512" hashValue="QaHhNWCbuToAz9dnCzWm9OHNPhjbbhBUILD8OZDdGT6Ip2VixoiFojGjxR0YDkkqLsARYQ81aur1MWPPtXwF6w==" saltValue="HUQOxVQ2QgH++k+vXoR88A==" spinCount="100000" sheet="1" objects="1" scenarios="1" selectLockedCells="1"/>
  <autoFilter ref="C125:K224" xr:uid="{00000000-0009-0000-0000-000002000000}"/>
  <mergeCells count="9">
    <mergeCell ref="E87:H87"/>
    <mergeCell ref="E116:H116"/>
    <mergeCell ref="E118:H118"/>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r:id="rId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6FBB5-97A1-4499-B81B-1C1F1E8A797C}">
  <sheetPr codeName="Hárok8">
    <pageSetUpPr fitToPage="1"/>
  </sheetPr>
  <dimension ref="B2:BM217"/>
  <sheetViews>
    <sheetView topLeftCell="A165" workbookViewId="0">
      <selection activeCell="I174" sqref="I174"/>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341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951</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SUM(BE127:BE216)),  2)</f>
        <v>0</v>
      </c>
      <c r="G35" s="380"/>
      <c r="H35" s="380"/>
      <c r="I35" s="381">
        <v>0.23</v>
      </c>
      <c r="J35" s="379">
        <f>ROUND(((SUM(BE106:BE107) + SUM(BE127:BE216))*I35),  2)</f>
        <v>0</v>
      </c>
      <c r="L35" s="364"/>
    </row>
    <row r="36" spans="2:12" s="365" customFormat="1" ht="14.45" customHeight="1" x14ac:dyDescent="0.25">
      <c r="B36" s="364"/>
      <c r="E36" s="378" t="s">
        <v>185</v>
      </c>
      <c r="F36" s="382">
        <f>ROUND((SUM(BF106:BF107) + SUM(BF127:BF216)),  2)</f>
        <v>0</v>
      </c>
      <c r="I36" s="383">
        <v>0.23</v>
      </c>
      <c r="J36" s="382">
        <f>ROUND(((SUM(BF106:BF107) + SUM(BF127:BF216))*I36),  2)</f>
        <v>0</v>
      </c>
      <c r="L36" s="364"/>
    </row>
    <row r="37" spans="2:12" s="365" customFormat="1" ht="14.45" hidden="1" customHeight="1" x14ac:dyDescent="0.25">
      <c r="B37" s="364"/>
      <c r="E37" s="363" t="s">
        <v>186</v>
      </c>
      <c r="F37" s="382">
        <f>ROUND((SUM(BG106:BG107) + SUM(BG127:BG216)),  2)</f>
        <v>0</v>
      </c>
      <c r="I37" s="383">
        <v>0.23</v>
      </c>
      <c r="J37" s="382">
        <f>0</f>
        <v>0</v>
      </c>
      <c r="L37" s="364"/>
    </row>
    <row r="38" spans="2:12" s="365" customFormat="1" ht="14.45" hidden="1" customHeight="1" x14ac:dyDescent="0.25">
      <c r="B38" s="364"/>
      <c r="E38" s="363" t="s">
        <v>187</v>
      </c>
      <c r="F38" s="382">
        <f>ROUND((SUM(BH106:BH107) + SUM(BH127:BH216)),  2)</f>
        <v>0</v>
      </c>
      <c r="I38" s="383">
        <v>0.23</v>
      </c>
      <c r="J38" s="382">
        <f>0</f>
        <v>0</v>
      </c>
      <c r="L38" s="364"/>
    </row>
    <row r="39" spans="2:12" s="365" customFormat="1" ht="14.45" hidden="1" customHeight="1" x14ac:dyDescent="0.25">
      <c r="B39" s="364"/>
      <c r="E39" s="378" t="s">
        <v>188</v>
      </c>
      <c r="F39" s="379">
        <f>ROUND((SUM(BI106:BI107) + SUM(BI127:BI216)),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100.2 - SO 101.2 Úprava komunikácie - Devínska cesta, úsek B</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952</v>
      </c>
      <c r="E99" s="412"/>
      <c r="F99" s="412"/>
      <c r="G99" s="412"/>
      <c r="H99" s="412"/>
      <c r="I99" s="412"/>
      <c r="J99" s="413">
        <f>J153</f>
        <v>0</v>
      </c>
      <c r="L99" s="409"/>
    </row>
    <row r="100" spans="2:14" s="410" customFormat="1" ht="19.899999999999999" customHeight="1" x14ac:dyDescent="0.25">
      <c r="B100" s="409"/>
      <c r="D100" s="411" t="s">
        <v>683</v>
      </c>
      <c r="E100" s="412"/>
      <c r="F100" s="412"/>
      <c r="G100" s="412"/>
      <c r="H100" s="412"/>
      <c r="I100" s="412"/>
      <c r="J100" s="413">
        <f>J155</f>
        <v>0</v>
      </c>
      <c r="L100" s="409"/>
    </row>
    <row r="101" spans="2:14" s="410" customFormat="1" ht="19.899999999999999" customHeight="1" x14ac:dyDescent="0.25">
      <c r="B101" s="409"/>
      <c r="D101" s="411" t="s">
        <v>953</v>
      </c>
      <c r="E101" s="412"/>
      <c r="F101" s="412"/>
      <c r="G101" s="412"/>
      <c r="H101" s="412"/>
      <c r="I101" s="412"/>
      <c r="J101" s="413">
        <f>J180</f>
        <v>0</v>
      </c>
      <c r="L101" s="409"/>
    </row>
    <row r="102" spans="2:14" s="410" customFormat="1" ht="19.899999999999999" customHeight="1" x14ac:dyDescent="0.25">
      <c r="B102" s="409"/>
      <c r="D102" s="411" t="s">
        <v>414</v>
      </c>
      <c r="E102" s="412"/>
      <c r="F102" s="412"/>
      <c r="G102" s="412"/>
      <c r="H102" s="412"/>
      <c r="I102" s="412"/>
      <c r="J102" s="413">
        <f>J183</f>
        <v>0</v>
      </c>
      <c r="L102" s="409"/>
    </row>
    <row r="103" spans="2:14" s="410" customFormat="1" ht="19.899999999999999" customHeight="1" x14ac:dyDescent="0.25">
      <c r="B103" s="409"/>
      <c r="D103" s="411" t="s">
        <v>415</v>
      </c>
      <c r="E103" s="412"/>
      <c r="F103" s="412"/>
      <c r="G103" s="412"/>
      <c r="H103" s="412"/>
      <c r="I103" s="412"/>
      <c r="J103" s="413">
        <f>J211</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3066</v>
      </c>
      <c r="J106" s="414">
        <v>0</v>
      </c>
      <c r="L106" s="364"/>
      <c r="N106" s="415" t="s">
        <v>183</v>
      </c>
    </row>
    <row r="107" spans="2:14" s="365" customFormat="1" ht="18" customHeight="1" x14ac:dyDescent="0.25">
      <c r="B107" s="364"/>
      <c r="L107" s="364"/>
    </row>
    <row r="108" spans="2:14" s="365" customFormat="1" ht="29.25" customHeight="1" x14ac:dyDescent="0.25">
      <c r="B108" s="364"/>
      <c r="C108" s="416" t="s">
        <v>3063</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59" t="str">
        <f>E7</f>
        <v>Cyklotrasa - Devín_RP1</v>
      </c>
      <c r="F117" s="860"/>
      <c r="G117" s="860"/>
      <c r="H117" s="860"/>
      <c r="L117" s="364"/>
    </row>
    <row r="118" spans="2:63" s="365" customFormat="1" ht="12" customHeight="1" x14ac:dyDescent="0.25">
      <c r="B118" s="364"/>
      <c r="C118" s="363" t="s">
        <v>408</v>
      </c>
      <c r="L118" s="364"/>
    </row>
    <row r="119" spans="2:63" s="365" customFormat="1" ht="30" customHeight="1" x14ac:dyDescent="0.25">
      <c r="B119" s="364"/>
      <c r="E119" s="857" t="str">
        <f>E9</f>
        <v>100.2 - SO 101.2 Úprava komunikácie - Devínska cesta, úsek B</v>
      </c>
      <c r="F119" s="858"/>
      <c r="G119" s="858"/>
      <c r="H119" s="858"/>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f>
        <v>3502.049892</v>
      </c>
      <c r="Q127" s="371"/>
      <c r="R127" s="430">
        <f>R128</f>
        <v>2721.6374818700001</v>
      </c>
      <c r="S127" s="371"/>
      <c r="T127" s="431">
        <f>T128</f>
        <v>194.58500000000001</v>
      </c>
      <c r="AT127" s="357" t="s">
        <v>216</v>
      </c>
      <c r="AU127" s="357" t="s">
        <v>202</v>
      </c>
      <c r="BK127" s="432">
        <f>BK128</f>
        <v>0</v>
      </c>
    </row>
    <row r="128" spans="2:63" s="434" customFormat="1" ht="25.9" customHeight="1" x14ac:dyDescent="0.2">
      <c r="B128" s="433"/>
      <c r="D128" s="435" t="s">
        <v>216</v>
      </c>
      <c r="E128" s="436" t="s">
        <v>418</v>
      </c>
      <c r="F128" s="436" t="s">
        <v>419</v>
      </c>
      <c r="J128" s="437">
        <f>BK128</f>
        <v>0</v>
      </c>
      <c r="L128" s="433"/>
      <c r="M128" s="438"/>
      <c r="P128" s="439">
        <f>P129+P153+P155+P180+P183+P211</f>
        <v>3502.049892</v>
      </c>
      <c r="R128" s="439">
        <f>R129+R153+R155+R180+R183+R211</f>
        <v>2721.6374818700001</v>
      </c>
      <c r="T128" s="440">
        <f>T129+T153+T155+T180+T183+T211</f>
        <v>194.58500000000001</v>
      </c>
      <c r="AR128" s="435" t="s">
        <v>109</v>
      </c>
      <c r="AT128" s="441" t="s">
        <v>216</v>
      </c>
      <c r="AU128" s="441" t="s">
        <v>165</v>
      </c>
      <c r="AY128" s="435" t="s">
        <v>217</v>
      </c>
      <c r="BK128" s="442">
        <f>BK129+BK153+BK155+BK180+BK183+BK211</f>
        <v>0</v>
      </c>
    </row>
    <row r="129" spans="2:65" s="434" customFormat="1" ht="22.9" customHeight="1" x14ac:dyDescent="0.2">
      <c r="B129" s="433"/>
      <c r="D129" s="435" t="s">
        <v>216</v>
      </c>
      <c r="E129" s="443" t="s">
        <v>109</v>
      </c>
      <c r="F129" s="443" t="s">
        <v>220</v>
      </c>
      <c r="J129" s="444">
        <f>BK129</f>
        <v>0</v>
      </c>
      <c r="L129" s="433"/>
      <c r="M129" s="438"/>
      <c r="P129" s="439">
        <f>SUM(P130:P152)</f>
        <v>1882.8775399999997</v>
      </c>
      <c r="R129" s="439">
        <f>SUM(R130:R152)</f>
        <v>201.02934436000001</v>
      </c>
      <c r="T129" s="440">
        <f>SUM(T130:T152)</f>
        <v>126.425</v>
      </c>
      <c r="AR129" s="435" t="s">
        <v>109</v>
      </c>
      <c r="AT129" s="441" t="s">
        <v>216</v>
      </c>
      <c r="AU129" s="441" t="s">
        <v>109</v>
      </c>
      <c r="AY129" s="435" t="s">
        <v>217</v>
      </c>
      <c r="BK129" s="442">
        <f>SUM(BK130:BK152)</f>
        <v>0</v>
      </c>
    </row>
    <row r="130" spans="2:65" s="365" customFormat="1" ht="37.9" customHeight="1" x14ac:dyDescent="0.25">
      <c r="B130" s="364"/>
      <c r="C130" s="445" t="s">
        <v>109</v>
      </c>
      <c r="D130" s="445" t="s">
        <v>218</v>
      </c>
      <c r="E130" s="446" t="s">
        <v>420</v>
      </c>
      <c r="F130" s="447" t="s">
        <v>421</v>
      </c>
      <c r="G130" s="448" t="s">
        <v>111</v>
      </c>
      <c r="H130" s="449">
        <v>2500</v>
      </c>
      <c r="I130" s="329">
        <v>0</v>
      </c>
      <c r="J130" s="450">
        <f t="shared" ref="J130:J152" si="0">ROUND(I130*H130,2)</f>
        <v>0</v>
      </c>
      <c r="K130" s="451"/>
      <c r="L130" s="364"/>
      <c r="M130" s="452" t="s">
        <v>171</v>
      </c>
      <c r="N130" s="415" t="s">
        <v>185</v>
      </c>
      <c r="O130" s="453">
        <v>5.2500000000000003E-3</v>
      </c>
      <c r="P130" s="453">
        <f t="shared" ref="P130:P152" si="1">O130*H130</f>
        <v>13.125</v>
      </c>
      <c r="Q130" s="453">
        <v>0</v>
      </c>
      <c r="R130" s="453">
        <f t="shared" ref="R130:R152" si="2">Q130*H130</f>
        <v>0</v>
      </c>
      <c r="S130" s="453">
        <v>0</v>
      </c>
      <c r="T130" s="454">
        <f t="shared" ref="T130:T152" si="3">S130*H130</f>
        <v>0</v>
      </c>
      <c r="AR130" s="455" t="s">
        <v>110</v>
      </c>
      <c r="AT130" s="455" t="s">
        <v>218</v>
      </c>
      <c r="AU130" s="455" t="s">
        <v>108</v>
      </c>
      <c r="AY130" s="357" t="s">
        <v>217</v>
      </c>
      <c r="BE130" s="456">
        <f t="shared" ref="BE130:BE152" si="4">IF(N130="základná",J130,0)</f>
        <v>0</v>
      </c>
      <c r="BF130" s="456">
        <f t="shared" ref="BF130:BF152" si="5">IF(N130="znížená",J130,0)</f>
        <v>0</v>
      </c>
      <c r="BG130" s="456">
        <f t="shared" ref="BG130:BG152" si="6">IF(N130="zákl. prenesená",J130,0)</f>
        <v>0</v>
      </c>
      <c r="BH130" s="456">
        <f t="shared" ref="BH130:BH152" si="7">IF(N130="zníž. prenesená",J130,0)</f>
        <v>0</v>
      </c>
      <c r="BI130" s="456">
        <f t="shared" ref="BI130:BI152" si="8">IF(N130="nulová",J130,0)</f>
        <v>0</v>
      </c>
      <c r="BJ130" s="357" t="s">
        <v>108</v>
      </c>
      <c r="BK130" s="456">
        <f t="shared" ref="BK130:BK152" si="9">ROUND(I130*H130,2)</f>
        <v>0</v>
      </c>
      <c r="BL130" s="357" t="s">
        <v>110</v>
      </c>
      <c r="BM130" s="455" t="s">
        <v>954</v>
      </c>
    </row>
    <row r="131" spans="2:65" s="365" customFormat="1" ht="24.2" customHeight="1" x14ac:dyDescent="0.25">
      <c r="B131" s="364"/>
      <c r="C131" s="445" t="s">
        <v>108</v>
      </c>
      <c r="D131" s="445" t="s">
        <v>218</v>
      </c>
      <c r="E131" s="446" t="s">
        <v>423</v>
      </c>
      <c r="F131" s="447" t="s">
        <v>685</v>
      </c>
      <c r="G131" s="448" t="s">
        <v>111</v>
      </c>
      <c r="H131" s="449">
        <v>2500</v>
      </c>
      <c r="I131" s="329">
        <v>0</v>
      </c>
      <c r="J131" s="450">
        <f t="shared" si="0"/>
        <v>0</v>
      </c>
      <c r="K131" s="451"/>
      <c r="L131" s="364"/>
      <c r="M131" s="452" t="s">
        <v>171</v>
      </c>
      <c r="N131" s="415" t="s">
        <v>185</v>
      </c>
      <c r="O131" s="453">
        <v>0.16300000000000001</v>
      </c>
      <c r="P131" s="453">
        <f t="shared" si="1"/>
        <v>407.5</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955</v>
      </c>
    </row>
    <row r="132" spans="2:65" s="365" customFormat="1" ht="33" customHeight="1" x14ac:dyDescent="0.25">
      <c r="B132" s="364"/>
      <c r="C132" s="445" t="s">
        <v>119</v>
      </c>
      <c r="D132" s="445" t="s">
        <v>218</v>
      </c>
      <c r="E132" s="446" t="s">
        <v>956</v>
      </c>
      <c r="F132" s="447" t="s">
        <v>957</v>
      </c>
      <c r="G132" s="448" t="s">
        <v>111</v>
      </c>
      <c r="H132" s="449">
        <v>80</v>
      </c>
      <c r="I132" s="329">
        <v>0</v>
      </c>
      <c r="J132" s="450">
        <f t="shared" si="0"/>
        <v>0</v>
      </c>
      <c r="K132" s="451"/>
      <c r="L132" s="364"/>
      <c r="M132" s="452" t="s">
        <v>171</v>
      </c>
      <c r="N132" s="415" t="s">
        <v>185</v>
      </c>
      <c r="O132" s="453">
        <v>6.9000000000000006E-2</v>
      </c>
      <c r="P132" s="453">
        <f t="shared" si="1"/>
        <v>5.5200000000000005</v>
      </c>
      <c r="Q132" s="453">
        <v>0</v>
      </c>
      <c r="R132" s="453">
        <f t="shared" si="2"/>
        <v>0</v>
      </c>
      <c r="S132" s="453">
        <v>0.23499999999999999</v>
      </c>
      <c r="T132" s="454">
        <f t="shared" si="3"/>
        <v>18.799999999999997</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958</v>
      </c>
    </row>
    <row r="133" spans="2:65" s="365" customFormat="1" ht="33" customHeight="1" x14ac:dyDescent="0.25">
      <c r="B133" s="364"/>
      <c r="C133" s="445" t="s">
        <v>110</v>
      </c>
      <c r="D133" s="445" t="s">
        <v>218</v>
      </c>
      <c r="E133" s="446" t="s">
        <v>959</v>
      </c>
      <c r="F133" s="447" t="s">
        <v>960</v>
      </c>
      <c r="G133" s="448" t="s">
        <v>111</v>
      </c>
      <c r="H133" s="449">
        <v>99</v>
      </c>
      <c r="I133" s="329">
        <v>0</v>
      </c>
      <c r="J133" s="450">
        <f t="shared" si="0"/>
        <v>0</v>
      </c>
      <c r="K133" s="451"/>
      <c r="L133" s="364"/>
      <c r="M133" s="452" t="s">
        <v>171</v>
      </c>
      <c r="N133" s="415" t="s">
        <v>185</v>
      </c>
      <c r="O133" s="453">
        <v>0.31900000000000001</v>
      </c>
      <c r="P133" s="453">
        <f t="shared" si="1"/>
        <v>31.581</v>
      </c>
      <c r="Q133" s="453">
        <v>0</v>
      </c>
      <c r="R133" s="453">
        <f t="shared" si="2"/>
        <v>0</v>
      </c>
      <c r="S133" s="453">
        <v>0.5</v>
      </c>
      <c r="T133" s="454">
        <f t="shared" si="3"/>
        <v>49.5</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961</v>
      </c>
    </row>
    <row r="134" spans="2:65" s="365" customFormat="1" ht="33" customHeight="1" x14ac:dyDescent="0.25">
      <c r="B134" s="364"/>
      <c r="C134" s="445" t="s">
        <v>118</v>
      </c>
      <c r="D134" s="445" t="s">
        <v>218</v>
      </c>
      <c r="E134" s="446" t="s">
        <v>962</v>
      </c>
      <c r="F134" s="447" t="s">
        <v>963</v>
      </c>
      <c r="G134" s="448" t="s">
        <v>111</v>
      </c>
      <c r="H134" s="449">
        <v>99</v>
      </c>
      <c r="I134" s="329">
        <v>0</v>
      </c>
      <c r="J134" s="450">
        <f t="shared" si="0"/>
        <v>0</v>
      </c>
      <c r="K134" s="451"/>
      <c r="L134" s="364"/>
      <c r="M134" s="452" t="s">
        <v>171</v>
      </c>
      <c r="N134" s="415" t="s">
        <v>185</v>
      </c>
      <c r="O134" s="453">
        <v>0.125</v>
      </c>
      <c r="P134" s="453">
        <f t="shared" si="1"/>
        <v>12.375</v>
      </c>
      <c r="Q134" s="453">
        <v>0</v>
      </c>
      <c r="R134" s="453">
        <f t="shared" si="2"/>
        <v>0</v>
      </c>
      <c r="S134" s="453">
        <v>0.375</v>
      </c>
      <c r="T134" s="454">
        <f t="shared" si="3"/>
        <v>37.125</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964</v>
      </c>
    </row>
    <row r="135" spans="2:65" s="365" customFormat="1" ht="33" customHeight="1" x14ac:dyDescent="0.25">
      <c r="B135" s="364"/>
      <c r="C135" s="445" t="s">
        <v>117</v>
      </c>
      <c r="D135" s="445" t="s">
        <v>218</v>
      </c>
      <c r="E135" s="446" t="s">
        <v>965</v>
      </c>
      <c r="F135" s="447" t="s">
        <v>966</v>
      </c>
      <c r="G135" s="448" t="s">
        <v>111</v>
      </c>
      <c r="H135" s="449">
        <v>114</v>
      </c>
      <c r="I135" s="329">
        <v>0</v>
      </c>
      <c r="J135" s="450">
        <f t="shared" si="0"/>
        <v>0</v>
      </c>
      <c r="K135" s="451"/>
      <c r="L135" s="364"/>
      <c r="M135" s="452" t="s">
        <v>171</v>
      </c>
      <c r="N135" s="415" t="s">
        <v>185</v>
      </c>
      <c r="O135" s="453">
        <v>0.11409</v>
      </c>
      <c r="P135" s="453">
        <f t="shared" si="1"/>
        <v>13.006259999999999</v>
      </c>
      <c r="Q135" s="453">
        <v>8.5740000000000002E-5</v>
      </c>
      <c r="R135" s="453">
        <f t="shared" si="2"/>
        <v>9.774360000000001E-3</v>
      </c>
      <c r="S135" s="453">
        <v>0.125</v>
      </c>
      <c r="T135" s="454">
        <f t="shared" si="3"/>
        <v>14.25</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967</v>
      </c>
    </row>
    <row r="136" spans="2:65" s="365" customFormat="1" ht="33" customHeight="1" x14ac:dyDescent="0.25">
      <c r="B136" s="364"/>
      <c r="C136" s="445" t="s">
        <v>116</v>
      </c>
      <c r="D136" s="445" t="s">
        <v>218</v>
      </c>
      <c r="E136" s="446" t="s">
        <v>968</v>
      </c>
      <c r="F136" s="447" t="s">
        <v>969</v>
      </c>
      <c r="G136" s="448" t="s">
        <v>111</v>
      </c>
      <c r="H136" s="449">
        <v>21</v>
      </c>
      <c r="I136" s="329">
        <v>0</v>
      </c>
      <c r="J136" s="450">
        <f t="shared" si="0"/>
        <v>0</v>
      </c>
      <c r="K136" s="451"/>
      <c r="L136" s="364"/>
      <c r="M136" s="452" t="s">
        <v>171</v>
      </c>
      <c r="N136" s="415" t="s">
        <v>185</v>
      </c>
      <c r="O136" s="453">
        <v>0.14099999999999999</v>
      </c>
      <c r="P136" s="453">
        <f t="shared" si="1"/>
        <v>2.9609999999999999</v>
      </c>
      <c r="Q136" s="453">
        <v>1.7000000000000001E-4</v>
      </c>
      <c r="R136" s="453">
        <f t="shared" si="2"/>
        <v>3.5700000000000003E-3</v>
      </c>
      <c r="S136" s="453">
        <v>0.25</v>
      </c>
      <c r="T136" s="454">
        <f t="shared" si="3"/>
        <v>5.25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970</v>
      </c>
    </row>
    <row r="137" spans="2:65" s="365" customFormat="1" ht="24.2" customHeight="1" x14ac:dyDescent="0.25">
      <c r="B137" s="364"/>
      <c r="C137" s="445" t="s">
        <v>115</v>
      </c>
      <c r="D137" s="445" t="s">
        <v>218</v>
      </c>
      <c r="E137" s="446" t="s">
        <v>693</v>
      </c>
      <c r="F137" s="447" t="s">
        <v>694</v>
      </c>
      <c r="G137" s="448" t="s">
        <v>111</v>
      </c>
      <c r="H137" s="449">
        <v>2</v>
      </c>
      <c r="I137" s="329">
        <v>0</v>
      </c>
      <c r="J137" s="450">
        <f t="shared" si="0"/>
        <v>0</v>
      </c>
      <c r="K137" s="451"/>
      <c r="L137" s="364"/>
      <c r="M137" s="452" t="s">
        <v>171</v>
      </c>
      <c r="N137" s="415" t="s">
        <v>185</v>
      </c>
      <c r="O137" s="453">
        <v>1.3</v>
      </c>
      <c r="P137" s="453">
        <f t="shared" si="1"/>
        <v>2.6</v>
      </c>
      <c r="Q137" s="453">
        <v>0</v>
      </c>
      <c r="R137" s="453">
        <f t="shared" si="2"/>
        <v>0</v>
      </c>
      <c r="S137" s="453">
        <v>0.75</v>
      </c>
      <c r="T137" s="454">
        <f t="shared" si="3"/>
        <v>1.5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971</v>
      </c>
    </row>
    <row r="138" spans="2:65" s="365" customFormat="1" ht="24.2" customHeight="1" x14ac:dyDescent="0.25">
      <c r="B138" s="364"/>
      <c r="C138" s="445" t="s">
        <v>162</v>
      </c>
      <c r="D138" s="445" t="s">
        <v>218</v>
      </c>
      <c r="E138" s="446" t="s">
        <v>705</v>
      </c>
      <c r="F138" s="447" t="s">
        <v>972</v>
      </c>
      <c r="G138" s="448" t="s">
        <v>114</v>
      </c>
      <c r="H138" s="449">
        <v>414</v>
      </c>
      <c r="I138" s="329">
        <v>0</v>
      </c>
      <c r="J138" s="450">
        <f t="shared" si="0"/>
        <v>0</v>
      </c>
      <c r="K138" s="451"/>
      <c r="L138" s="364"/>
      <c r="M138" s="452" t="s">
        <v>171</v>
      </c>
      <c r="N138" s="415" t="s">
        <v>185</v>
      </c>
      <c r="O138" s="453">
        <v>1.8420000000000001</v>
      </c>
      <c r="P138" s="453">
        <f t="shared" si="1"/>
        <v>762.58800000000008</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973</v>
      </c>
    </row>
    <row r="139" spans="2:65" s="365" customFormat="1" ht="24.2" customHeight="1" x14ac:dyDescent="0.25">
      <c r="B139" s="364"/>
      <c r="C139" s="445" t="s">
        <v>221</v>
      </c>
      <c r="D139" s="445" t="s">
        <v>218</v>
      </c>
      <c r="E139" s="446" t="s">
        <v>426</v>
      </c>
      <c r="F139" s="447" t="s">
        <v>427</v>
      </c>
      <c r="G139" s="448" t="s">
        <v>111</v>
      </c>
      <c r="H139" s="449">
        <v>2500</v>
      </c>
      <c r="I139" s="329">
        <v>0</v>
      </c>
      <c r="J139" s="450">
        <f t="shared" si="0"/>
        <v>0</v>
      </c>
      <c r="K139" s="451"/>
      <c r="L139" s="364"/>
      <c r="M139" s="452" t="s">
        <v>171</v>
      </c>
      <c r="N139" s="415" t="s">
        <v>185</v>
      </c>
      <c r="O139" s="453">
        <v>6.6000000000000003E-2</v>
      </c>
      <c r="P139" s="453">
        <f t="shared" si="1"/>
        <v>165</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974</v>
      </c>
    </row>
    <row r="140" spans="2:65" s="365" customFormat="1" ht="24.2" customHeight="1" x14ac:dyDescent="0.25">
      <c r="B140" s="364"/>
      <c r="C140" s="445" t="s">
        <v>222</v>
      </c>
      <c r="D140" s="445" t="s">
        <v>218</v>
      </c>
      <c r="E140" s="446" t="s">
        <v>709</v>
      </c>
      <c r="F140" s="447" t="s">
        <v>710</v>
      </c>
      <c r="G140" s="448" t="s">
        <v>114</v>
      </c>
      <c r="H140" s="449">
        <v>77</v>
      </c>
      <c r="I140" s="329">
        <v>0</v>
      </c>
      <c r="J140" s="450">
        <f t="shared" si="0"/>
        <v>0</v>
      </c>
      <c r="K140" s="451"/>
      <c r="L140" s="364"/>
      <c r="M140" s="452" t="s">
        <v>171</v>
      </c>
      <c r="N140" s="415" t="s">
        <v>185</v>
      </c>
      <c r="O140" s="453">
        <v>3.1E-2</v>
      </c>
      <c r="P140" s="453">
        <f t="shared" si="1"/>
        <v>2.387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975</v>
      </c>
    </row>
    <row r="141" spans="2:65" s="365" customFormat="1" ht="24.2" customHeight="1" x14ac:dyDescent="0.25">
      <c r="B141" s="364"/>
      <c r="C141" s="445" t="s">
        <v>223</v>
      </c>
      <c r="D141" s="445" t="s">
        <v>218</v>
      </c>
      <c r="E141" s="446" t="s">
        <v>721</v>
      </c>
      <c r="F141" s="447" t="s">
        <v>722</v>
      </c>
      <c r="G141" s="448" t="s">
        <v>114</v>
      </c>
      <c r="H141" s="449">
        <v>904</v>
      </c>
      <c r="I141" s="329">
        <v>0</v>
      </c>
      <c r="J141" s="450">
        <f t="shared" si="0"/>
        <v>0</v>
      </c>
      <c r="K141" s="451"/>
      <c r="L141" s="364"/>
      <c r="M141" s="452" t="s">
        <v>171</v>
      </c>
      <c r="N141" s="415" t="s">
        <v>185</v>
      </c>
      <c r="O141" s="453">
        <v>0.28299999999999997</v>
      </c>
      <c r="P141" s="453">
        <f t="shared" si="1"/>
        <v>255.83199999999997</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723</v>
      </c>
    </row>
    <row r="142" spans="2:65" s="365" customFormat="1" ht="37.9" customHeight="1" x14ac:dyDescent="0.25">
      <c r="B142" s="364"/>
      <c r="C142" s="445" t="s">
        <v>225</v>
      </c>
      <c r="D142" s="445" t="s">
        <v>218</v>
      </c>
      <c r="E142" s="446" t="s">
        <v>712</v>
      </c>
      <c r="F142" s="447" t="s">
        <v>976</v>
      </c>
      <c r="G142" s="448" t="s">
        <v>114</v>
      </c>
      <c r="H142" s="449">
        <v>472.4</v>
      </c>
      <c r="I142" s="329">
        <v>0</v>
      </c>
      <c r="J142" s="450">
        <f t="shared" si="0"/>
        <v>0</v>
      </c>
      <c r="K142" s="451"/>
      <c r="L142" s="364"/>
      <c r="M142" s="452" t="s">
        <v>171</v>
      </c>
      <c r="N142" s="415" t="s">
        <v>185</v>
      </c>
      <c r="O142" s="453">
        <v>4.8899999999999999E-2</v>
      </c>
      <c r="P142" s="453">
        <f t="shared" si="1"/>
        <v>23.100359999999998</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977</v>
      </c>
    </row>
    <row r="143" spans="2:65" s="365" customFormat="1" ht="44.25" customHeight="1" x14ac:dyDescent="0.25">
      <c r="B143" s="364"/>
      <c r="C143" s="445" t="s">
        <v>226</v>
      </c>
      <c r="D143" s="445" t="s">
        <v>218</v>
      </c>
      <c r="E143" s="446" t="s">
        <v>714</v>
      </c>
      <c r="F143" s="447" t="s">
        <v>978</v>
      </c>
      <c r="G143" s="448" t="s">
        <v>114</v>
      </c>
      <c r="H143" s="449">
        <v>9448</v>
      </c>
      <c r="I143" s="329">
        <v>0</v>
      </c>
      <c r="J143" s="450">
        <f t="shared" si="0"/>
        <v>0</v>
      </c>
      <c r="K143" s="451"/>
      <c r="L143" s="364"/>
      <c r="M143" s="452" t="s">
        <v>171</v>
      </c>
      <c r="N143" s="415" t="s">
        <v>185</v>
      </c>
      <c r="O143" s="453">
        <v>5.3899999999999998E-3</v>
      </c>
      <c r="P143" s="453">
        <f t="shared" si="1"/>
        <v>50.924720000000001</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979</v>
      </c>
    </row>
    <row r="144" spans="2:65" s="365" customFormat="1" ht="33" customHeight="1" x14ac:dyDescent="0.25">
      <c r="B144" s="364"/>
      <c r="C144" s="445" t="s">
        <v>227</v>
      </c>
      <c r="D144" s="445" t="s">
        <v>218</v>
      </c>
      <c r="E144" s="446" t="s">
        <v>724</v>
      </c>
      <c r="F144" s="447" t="s">
        <v>725</v>
      </c>
      <c r="G144" s="448" t="s">
        <v>114</v>
      </c>
      <c r="H144" s="449">
        <v>77</v>
      </c>
      <c r="I144" s="329">
        <v>0</v>
      </c>
      <c r="J144" s="450">
        <f t="shared" si="0"/>
        <v>0</v>
      </c>
      <c r="K144" s="451"/>
      <c r="L144" s="364"/>
      <c r="M144" s="452" t="s">
        <v>171</v>
      </c>
      <c r="N144" s="415" t="s">
        <v>185</v>
      </c>
      <c r="O144" s="453">
        <v>4.2000000000000003E-2</v>
      </c>
      <c r="P144" s="453">
        <f t="shared" si="1"/>
        <v>3.234</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726</v>
      </c>
    </row>
    <row r="145" spans="2:65" s="365" customFormat="1" ht="21.75" customHeight="1" x14ac:dyDescent="0.25">
      <c r="B145" s="364"/>
      <c r="C145" s="445" t="s">
        <v>228</v>
      </c>
      <c r="D145" s="445" t="s">
        <v>218</v>
      </c>
      <c r="E145" s="446" t="s">
        <v>717</v>
      </c>
      <c r="F145" s="447" t="s">
        <v>224</v>
      </c>
      <c r="G145" s="448" t="s">
        <v>114</v>
      </c>
      <c r="H145" s="449">
        <v>395.4</v>
      </c>
      <c r="I145" s="329">
        <v>0</v>
      </c>
      <c r="J145" s="450">
        <f t="shared" si="0"/>
        <v>0</v>
      </c>
      <c r="K145" s="451"/>
      <c r="L145" s="364"/>
      <c r="M145" s="452" t="s">
        <v>171</v>
      </c>
      <c r="N145" s="415" t="s">
        <v>185</v>
      </c>
      <c r="O145" s="453">
        <v>8.0000000000000002E-3</v>
      </c>
      <c r="P145" s="453">
        <f t="shared" si="1"/>
        <v>3.1631999999999998</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980</v>
      </c>
    </row>
    <row r="146" spans="2:65" s="365" customFormat="1" ht="37.9" customHeight="1" x14ac:dyDescent="0.25">
      <c r="B146" s="364"/>
      <c r="C146" s="445" t="s">
        <v>229</v>
      </c>
      <c r="D146" s="445" t="s">
        <v>218</v>
      </c>
      <c r="E146" s="446" t="s">
        <v>444</v>
      </c>
      <c r="F146" s="447" t="s">
        <v>3080</v>
      </c>
      <c r="G146" s="448" t="s">
        <v>112</v>
      </c>
      <c r="H146" s="449">
        <f>Ponuka!S116+Ponuka!Q116</f>
        <v>750.57000000000028</v>
      </c>
      <c r="I146" s="329">
        <v>0</v>
      </c>
      <c r="J146" s="450">
        <f t="shared" si="0"/>
        <v>0</v>
      </c>
      <c r="K146" s="451"/>
      <c r="L146" s="364"/>
      <c r="M146" s="452" t="s">
        <v>171</v>
      </c>
      <c r="N146" s="415" t="s">
        <v>185</v>
      </c>
      <c r="O146" s="453">
        <v>0</v>
      </c>
      <c r="P146" s="453">
        <f t="shared" si="1"/>
        <v>0</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981</v>
      </c>
    </row>
    <row r="147" spans="2:65" s="365" customFormat="1" ht="33" customHeight="1" x14ac:dyDescent="0.25">
      <c r="B147" s="364"/>
      <c r="C147" s="445" t="s">
        <v>231</v>
      </c>
      <c r="D147" s="445" t="s">
        <v>218</v>
      </c>
      <c r="E147" s="446" t="s">
        <v>982</v>
      </c>
      <c r="F147" s="447" t="s">
        <v>983</v>
      </c>
      <c r="G147" s="448" t="s">
        <v>114</v>
      </c>
      <c r="H147" s="449">
        <v>46</v>
      </c>
      <c r="I147" s="329">
        <v>0</v>
      </c>
      <c r="J147" s="450">
        <f t="shared" si="0"/>
        <v>0</v>
      </c>
      <c r="K147" s="451"/>
      <c r="L147" s="364"/>
      <c r="M147" s="452" t="s">
        <v>171</v>
      </c>
      <c r="N147" s="415" t="s">
        <v>185</v>
      </c>
      <c r="O147" s="453">
        <v>0.24199999999999999</v>
      </c>
      <c r="P147" s="453">
        <f t="shared" si="1"/>
        <v>11.132</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984</v>
      </c>
    </row>
    <row r="148" spans="2:65" s="365" customFormat="1" ht="24.2" customHeight="1" x14ac:dyDescent="0.25">
      <c r="B148" s="364"/>
      <c r="C148" s="457" t="s">
        <v>232</v>
      </c>
      <c r="D148" s="457" t="s">
        <v>259</v>
      </c>
      <c r="E148" s="458" t="s">
        <v>985</v>
      </c>
      <c r="F148" s="459" t="s">
        <v>986</v>
      </c>
      <c r="G148" s="460" t="s">
        <v>112</v>
      </c>
      <c r="H148" s="461">
        <v>83</v>
      </c>
      <c r="I148" s="330">
        <v>0</v>
      </c>
      <c r="J148" s="462">
        <f t="shared" si="0"/>
        <v>0</v>
      </c>
      <c r="K148" s="463"/>
      <c r="L148" s="464"/>
      <c r="M148" s="465" t="s">
        <v>171</v>
      </c>
      <c r="N148" s="466" t="s">
        <v>185</v>
      </c>
      <c r="O148" s="453">
        <v>0</v>
      </c>
      <c r="P148" s="453">
        <f t="shared" si="1"/>
        <v>0</v>
      </c>
      <c r="Q148" s="453">
        <v>1</v>
      </c>
      <c r="R148" s="453">
        <f t="shared" si="2"/>
        <v>83</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987</v>
      </c>
    </row>
    <row r="149" spans="2:65" s="365" customFormat="1" ht="21.75" customHeight="1" x14ac:dyDescent="0.25">
      <c r="B149" s="364"/>
      <c r="C149" s="445" t="s">
        <v>234</v>
      </c>
      <c r="D149" s="445" t="s">
        <v>218</v>
      </c>
      <c r="E149" s="446" t="s">
        <v>727</v>
      </c>
      <c r="F149" s="447" t="s">
        <v>728</v>
      </c>
      <c r="G149" s="448" t="s">
        <v>111</v>
      </c>
      <c r="H149" s="449">
        <v>436</v>
      </c>
      <c r="I149" s="329">
        <v>0</v>
      </c>
      <c r="J149" s="450">
        <f t="shared" si="0"/>
        <v>0</v>
      </c>
      <c r="K149" s="451"/>
      <c r="L149" s="364"/>
      <c r="M149" s="452" t="s">
        <v>171</v>
      </c>
      <c r="N149" s="415" t="s">
        <v>185</v>
      </c>
      <c r="O149" s="453">
        <v>6.0999999999999999E-2</v>
      </c>
      <c r="P149" s="453">
        <f t="shared" si="1"/>
        <v>26.596</v>
      </c>
      <c r="Q149" s="453">
        <v>0</v>
      </c>
      <c r="R149" s="453">
        <f t="shared" si="2"/>
        <v>0</v>
      </c>
      <c r="S149" s="453">
        <v>0</v>
      </c>
      <c r="T149" s="454">
        <f t="shared" si="3"/>
        <v>0</v>
      </c>
      <c r="AR149" s="455" t="s">
        <v>110</v>
      </c>
      <c r="AT149" s="455" t="s">
        <v>218</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729</v>
      </c>
    </row>
    <row r="150" spans="2:65" s="365" customFormat="1" ht="16.5" customHeight="1" x14ac:dyDescent="0.25">
      <c r="B150" s="364"/>
      <c r="C150" s="457" t="s">
        <v>235</v>
      </c>
      <c r="D150" s="457" t="s">
        <v>259</v>
      </c>
      <c r="E150" s="458" t="s">
        <v>730</v>
      </c>
      <c r="F150" s="459" t="s">
        <v>731</v>
      </c>
      <c r="G150" s="460" t="s">
        <v>536</v>
      </c>
      <c r="H150" s="461">
        <v>16</v>
      </c>
      <c r="I150" s="330">
        <v>0</v>
      </c>
      <c r="J150" s="462">
        <f t="shared" si="0"/>
        <v>0</v>
      </c>
      <c r="K150" s="463"/>
      <c r="L150" s="464"/>
      <c r="M150" s="465" t="s">
        <v>171</v>
      </c>
      <c r="N150" s="466" t="s">
        <v>185</v>
      </c>
      <c r="O150" s="453">
        <v>0</v>
      </c>
      <c r="P150" s="453">
        <f t="shared" si="1"/>
        <v>0</v>
      </c>
      <c r="Q150" s="453">
        <v>1E-3</v>
      </c>
      <c r="R150" s="453">
        <f t="shared" si="2"/>
        <v>1.6E-2</v>
      </c>
      <c r="S150" s="453">
        <v>0</v>
      </c>
      <c r="T150" s="454">
        <f t="shared" si="3"/>
        <v>0</v>
      </c>
      <c r="AR150" s="455" t="s">
        <v>115</v>
      </c>
      <c r="AT150" s="455" t="s">
        <v>259</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732</v>
      </c>
    </row>
    <row r="151" spans="2:65" s="365" customFormat="1" ht="24.2" customHeight="1" x14ac:dyDescent="0.25">
      <c r="B151" s="364"/>
      <c r="C151" s="445" t="s">
        <v>236</v>
      </c>
      <c r="D151" s="445" t="s">
        <v>218</v>
      </c>
      <c r="E151" s="446" t="s">
        <v>988</v>
      </c>
      <c r="F151" s="447" t="s">
        <v>989</v>
      </c>
      <c r="G151" s="448" t="s">
        <v>111</v>
      </c>
      <c r="H151" s="449">
        <v>436</v>
      </c>
      <c r="I151" s="329">
        <v>0</v>
      </c>
      <c r="J151" s="450">
        <f t="shared" si="0"/>
        <v>0</v>
      </c>
      <c r="K151" s="451"/>
      <c r="L151" s="364"/>
      <c r="M151" s="452" t="s">
        <v>171</v>
      </c>
      <c r="N151" s="415" t="s">
        <v>185</v>
      </c>
      <c r="O151" s="453">
        <v>0.20699999999999999</v>
      </c>
      <c r="P151" s="453">
        <f t="shared" si="1"/>
        <v>90.251999999999995</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990</v>
      </c>
    </row>
    <row r="152" spans="2:65" s="365" customFormat="1" ht="16.5" customHeight="1" x14ac:dyDescent="0.25">
      <c r="B152" s="364"/>
      <c r="C152" s="457" t="s">
        <v>237</v>
      </c>
      <c r="D152" s="457" t="s">
        <v>259</v>
      </c>
      <c r="E152" s="458" t="s">
        <v>736</v>
      </c>
      <c r="F152" s="459" t="s">
        <v>737</v>
      </c>
      <c r="G152" s="460" t="s">
        <v>112</v>
      </c>
      <c r="H152" s="461">
        <v>118</v>
      </c>
      <c r="I152" s="330">
        <v>0</v>
      </c>
      <c r="J152" s="462">
        <f t="shared" si="0"/>
        <v>0</v>
      </c>
      <c r="K152" s="463"/>
      <c r="L152" s="464"/>
      <c r="M152" s="465" t="s">
        <v>171</v>
      </c>
      <c r="N152" s="466" t="s">
        <v>185</v>
      </c>
      <c r="O152" s="453">
        <v>0</v>
      </c>
      <c r="P152" s="453">
        <f t="shared" si="1"/>
        <v>0</v>
      </c>
      <c r="Q152" s="453">
        <v>1</v>
      </c>
      <c r="R152" s="453">
        <f t="shared" si="2"/>
        <v>118</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738</v>
      </c>
    </row>
    <row r="153" spans="2:65" s="434" customFormat="1" ht="22.9" customHeight="1" x14ac:dyDescent="0.2">
      <c r="B153" s="433"/>
      <c r="D153" s="435" t="s">
        <v>216</v>
      </c>
      <c r="E153" s="443" t="s">
        <v>110</v>
      </c>
      <c r="F153" s="443" t="s">
        <v>991</v>
      </c>
      <c r="I153" s="331"/>
      <c r="J153" s="444">
        <f>BK153</f>
        <v>0</v>
      </c>
      <c r="L153" s="433"/>
      <c r="M153" s="438"/>
      <c r="P153" s="439">
        <f>P154</f>
        <v>0</v>
      </c>
      <c r="R153" s="439">
        <f>R154</f>
        <v>0</v>
      </c>
      <c r="T153" s="440">
        <f>T154</f>
        <v>0</v>
      </c>
      <c r="AR153" s="435" t="s">
        <v>109</v>
      </c>
      <c r="AT153" s="441" t="s">
        <v>216</v>
      </c>
      <c r="AU153" s="441" t="s">
        <v>109</v>
      </c>
      <c r="AY153" s="435" t="s">
        <v>217</v>
      </c>
      <c r="BK153" s="442">
        <f>BK154</f>
        <v>0</v>
      </c>
    </row>
    <row r="154" spans="2:65" s="365" customFormat="1" ht="24.2" customHeight="1" x14ac:dyDescent="0.25">
      <c r="B154" s="364"/>
      <c r="C154" s="445" t="s">
        <v>238</v>
      </c>
      <c r="D154" s="445" t="s">
        <v>218</v>
      </c>
      <c r="E154" s="446" t="s">
        <v>992</v>
      </c>
      <c r="F154" s="447" t="s">
        <v>993</v>
      </c>
      <c r="G154" s="448" t="s">
        <v>114</v>
      </c>
      <c r="H154" s="449">
        <v>6</v>
      </c>
      <c r="I154" s="329">
        <v>0</v>
      </c>
      <c r="J154" s="450">
        <f>ROUND(I154*H154,2)</f>
        <v>0</v>
      </c>
      <c r="K154" s="451"/>
      <c r="L154" s="364"/>
      <c r="M154" s="452" t="s">
        <v>171</v>
      </c>
      <c r="N154" s="415" t="s">
        <v>185</v>
      </c>
      <c r="O154" s="453">
        <v>0</v>
      </c>
      <c r="P154" s="453">
        <f>O154*H154</f>
        <v>0</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994</v>
      </c>
    </row>
    <row r="155" spans="2:65" s="434" customFormat="1" ht="22.9" customHeight="1" x14ac:dyDescent="0.2">
      <c r="B155" s="433"/>
      <c r="D155" s="435" t="s">
        <v>216</v>
      </c>
      <c r="E155" s="443" t="s">
        <v>118</v>
      </c>
      <c r="F155" s="443" t="s">
        <v>739</v>
      </c>
      <c r="I155" s="349">
        <v>0</v>
      </c>
      <c r="J155" s="444">
        <f>BK155</f>
        <v>0</v>
      </c>
      <c r="L155" s="433"/>
      <c r="M155" s="438"/>
      <c r="P155" s="439">
        <f>SUM(P156:P179)</f>
        <v>908.70356000000004</v>
      </c>
      <c r="R155" s="439">
        <f>SUM(R156:R179)</f>
        <v>2055.7866957800002</v>
      </c>
      <c r="T155" s="440">
        <f>SUM(T156:T179)</f>
        <v>0</v>
      </c>
      <c r="AR155" s="435" t="s">
        <v>109</v>
      </c>
      <c r="AT155" s="441" t="s">
        <v>216</v>
      </c>
      <c r="AU155" s="441" t="s">
        <v>109</v>
      </c>
      <c r="AY155" s="435" t="s">
        <v>217</v>
      </c>
      <c r="BK155" s="442">
        <f>SUM(BK156:BK179)</f>
        <v>0</v>
      </c>
    </row>
    <row r="156" spans="2:65" s="365" customFormat="1" ht="24.2" customHeight="1" x14ac:dyDescent="0.25">
      <c r="B156" s="364"/>
      <c r="C156" s="457" t="s">
        <v>239</v>
      </c>
      <c r="D156" s="457" t="s">
        <v>259</v>
      </c>
      <c r="E156" s="458" t="s">
        <v>785</v>
      </c>
      <c r="F156" s="459" t="s">
        <v>995</v>
      </c>
      <c r="G156" s="460" t="s">
        <v>111</v>
      </c>
      <c r="H156" s="461">
        <v>2440</v>
      </c>
      <c r="I156" s="330">
        <v>0</v>
      </c>
      <c r="J156" s="462">
        <f t="shared" ref="J156:J179" si="10">ROUND(I156*H156,2)</f>
        <v>0</v>
      </c>
      <c r="K156" s="463"/>
      <c r="L156" s="464"/>
      <c r="M156" s="465" t="s">
        <v>171</v>
      </c>
      <c r="N156" s="466" t="s">
        <v>185</v>
      </c>
      <c r="O156" s="453">
        <v>0</v>
      </c>
      <c r="P156" s="453">
        <f t="shared" ref="P156:P179" si="11">O156*H156</f>
        <v>0</v>
      </c>
      <c r="Q156" s="453">
        <v>8.8999999999999995E-4</v>
      </c>
      <c r="R156" s="453">
        <f t="shared" ref="R156:R179" si="12">Q156*H156</f>
        <v>2.1715999999999998</v>
      </c>
      <c r="S156" s="453">
        <v>0</v>
      </c>
      <c r="T156" s="454">
        <f t="shared" ref="T156:T179" si="13">S156*H156</f>
        <v>0</v>
      </c>
      <c r="AR156" s="455" t="s">
        <v>115</v>
      </c>
      <c r="AT156" s="455" t="s">
        <v>259</v>
      </c>
      <c r="AU156" s="455" t="s">
        <v>108</v>
      </c>
      <c r="AY156" s="357" t="s">
        <v>217</v>
      </c>
      <c r="BE156" s="456">
        <f t="shared" ref="BE156:BE179" si="14">IF(N156="základná",J156,0)</f>
        <v>0</v>
      </c>
      <c r="BF156" s="456">
        <f t="shared" ref="BF156:BF179" si="15">IF(N156="znížená",J156,0)</f>
        <v>0</v>
      </c>
      <c r="BG156" s="456">
        <f t="shared" ref="BG156:BG179" si="16">IF(N156="zákl. prenesená",J156,0)</f>
        <v>0</v>
      </c>
      <c r="BH156" s="456">
        <f t="shared" ref="BH156:BH179" si="17">IF(N156="zníž. prenesená",J156,0)</f>
        <v>0</v>
      </c>
      <c r="BI156" s="456">
        <f t="shared" ref="BI156:BI179" si="18">IF(N156="nulová",J156,0)</f>
        <v>0</v>
      </c>
      <c r="BJ156" s="357" t="s">
        <v>108</v>
      </c>
      <c r="BK156" s="456">
        <f t="shared" ref="BK156:BK179" si="19">ROUND(I156*H156,2)</f>
        <v>0</v>
      </c>
      <c r="BL156" s="357" t="s">
        <v>110</v>
      </c>
      <c r="BM156" s="455" t="s">
        <v>996</v>
      </c>
    </row>
    <row r="157" spans="2:65" s="365" customFormat="1" ht="37.9" customHeight="1" x14ac:dyDescent="0.25">
      <c r="B157" s="364"/>
      <c r="C157" s="445" t="s">
        <v>240</v>
      </c>
      <c r="D157" s="445" t="s">
        <v>218</v>
      </c>
      <c r="E157" s="446" t="s">
        <v>740</v>
      </c>
      <c r="F157" s="447" t="s">
        <v>741</v>
      </c>
      <c r="G157" s="448" t="s">
        <v>111</v>
      </c>
      <c r="H157" s="449">
        <v>2285</v>
      </c>
      <c r="I157" s="329">
        <v>0</v>
      </c>
      <c r="J157" s="450">
        <f t="shared" si="10"/>
        <v>0</v>
      </c>
      <c r="K157" s="451"/>
      <c r="L157" s="364"/>
      <c r="M157" s="452" t="s">
        <v>171</v>
      </c>
      <c r="N157" s="415" t="s">
        <v>185</v>
      </c>
      <c r="O157" s="453">
        <v>2.972E-2</v>
      </c>
      <c r="P157" s="453">
        <f t="shared" si="11"/>
        <v>67.910200000000003</v>
      </c>
      <c r="Q157" s="453">
        <v>0</v>
      </c>
      <c r="R157" s="453">
        <f t="shared" si="12"/>
        <v>0</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997</v>
      </c>
    </row>
    <row r="158" spans="2:65" s="365" customFormat="1" ht="24.2" customHeight="1" x14ac:dyDescent="0.25">
      <c r="B158" s="364"/>
      <c r="C158" s="457" t="s">
        <v>241</v>
      </c>
      <c r="D158" s="457" t="s">
        <v>259</v>
      </c>
      <c r="E158" s="458" t="s">
        <v>743</v>
      </c>
      <c r="F158" s="459" t="s">
        <v>744</v>
      </c>
      <c r="G158" s="460" t="s">
        <v>112</v>
      </c>
      <c r="H158" s="461">
        <v>60.597999999999999</v>
      </c>
      <c r="I158" s="330">
        <v>0</v>
      </c>
      <c r="J158" s="462">
        <f t="shared" si="10"/>
        <v>0</v>
      </c>
      <c r="K158" s="463"/>
      <c r="L158" s="464"/>
      <c r="M158" s="465" t="s">
        <v>171</v>
      </c>
      <c r="N158" s="466" t="s">
        <v>185</v>
      </c>
      <c r="O158" s="453">
        <v>0</v>
      </c>
      <c r="P158" s="453">
        <f t="shared" si="11"/>
        <v>0</v>
      </c>
      <c r="Q158" s="453">
        <v>1</v>
      </c>
      <c r="R158" s="453">
        <f t="shared" si="12"/>
        <v>60.597999999999999</v>
      </c>
      <c r="S158" s="453">
        <v>0</v>
      </c>
      <c r="T158" s="454">
        <f t="shared" si="13"/>
        <v>0</v>
      </c>
      <c r="AR158" s="455" t="s">
        <v>115</v>
      </c>
      <c r="AT158" s="455" t="s">
        <v>259</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998</v>
      </c>
    </row>
    <row r="159" spans="2:65" s="365" customFormat="1" ht="24.2" customHeight="1" x14ac:dyDescent="0.25">
      <c r="B159" s="364"/>
      <c r="C159" s="457" t="s">
        <v>242</v>
      </c>
      <c r="D159" s="457" t="s">
        <v>259</v>
      </c>
      <c r="E159" s="458" t="s">
        <v>746</v>
      </c>
      <c r="F159" s="459" t="s">
        <v>747</v>
      </c>
      <c r="G159" s="460" t="s">
        <v>112</v>
      </c>
      <c r="H159" s="461">
        <v>36.332000000000001</v>
      </c>
      <c r="I159" s="330">
        <v>0</v>
      </c>
      <c r="J159" s="462">
        <f t="shared" si="10"/>
        <v>0</v>
      </c>
      <c r="K159" s="463"/>
      <c r="L159" s="464"/>
      <c r="M159" s="465" t="s">
        <v>171</v>
      </c>
      <c r="N159" s="466" t="s">
        <v>185</v>
      </c>
      <c r="O159" s="453">
        <v>0</v>
      </c>
      <c r="P159" s="453">
        <f t="shared" si="11"/>
        <v>0</v>
      </c>
      <c r="Q159" s="453">
        <v>1</v>
      </c>
      <c r="R159" s="453">
        <f t="shared" si="12"/>
        <v>36.332000000000001</v>
      </c>
      <c r="S159" s="453">
        <v>0</v>
      </c>
      <c r="T159" s="454">
        <f t="shared" si="13"/>
        <v>0</v>
      </c>
      <c r="AR159" s="455" t="s">
        <v>115</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999</v>
      </c>
    </row>
    <row r="160" spans="2:65" s="365" customFormat="1" ht="24.2" customHeight="1" x14ac:dyDescent="0.25">
      <c r="B160" s="364"/>
      <c r="C160" s="457" t="s">
        <v>243</v>
      </c>
      <c r="D160" s="457" t="s">
        <v>259</v>
      </c>
      <c r="E160" s="458" t="s">
        <v>749</v>
      </c>
      <c r="F160" s="459" t="s">
        <v>750</v>
      </c>
      <c r="G160" s="460" t="s">
        <v>112</v>
      </c>
      <c r="H160" s="461">
        <v>60.597999999999999</v>
      </c>
      <c r="I160" s="330">
        <v>0</v>
      </c>
      <c r="J160" s="462">
        <f t="shared" si="10"/>
        <v>0</v>
      </c>
      <c r="K160" s="463"/>
      <c r="L160" s="464"/>
      <c r="M160" s="465" t="s">
        <v>171</v>
      </c>
      <c r="N160" s="466" t="s">
        <v>185</v>
      </c>
      <c r="O160" s="453">
        <v>0</v>
      </c>
      <c r="P160" s="453">
        <f t="shared" si="11"/>
        <v>0</v>
      </c>
      <c r="Q160" s="453">
        <v>1</v>
      </c>
      <c r="R160" s="453">
        <f t="shared" si="12"/>
        <v>60.597999999999999</v>
      </c>
      <c r="S160" s="453">
        <v>0</v>
      </c>
      <c r="T160" s="454">
        <f t="shared" si="13"/>
        <v>0</v>
      </c>
      <c r="AR160" s="455" t="s">
        <v>115</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1000</v>
      </c>
    </row>
    <row r="161" spans="2:65" s="365" customFormat="1" ht="44.25" customHeight="1" x14ac:dyDescent="0.25">
      <c r="B161" s="364"/>
      <c r="C161" s="445" t="s">
        <v>244</v>
      </c>
      <c r="D161" s="445" t="s">
        <v>218</v>
      </c>
      <c r="E161" s="446" t="s">
        <v>1001</v>
      </c>
      <c r="F161" s="447" t="s">
        <v>1002</v>
      </c>
      <c r="G161" s="448" t="s">
        <v>111</v>
      </c>
      <c r="H161" s="449">
        <v>80</v>
      </c>
      <c r="I161" s="329">
        <v>0</v>
      </c>
      <c r="J161" s="450">
        <f t="shared" si="10"/>
        <v>0</v>
      </c>
      <c r="K161" s="451"/>
      <c r="L161" s="364"/>
      <c r="M161" s="452" t="s">
        <v>171</v>
      </c>
      <c r="N161" s="415" t="s">
        <v>185</v>
      </c>
      <c r="O161" s="453">
        <v>6.3E-2</v>
      </c>
      <c r="P161" s="453">
        <f t="shared" si="11"/>
        <v>5.04</v>
      </c>
      <c r="Q161" s="453">
        <v>0.7102368</v>
      </c>
      <c r="R161" s="453">
        <f t="shared" si="12"/>
        <v>56.818944000000002</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1003</v>
      </c>
    </row>
    <row r="162" spans="2:65" s="365" customFormat="1" ht="37.9" customHeight="1" x14ac:dyDescent="0.25">
      <c r="B162" s="364"/>
      <c r="C162" s="445" t="s">
        <v>245</v>
      </c>
      <c r="D162" s="445" t="s">
        <v>218</v>
      </c>
      <c r="E162" s="446" t="s">
        <v>797</v>
      </c>
      <c r="F162" s="447" t="s">
        <v>798</v>
      </c>
      <c r="G162" s="448" t="s">
        <v>111</v>
      </c>
      <c r="H162" s="449">
        <v>56</v>
      </c>
      <c r="I162" s="329">
        <v>0</v>
      </c>
      <c r="J162" s="450">
        <f t="shared" si="10"/>
        <v>0</v>
      </c>
      <c r="K162" s="451"/>
      <c r="L162" s="364"/>
      <c r="M162" s="452" t="s">
        <v>171</v>
      </c>
      <c r="N162" s="415" t="s">
        <v>185</v>
      </c>
      <c r="O162" s="453">
        <v>2.4119999999999999E-2</v>
      </c>
      <c r="P162" s="453">
        <f t="shared" si="11"/>
        <v>1.3507199999999999</v>
      </c>
      <c r="Q162" s="453">
        <v>0.28731066</v>
      </c>
      <c r="R162" s="453">
        <f t="shared" si="12"/>
        <v>16.089396959999998</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1004</v>
      </c>
    </row>
    <row r="163" spans="2:65" s="365" customFormat="1" ht="37.9" customHeight="1" x14ac:dyDescent="0.25">
      <c r="B163" s="364"/>
      <c r="C163" s="445" t="s">
        <v>246</v>
      </c>
      <c r="D163" s="445" t="s">
        <v>218</v>
      </c>
      <c r="E163" s="446" t="s">
        <v>755</v>
      </c>
      <c r="F163" s="447" t="s">
        <v>1005</v>
      </c>
      <c r="G163" s="448" t="s">
        <v>111</v>
      </c>
      <c r="H163" s="449">
        <v>1719</v>
      </c>
      <c r="I163" s="329">
        <v>0</v>
      </c>
      <c r="J163" s="450">
        <f t="shared" si="10"/>
        <v>0</v>
      </c>
      <c r="K163" s="451"/>
      <c r="L163" s="364"/>
      <c r="M163" s="452" t="s">
        <v>171</v>
      </c>
      <c r="N163" s="415" t="s">
        <v>185</v>
      </c>
      <c r="O163" s="453">
        <v>4.8000000000000001E-2</v>
      </c>
      <c r="P163" s="453">
        <f t="shared" si="11"/>
        <v>82.512</v>
      </c>
      <c r="Q163" s="453">
        <v>5.8100000000000001E-3</v>
      </c>
      <c r="R163" s="453">
        <f t="shared" si="12"/>
        <v>9.9873899999999995</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1006</v>
      </c>
    </row>
    <row r="164" spans="2:65" s="365" customFormat="1" ht="37.9" customHeight="1" x14ac:dyDescent="0.25">
      <c r="B164" s="364"/>
      <c r="C164" s="445" t="s">
        <v>247</v>
      </c>
      <c r="D164" s="445" t="s">
        <v>218</v>
      </c>
      <c r="E164" s="446" t="s">
        <v>758</v>
      </c>
      <c r="F164" s="447" t="s">
        <v>1007</v>
      </c>
      <c r="G164" s="448" t="s">
        <v>111</v>
      </c>
      <c r="H164" s="449">
        <v>278</v>
      </c>
      <c r="I164" s="329">
        <v>0</v>
      </c>
      <c r="J164" s="450">
        <f t="shared" si="10"/>
        <v>0</v>
      </c>
      <c r="K164" s="451"/>
      <c r="L164" s="364"/>
      <c r="M164" s="452" t="s">
        <v>171</v>
      </c>
      <c r="N164" s="415" t="s">
        <v>185</v>
      </c>
      <c r="O164" s="453">
        <v>7.0999999999999994E-2</v>
      </c>
      <c r="P164" s="453">
        <f t="shared" si="11"/>
        <v>19.738</v>
      </c>
      <c r="Q164" s="453">
        <v>0.12966</v>
      </c>
      <c r="R164" s="453">
        <f t="shared" si="12"/>
        <v>36.045479999999998</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760</v>
      </c>
    </row>
    <row r="165" spans="2:65" s="365" customFormat="1" ht="37.9" customHeight="1" x14ac:dyDescent="0.25">
      <c r="B165" s="364"/>
      <c r="C165" s="445" t="s">
        <v>248</v>
      </c>
      <c r="D165" s="445" t="s">
        <v>218</v>
      </c>
      <c r="E165" s="446" t="s">
        <v>761</v>
      </c>
      <c r="F165" s="447" t="s">
        <v>1008</v>
      </c>
      <c r="G165" s="448" t="s">
        <v>111</v>
      </c>
      <c r="H165" s="449">
        <v>164</v>
      </c>
      <c r="I165" s="329">
        <v>0</v>
      </c>
      <c r="J165" s="450">
        <f t="shared" si="10"/>
        <v>0</v>
      </c>
      <c r="K165" s="451"/>
      <c r="L165" s="364"/>
      <c r="M165" s="452" t="s">
        <v>171</v>
      </c>
      <c r="N165" s="415" t="s">
        <v>185</v>
      </c>
      <c r="O165" s="453">
        <v>8.5000000000000006E-2</v>
      </c>
      <c r="P165" s="453">
        <f t="shared" si="11"/>
        <v>13.940000000000001</v>
      </c>
      <c r="Q165" s="453">
        <v>0.18462999999999999</v>
      </c>
      <c r="R165" s="453">
        <f t="shared" si="12"/>
        <v>30.279319999999998</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763</v>
      </c>
    </row>
    <row r="166" spans="2:65" s="365" customFormat="1" ht="37.9" customHeight="1" x14ac:dyDescent="0.25">
      <c r="B166" s="364"/>
      <c r="C166" s="445" t="s">
        <v>249</v>
      </c>
      <c r="D166" s="445" t="s">
        <v>218</v>
      </c>
      <c r="E166" s="446" t="s">
        <v>764</v>
      </c>
      <c r="F166" s="447" t="s">
        <v>1009</v>
      </c>
      <c r="G166" s="448" t="s">
        <v>111</v>
      </c>
      <c r="H166" s="449">
        <v>162</v>
      </c>
      <c r="I166" s="329">
        <v>0</v>
      </c>
      <c r="J166" s="450">
        <f t="shared" si="10"/>
        <v>0</v>
      </c>
      <c r="K166" s="451"/>
      <c r="L166" s="364"/>
      <c r="M166" s="452" t="s">
        <v>171</v>
      </c>
      <c r="N166" s="415" t="s">
        <v>185</v>
      </c>
      <c r="O166" s="453">
        <v>2.5100000000000001E-2</v>
      </c>
      <c r="P166" s="453">
        <f t="shared" si="11"/>
        <v>4.0662000000000003</v>
      </c>
      <c r="Q166" s="453">
        <v>0.43096599000000002</v>
      </c>
      <c r="R166" s="453">
        <f t="shared" si="12"/>
        <v>69.816490380000005</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766</v>
      </c>
    </row>
    <row r="167" spans="2:65" s="365" customFormat="1" ht="24.2" customHeight="1" x14ac:dyDescent="0.25">
      <c r="B167" s="364"/>
      <c r="C167" s="445" t="s">
        <v>250</v>
      </c>
      <c r="D167" s="445" t="s">
        <v>218</v>
      </c>
      <c r="E167" s="446" t="s">
        <v>767</v>
      </c>
      <c r="F167" s="447" t="s">
        <v>1010</v>
      </c>
      <c r="G167" s="448" t="s">
        <v>111</v>
      </c>
      <c r="H167" s="449">
        <v>1952</v>
      </c>
      <c r="I167" s="329">
        <v>0</v>
      </c>
      <c r="J167" s="450">
        <f t="shared" si="10"/>
        <v>0</v>
      </c>
      <c r="K167" s="451"/>
      <c r="L167" s="364"/>
      <c r="M167" s="452" t="s">
        <v>171</v>
      </c>
      <c r="N167" s="415" t="s">
        <v>185</v>
      </c>
      <c r="O167" s="453">
        <v>3.6119999999999999E-2</v>
      </c>
      <c r="P167" s="453">
        <f t="shared" si="11"/>
        <v>70.506240000000005</v>
      </c>
      <c r="Q167" s="453">
        <v>0.46</v>
      </c>
      <c r="R167" s="453">
        <f t="shared" si="12"/>
        <v>897.92000000000007</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769</v>
      </c>
    </row>
    <row r="168" spans="2:65" s="365" customFormat="1" ht="37.9" customHeight="1" x14ac:dyDescent="0.25">
      <c r="B168" s="364"/>
      <c r="C168" s="445" t="s">
        <v>251</v>
      </c>
      <c r="D168" s="445" t="s">
        <v>218</v>
      </c>
      <c r="E168" s="446" t="s">
        <v>770</v>
      </c>
      <c r="F168" s="447" t="s">
        <v>1011</v>
      </c>
      <c r="G168" s="448" t="s">
        <v>111</v>
      </c>
      <c r="H168" s="449">
        <v>1833</v>
      </c>
      <c r="I168" s="329">
        <v>0</v>
      </c>
      <c r="J168" s="450">
        <f t="shared" si="10"/>
        <v>0</v>
      </c>
      <c r="K168" s="451"/>
      <c r="L168" s="364"/>
      <c r="M168" s="452" t="s">
        <v>171</v>
      </c>
      <c r="N168" s="415" t="s">
        <v>185</v>
      </c>
      <c r="O168" s="453">
        <v>2.3999999999999998E-3</v>
      </c>
      <c r="P168" s="453">
        <f t="shared" si="11"/>
        <v>4.3991999999999996</v>
      </c>
      <c r="Q168" s="453">
        <v>5.1000000000000004E-4</v>
      </c>
      <c r="R168" s="453">
        <f t="shared" si="12"/>
        <v>0.93483000000000005</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772</v>
      </c>
    </row>
    <row r="169" spans="2:65" s="365" customFormat="1" ht="33" customHeight="1" x14ac:dyDescent="0.25">
      <c r="B169" s="364"/>
      <c r="C169" s="445" t="s">
        <v>252</v>
      </c>
      <c r="D169" s="445" t="s">
        <v>218</v>
      </c>
      <c r="E169" s="446" t="s">
        <v>773</v>
      </c>
      <c r="F169" s="447" t="s">
        <v>774</v>
      </c>
      <c r="G169" s="448" t="s">
        <v>111</v>
      </c>
      <c r="H169" s="449">
        <v>1555</v>
      </c>
      <c r="I169" s="329">
        <v>0</v>
      </c>
      <c r="J169" s="450">
        <f t="shared" si="10"/>
        <v>0</v>
      </c>
      <c r="K169" s="451"/>
      <c r="L169" s="364"/>
      <c r="M169" s="452" t="s">
        <v>171</v>
      </c>
      <c r="N169" s="415" t="s">
        <v>185</v>
      </c>
      <c r="O169" s="453">
        <v>6.6000000000000003E-2</v>
      </c>
      <c r="P169" s="453">
        <f t="shared" si="11"/>
        <v>102.63000000000001</v>
      </c>
      <c r="Q169" s="453">
        <v>0.10373</v>
      </c>
      <c r="R169" s="453">
        <f t="shared" si="12"/>
        <v>161.30015</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775</v>
      </c>
    </row>
    <row r="170" spans="2:65" s="365" customFormat="1" ht="33" customHeight="1" x14ac:dyDescent="0.25">
      <c r="B170" s="364"/>
      <c r="C170" s="445" t="s">
        <v>253</v>
      </c>
      <c r="D170" s="445" t="s">
        <v>218</v>
      </c>
      <c r="E170" s="446" t="s">
        <v>776</v>
      </c>
      <c r="F170" s="447" t="s">
        <v>1012</v>
      </c>
      <c r="G170" s="448" t="s">
        <v>111</v>
      </c>
      <c r="H170" s="449">
        <v>1555</v>
      </c>
      <c r="I170" s="329">
        <v>0</v>
      </c>
      <c r="J170" s="450">
        <f t="shared" si="10"/>
        <v>0</v>
      </c>
      <c r="K170" s="451"/>
      <c r="L170" s="364"/>
      <c r="M170" s="452" t="s">
        <v>171</v>
      </c>
      <c r="N170" s="415" t="s">
        <v>185</v>
      </c>
      <c r="O170" s="453">
        <v>0.107</v>
      </c>
      <c r="P170" s="453">
        <f t="shared" si="11"/>
        <v>166.38499999999999</v>
      </c>
      <c r="Q170" s="453">
        <v>0.26375999999999999</v>
      </c>
      <c r="R170" s="453">
        <f t="shared" si="12"/>
        <v>410.14679999999998</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778</v>
      </c>
    </row>
    <row r="171" spans="2:65" s="365" customFormat="1" ht="33" customHeight="1" x14ac:dyDescent="0.25">
      <c r="B171" s="364"/>
      <c r="C171" s="445" t="s">
        <v>255</v>
      </c>
      <c r="D171" s="445" t="s">
        <v>218</v>
      </c>
      <c r="E171" s="446" t="s">
        <v>782</v>
      </c>
      <c r="F171" s="447" t="s">
        <v>1013</v>
      </c>
      <c r="G171" s="448" t="s">
        <v>111</v>
      </c>
      <c r="H171" s="449">
        <v>2121</v>
      </c>
      <c r="I171" s="329">
        <v>0</v>
      </c>
      <c r="J171" s="450">
        <f t="shared" si="10"/>
        <v>0</v>
      </c>
      <c r="K171" s="451"/>
      <c r="L171" s="364"/>
      <c r="M171" s="452" t="s">
        <v>171</v>
      </c>
      <c r="N171" s="415" t="s">
        <v>185</v>
      </c>
      <c r="O171" s="453">
        <v>2.9000000000000001E-2</v>
      </c>
      <c r="P171" s="453">
        <f t="shared" si="11"/>
        <v>61.509</v>
      </c>
      <c r="Q171" s="453">
        <v>3.3000000000000003E-5</v>
      </c>
      <c r="R171" s="453">
        <f t="shared" si="12"/>
        <v>6.9993E-2</v>
      </c>
      <c r="S171" s="453">
        <v>0</v>
      </c>
      <c r="T171" s="454">
        <f t="shared" si="13"/>
        <v>0</v>
      </c>
      <c r="AR171" s="455" t="s">
        <v>110</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784</v>
      </c>
    </row>
    <row r="172" spans="2:65" s="365" customFormat="1" ht="24.2" customHeight="1" x14ac:dyDescent="0.25">
      <c r="B172" s="364"/>
      <c r="C172" s="445" t="s">
        <v>256</v>
      </c>
      <c r="D172" s="445" t="s">
        <v>218</v>
      </c>
      <c r="E172" s="446" t="s">
        <v>788</v>
      </c>
      <c r="F172" s="447" t="s">
        <v>1014</v>
      </c>
      <c r="G172" s="448" t="s">
        <v>111</v>
      </c>
      <c r="H172" s="449">
        <v>49</v>
      </c>
      <c r="I172" s="329">
        <v>0</v>
      </c>
      <c r="J172" s="450">
        <f t="shared" si="10"/>
        <v>0</v>
      </c>
      <c r="K172" s="451"/>
      <c r="L172" s="364"/>
      <c r="M172" s="452" t="s">
        <v>171</v>
      </c>
      <c r="N172" s="415" t="s">
        <v>185</v>
      </c>
      <c r="O172" s="453">
        <v>0.40500000000000003</v>
      </c>
      <c r="P172" s="453">
        <f t="shared" si="11"/>
        <v>19.845000000000002</v>
      </c>
      <c r="Q172" s="453">
        <v>0.1837</v>
      </c>
      <c r="R172" s="453">
        <f t="shared" si="12"/>
        <v>9.0013000000000005</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1015</v>
      </c>
    </row>
    <row r="173" spans="2:65" s="365" customFormat="1" ht="16.5" customHeight="1" x14ac:dyDescent="0.25">
      <c r="B173" s="364"/>
      <c r="C173" s="457" t="s">
        <v>257</v>
      </c>
      <c r="D173" s="457" t="s">
        <v>259</v>
      </c>
      <c r="E173" s="458" t="s">
        <v>791</v>
      </c>
      <c r="F173" s="459" t="s">
        <v>792</v>
      </c>
      <c r="G173" s="460" t="s">
        <v>111</v>
      </c>
      <c r="H173" s="461">
        <v>50</v>
      </c>
      <c r="I173" s="330">
        <v>0</v>
      </c>
      <c r="J173" s="462">
        <f t="shared" si="10"/>
        <v>0</v>
      </c>
      <c r="K173" s="463"/>
      <c r="L173" s="464"/>
      <c r="M173" s="465" t="s">
        <v>171</v>
      </c>
      <c r="N173" s="466" t="s">
        <v>185</v>
      </c>
      <c r="O173" s="453">
        <v>0</v>
      </c>
      <c r="P173" s="453">
        <f t="shared" si="11"/>
        <v>0</v>
      </c>
      <c r="Q173" s="453">
        <v>0.184</v>
      </c>
      <c r="R173" s="453">
        <f t="shared" si="12"/>
        <v>9.1999999999999993</v>
      </c>
      <c r="S173" s="453">
        <v>0</v>
      </c>
      <c r="T173" s="454">
        <f t="shared" si="13"/>
        <v>0</v>
      </c>
      <c r="AR173" s="455" t="s">
        <v>115</v>
      </c>
      <c r="AT173" s="455" t="s">
        <v>259</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1016</v>
      </c>
    </row>
    <row r="174" spans="2:65" s="365" customFormat="1" ht="33" customHeight="1" x14ac:dyDescent="0.25">
      <c r="B174" s="364"/>
      <c r="C174" s="445" t="s">
        <v>258</v>
      </c>
      <c r="D174" s="445" t="s">
        <v>218</v>
      </c>
      <c r="E174" s="446" t="s">
        <v>800</v>
      </c>
      <c r="F174" s="447" t="s">
        <v>801</v>
      </c>
      <c r="G174" s="448" t="s">
        <v>113</v>
      </c>
      <c r="H174" s="449">
        <v>1201</v>
      </c>
      <c r="I174" s="329">
        <v>0</v>
      </c>
      <c r="J174" s="450">
        <f t="shared" si="10"/>
        <v>0</v>
      </c>
      <c r="K174" s="451"/>
      <c r="L174" s="364"/>
      <c r="M174" s="452" t="s">
        <v>171</v>
      </c>
      <c r="N174" s="415" t="s">
        <v>185</v>
      </c>
      <c r="O174" s="453">
        <v>0.192</v>
      </c>
      <c r="P174" s="453">
        <f t="shared" si="11"/>
        <v>230.59200000000001</v>
      </c>
      <c r="Q174" s="453">
        <v>9.8529599999999995E-2</v>
      </c>
      <c r="R174" s="453">
        <f t="shared" si="12"/>
        <v>118.3340496</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802</v>
      </c>
    </row>
    <row r="175" spans="2:65" s="365" customFormat="1" ht="16.5" customHeight="1" x14ac:dyDescent="0.25">
      <c r="B175" s="364"/>
      <c r="C175" s="457" t="s">
        <v>260</v>
      </c>
      <c r="D175" s="457" t="s">
        <v>259</v>
      </c>
      <c r="E175" s="458" t="s">
        <v>803</v>
      </c>
      <c r="F175" s="459" t="s">
        <v>804</v>
      </c>
      <c r="G175" s="460" t="s">
        <v>123</v>
      </c>
      <c r="H175" s="461">
        <v>1213</v>
      </c>
      <c r="I175" s="330">
        <v>0</v>
      </c>
      <c r="J175" s="462">
        <f t="shared" si="10"/>
        <v>0</v>
      </c>
      <c r="K175" s="463"/>
      <c r="L175" s="464"/>
      <c r="M175" s="465" t="s">
        <v>171</v>
      </c>
      <c r="N175" s="466" t="s">
        <v>185</v>
      </c>
      <c r="O175" s="453">
        <v>0</v>
      </c>
      <c r="P175" s="453">
        <f t="shared" si="11"/>
        <v>0</v>
      </c>
      <c r="Q175" s="453">
        <v>4.8000000000000001E-2</v>
      </c>
      <c r="R175" s="453">
        <f t="shared" si="12"/>
        <v>58.224000000000004</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805</v>
      </c>
    </row>
    <row r="176" spans="2:65" s="365" customFormat="1" ht="33" customHeight="1" x14ac:dyDescent="0.25">
      <c r="B176" s="364"/>
      <c r="C176" s="445" t="s">
        <v>262</v>
      </c>
      <c r="D176" s="445" t="s">
        <v>218</v>
      </c>
      <c r="E176" s="446" t="s">
        <v>1017</v>
      </c>
      <c r="F176" s="447" t="s">
        <v>1018</v>
      </c>
      <c r="G176" s="448" t="s">
        <v>113</v>
      </c>
      <c r="H176" s="449">
        <v>52</v>
      </c>
      <c r="I176" s="329">
        <v>0</v>
      </c>
      <c r="J176" s="450">
        <f t="shared" si="10"/>
        <v>0</v>
      </c>
      <c r="K176" s="451"/>
      <c r="L176" s="364"/>
      <c r="M176" s="452" t="s">
        <v>171</v>
      </c>
      <c r="N176" s="415" t="s">
        <v>185</v>
      </c>
      <c r="O176" s="453">
        <v>0.35</v>
      </c>
      <c r="P176" s="453">
        <f t="shared" si="11"/>
        <v>18.2</v>
      </c>
      <c r="Q176" s="453">
        <v>0.13939441999999999</v>
      </c>
      <c r="R176" s="453">
        <f t="shared" si="12"/>
        <v>7.2485098399999996</v>
      </c>
      <c r="S176" s="453">
        <v>0</v>
      </c>
      <c r="T176" s="454">
        <f t="shared" si="13"/>
        <v>0</v>
      </c>
      <c r="AR176" s="455" t="s">
        <v>110</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1019</v>
      </c>
    </row>
    <row r="177" spans="2:65" s="365" customFormat="1" ht="16.5" customHeight="1" x14ac:dyDescent="0.25">
      <c r="B177" s="364"/>
      <c r="C177" s="457" t="s">
        <v>263</v>
      </c>
      <c r="D177" s="457" t="s">
        <v>259</v>
      </c>
      <c r="E177" s="458" t="s">
        <v>806</v>
      </c>
      <c r="F177" s="459" t="s">
        <v>807</v>
      </c>
      <c r="G177" s="460" t="s">
        <v>123</v>
      </c>
      <c r="H177" s="461">
        <v>54.6</v>
      </c>
      <c r="I177" s="330">
        <v>0</v>
      </c>
      <c r="J177" s="462">
        <f t="shared" si="10"/>
        <v>0</v>
      </c>
      <c r="K177" s="463"/>
      <c r="L177" s="464"/>
      <c r="M177" s="465" t="s">
        <v>171</v>
      </c>
      <c r="N177" s="466" t="s">
        <v>185</v>
      </c>
      <c r="O177" s="453">
        <v>0</v>
      </c>
      <c r="P177" s="453">
        <f t="shared" si="11"/>
        <v>0</v>
      </c>
      <c r="Q177" s="453">
        <v>8.5000000000000006E-2</v>
      </c>
      <c r="R177" s="453">
        <f t="shared" si="12"/>
        <v>4.641</v>
      </c>
      <c r="S177" s="453">
        <v>0</v>
      </c>
      <c r="T177" s="454">
        <f t="shared" si="13"/>
        <v>0</v>
      </c>
      <c r="AR177" s="455" t="s">
        <v>115</v>
      </c>
      <c r="AT177" s="455" t="s">
        <v>259</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808</v>
      </c>
    </row>
    <row r="178" spans="2:65" s="365" customFormat="1" ht="24.2" customHeight="1" x14ac:dyDescent="0.25">
      <c r="B178" s="364"/>
      <c r="C178" s="445" t="s">
        <v>264</v>
      </c>
      <c r="D178" s="445" t="s">
        <v>218</v>
      </c>
      <c r="E178" s="446" t="s">
        <v>1020</v>
      </c>
      <c r="F178" s="447" t="s">
        <v>1021</v>
      </c>
      <c r="G178" s="448" t="s">
        <v>113</v>
      </c>
      <c r="H178" s="449">
        <v>100</v>
      </c>
      <c r="I178" s="329">
        <v>0</v>
      </c>
      <c r="J178" s="450">
        <f t="shared" si="10"/>
        <v>0</v>
      </c>
      <c r="K178" s="451"/>
      <c r="L178" s="364"/>
      <c r="M178" s="452" t="s">
        <v>171</v>
      </c>
      <c r="N178" s="415" t="s">
        <v>185</v>
      </c>
      <c r="O178" s="453">
        <v>0.32800000000000001</v>
      </c>
      <c r="P178" s="453">
        <f t="shared" si="11"/>
        <v>32.800000000000004</v>
      </c>
      <c r="Q178" s="453">
        <v>0</v>
      </c>
      <c r="R178" s="453">
        <f t="shared" si="12"/>
        <v>0</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1022</v>
      </c>
    </row>
    <row r="179" spans="2:65" s="365" customFormat="1" ht="24.2" customHeight="1" x14ac:dyDescent="0.25">
      <c r="B179" s="364"/>
      <c r="C179" s="445" t="s">
        <v>265</v>
      </c>
      <c r="D179" s="445" t="s">
        <v>218</v>
      </c>
      <c r="E179" s="446" t="s">
        <v>812</v>
      </c>
      <c r="F179" s="447" t="s">
        <v>813</v>
      </c>
      <c r="G179" s="448" t="s">
        <v>113</v>
      </c>
      <c r="H179" s="449">
        <v>70</v>
      </c>
      <c r="I179" s="329">
        <v>0</v>
      </c>
      <c r="J179" s="450">
        <f t="shared" si="10"/>
        <v>0</v>
      </c>
      <c r="K179" s="451"/>
      <c r="L179" s="364"/>
      <c r="M179" s="452" t="s">
        <v>171</v>
      </c>
      <c r="N179" s="415" t="s">
        <v>185</v>
      </c>
      <c r="O179" s="453">
        <v>0.104</v>
      </c>
      <c r="P179" s="453">
        <f t="shared" si="11"/>
        <v>7.2799999999999994</v>
      </c>
      <c r="Q179" s="453">
        <v>4.2059999999999998E-4</v>
      </c>
      <c r="R179" s="453">
        <f t="shared" si="12"/>
        <v>2.9441999999999999E-2</v>
      </c>
      <c r="S179" s="453">
        <v>0</v>
      </c>
      <c r="T179" s="454">
        <f t="shared" si="13"/>
        <v>0</v>
      </c>
      <c r="AR179" s="455" t="s">
        <v>110</v>
      </c>
      <c r="AT179" s="455" t="s">
        <v>218</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110</v>
      </c>
      <c r="BM179" s="455" t="s">
        <v>814</v>
      </c>
    </row>
    <row r="180" spans="2:65" s="434" customFormat="1" ht="22.9" customHeight="1" x14ac:dyDescent="0.2">
      <c r="B180" s="433"/>
      <c r="D180" s="435" t="s">
        <v>216</v>
      </c>
      <c r="E180" s="443" t="s">
        <v>115</v>
      </c>
      <c r="F180" s="443" t="s">
        <v>1023</v>
      </c>
      <c r="I180" s="331"/>
      <c r="J180" s="444">
        <f>BK180</f>
        <v>0</v>
      </c>
      <c r="L180" s="433"/>
      <c r="M180" s="438"/>
      <c r="P180" s="439">
        <f>SUM(P181:P182)</f>
        <v>0</v>
      </c>
      <c r="R180" s="439">
        <f>SUM(R181:R182)</f>
        <v>0.19320000000000001</v>
      </c>
      <c r="T180" s="440">
        <f>SUM(T181:T182)</f>
        <v>0</v>
      </c>
      <c r="AR180" s="435" t="s">
        <v>109</v>
      </c>
      <c r="AT180" s="441" t="s">
        <v>216</v>
      </c>
      <c r="AU180" s="441" t="s">
        <v>109</v>
      </c>
      <c r="AY180" s="435" t="s">
        <v>217</v>
      </c>
      <c r="BK180" s="442">
        <f>SUM(BK181:BK182)</f>
        <v>0</v>
      </c>
    </row>
    <row r="181" spans="2:65" s="365" customFormat="1" ht="33" customHeight="1" x14ac:dyDescent="0.25">
      <c r="B181" s="364"/>
      <c r="C181" s="445" t="s">
        <v>266</v>
      </c>
      <c r="D181" s="445" t="s">
        <v>218</v>
      </c>
      <c r="E181" s="446" t="s">
        <v>1024</v>
      </c>
      <c r="F181" s="447" t="s">
        <v>1025</v>
      </c>
      <c r="G181" s="448" t="s">
        <v>113</v>
      </c>
      <c r="H181" s="449">
        <v>230</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108</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1026</v>
      </c>
    </row>
    <row r="182" spans="2:65" s="365" customFormat="1" ht="24.2" customHeight="1" x14ac:dyDescent="0.25">
      <c r="B182" s="364"/>
      <c r="C182" s="457" t="s">
        <v>573</v>
      </c>
      <c r="D182" s="457" t="s">
        <v>259</v>
      </c>
      <c r="E182" s="458" t="s">
        <v>1027</v>
      </c>
      <c r="F182" s="459" t="s">
        <v>1028</v>
      </c>
      <c r="G182" s="460" t="s">
        <v>113</v>
      </c>
      <c r="H182" s="461">
        <v>230</v>
      </c>
      <c r="I182" s="330">
        <v>0</v>
      </c>
      <c r="J182" s="462">
        <f>ROUND(I182*H182,2)</f>
        <v>0</v>
      </c>
      <c r="K182" s="463"/>
      <c r="L182" s="464"/>
      <c r="M182" s="465" t="s">
        <v>171</v>
      </c>
      <c r="N182" s="466" t="s">
        <v>185</v>
      </c>
      <c r="O182" s="453">
        <v>0</v>
      </c>
      <c r="P182" s="453">
        <f>O182*H182</f>
        <v>0</v>
      </c>
      <c r="Q182" s="453">
        <v>8.4000000000000003E-4</v>
      </c>
      <c r="R182" s="453">
        <f>Q182*H182</f>
        <v>0.19320000000000001</v>
      </c>
      <c r="S182" s="453">
        <v>0</v>
      </c>
      <c r="T182" s="454">
        <f>S182*H182</f>
        <v>0</v>
      </c>
      <c r="AR182" s="455" t="s">
        <v>115</v>
      </c>
      <c r="AT182" s="455" t="s">
        <v>259</v>
      </c>
      <c r="AU182" s="455" t="s">
        <v>108</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1029</v>
      </c>
    </row>
    <row r="183" spans="2:65" s="434" customFormat="1" ht="22.9" customHeight="1" x14ac:dyDescent="0.2">
      <c r="B183" s="433"/>
      <c r="D183" s="435" t="s">
        <v>216</v>
      </c>
      <c r="E183" s="443" t="s">
        <v>162</v>
      </c>
      <c r="F183" s="443" t="s">
        <v>633</v>
      </c>
      <c r="I183" s="331"/>
      <c r="J183" s="444">
        <f>BK183</f>
        <v>0</v>
      </c>
      <c r="L183" s="433"/>
      <c r="M183" s="438"/>
      <c r="P183" s="439">
        <f>SUM(P184:P210)</f>
        <v>519.99567999999999</v>
      </c>
      <c r="R183" s="439">
        <f>SUM(R184:R210)</f>
        <v>464.62824173000001</v>
      </c>
      <c r="T183" s="440">
        <f>SUM(T184:T210)</f>
        <v>68.160000000000011</v>
      </c>
      <c r="AR183" s="435" t="s">
        <v>109</v>
      </c>
      <c r="AT183" s="441" t="s">
        <v>216</v>
      </c>
      <c r="AU183" s="441" t="s">
        <v>109</v>
      </c>
      <c r="AY183" s="435" t="s">
        <v>217</v>
      </c>
      <c r="BK183" s="442">
        <f>SUM(BK184:BK210)</f>
        <v>0</v>
      </c>
    </row>
    <row r="184" spans="2:65" s="365" customFormat="1" ht="37.9" customHeight="1" x14ac:dyDescent="0.25">
      <c r="B184" s="364"/>
      <c r="C184" s="445" t="s">
        <v>577</v>
      </c>
      <c r="D184" s="445" t="s">
        <v>218</v>
      </c>
      <c r="E184" s="446" t="s">
        <v>690</v>
      </c>
      <c r="F184" s="447" t="s">
        <v>1030</v>
      </c>
      <c r="G184" s="448" t="s">
        <v>111</v>
      </c>
      <c r="H184" s="449">
        <v>114</v>
      </c>
      <c r="I184" s="329">
        <v>0</v>
      </c>
      <c r="J184" s="450">
        <f t="shared" ref="J184:J210" si="20">ROUND(I184*H184,2)</f>
        <v>0</v>
      </c>
      <c r="K184" s="451"/>
      <c r="L184" s="364"/>
      <c r="M184" s="452" t="s">
        <v>171</v>
      </c>
      <c r="N184" s="415" t="s">
        <v>185</v>
      </c>
      <c r="O184" s="453">
        <v>2.7099999999999999E-2</v>
      </c>
      <c r="P184" s="453">
        <f t="shared" ref="P184:P210" si="21">O184*H184</f>
        <v>3.0893999999999999</v>
      </c>
      <c r="Q184" s="453">
        <v>1.0127E-4</v>
      </c>
      <c r="R184" s="453">
        <f t="shared" ref="R184:R210" si="22">Q184*H184</f>
        <v>1.1544779999999999E-2</v>
      </c>
      <c r="S184" s="453">
        <v>0.125</v>
      </c>
      <c r="T184" s="454">
        <f t="shared" ref="T184:T210" si="23">S184*H184</f>
        <v>14.25</v>
      </c>
      <c r="AR184" s="455" t="s">
        <v>110</v>
      </c>
      <c r="AT184" s="455" t="s">
        <v>218</v>
      </c>
      <c r="AU184" s="455" t="s">
        <v>108</v>
      </c>
      <c r="AY184" s="357" t="s">
        <v>217</v>
      </c>
      <c r="BE184" s="456">
        <f t="shared" ref="BE184:BE210" si="24">IF(N184="základná",J184,0)</f>
        <v>0</v>
      </c>
      <c r="BF184" s="456">
        <f t="shared" ref="BF184:BF210" si="25">IF(N184="znížená",J184,0)</f>
        <v>0</v>
      </c>
      <c r="BG184" s="456">
        <f t="shared" ref="BG184:BG210" si="26">IF(N184="zákl. prenesená",J184,0)</f>
        <v>0</v>
      </c>
      <c r="BH184" s="456">
        <f t="shared" ref="BH184:BH210" si="27">IF(N184="zníž. prenesená",J184,0)</f>
        <v>0</v>
      </c>
      <c r="BI184" s="456">
        <f t="shared" ref="BI184:BI210" si="28">IF(N184="nulová",J184,0)</f>
        <v>0</v>
      </c>
      <c r="BJ184" s="357" t="s">
        <v>108</v>
      </c>
      <c r="BK184" s="456">
        <f t="shared" ref="BK184:BK210" si="29">ROUND(I184*H184,2)</f>
        <v>0</v>
      </c>
      <c r="BL184" s="357" t="s">
        <v>110</v>
      </c>
      <c r="BM184" s="455" t="s">
        <v>818</v>
      </c>
    </row>
    <row r="185" spans="2:65" s="365" customFormat="1" ht="24.2" customHeight="1" x14ac:dyDescent="0.25">
      <c r="B185" s="364"/>
      <c r="C185" s="445" t="s">
        <v>581</v>
      </c>
      <c r="D185" s="445" t="s">
        <v>218</v>
      </c>
      <c r="E185" s="446" t="s">
        <v>1031</v>
      </c>
      <c r="F185" s="447" t="s">
        <v>1032</v>
      </c>
      <c r="G185" s="448" t="s">
        <v>111</v>
      </c>
      <c r="H185" s="449">
        <v>24</v>
      </c>
      <c r="I185" s="329">
        <v>0</v>
      </c>
      <c r="J185" s="450">
        <f t="shared" si="20"/>
        <v>0</v>
      </c>
      <c r="K185" s="451"/>
      <c r="L185" s="364"/>
      <c r="M185" s="452" t="s">
        <v>171</v>
      </c>
      <c r="N185" s="415" t="s">
        <v>185</v>
      </c>
      <c r="O185" s="453">
        <v>0.59199999999999997</v>
      </c>
      <c r="P185" s="453">
        <f t="shared" si="21"/>
        <v>14.207999999999998</v>
      </c>
      <c r="Q185" s="453">
        <v>0</v>
      </c>
      <c r="R185" s="453">
        <f t="shared" si="22"/>
        <v>0</v>
      </c>
      <c r="S185" s="453">
        <v>0.375</v>
      </c>
      <c r="T185" s="454">
        <f t="shared" si="23"/>
        <v>9</v>
      </c>
      <c r="AR185" s="455" t="s">
        <v>110</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1033</v>
      </c>
    </row>
    <row r="186" spans="2:65" s="365" customFormat="1" ht="24.2" customHeight="1" x14ac:dyDescent="0.25">
      <c r="B186" s="364"/>
      <c r="C186" s="445" t="s">
        <v>585</v>
      </c>
      <c r="D186" s="445" t="s">
        <v>218</v>
      </c>
      <c r="E186" s="446" t="s">
        <v>1034</v>
      </c>
      <c r="F186" s="447" t="s">
        <v>1035</v>
      </c>
      <c r="G186" s="448" t="s">
        <v>111</v>
      </c>
      <c r="H186" s="449">
        <v>80</v>
      </c>
      <c r="I186" s="329">
        <v>0</v>
      </c>
      <c r="J186" s="450">
        <f t="shared" si="20"/>
        <v>0</v>
      </c>
      <c r="K186" s="451"/>
      <c r="L186" s="364"/>
      <c r="M186" s="452" t="s">
        <v>171</v>
      </c>
      <c r="N186" s="415" t="s">
        <v>185</v>
      </c>
      <c r="O186" s="453">
        <v>1.1890000000000001</v>
      </c>
      <c r="P186" s="453">
        <f t="shared" si="21"/>
        <v>95.12</v>
      </c>
      <c r="Q186" s="453">
        <v>0</v>
      </c>
      <c r="R186" s="453">
        <f t="shared" si="22"/>
        <v>0</v>
      </c>
      <c r="S186" s="453">
        <v>0.56000000000000005</v>
      </c>
      <c r="T186" s="454">
        <f t="shared" si="23"/>
        <v>44.800000000000004</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1036</v>
      </c>
    </row>
    <row r="187" spans="2:65" s="365" customFormat="1" ht="24.2" customHeight="1" x14ac:dyDescent="0.25">
      <c r="B187" s="364"/>
      <c r="C187" s="445" t="s">
        <v>589</v>
      </c>
      <c r="D187" s="445" t="s">
        <v>218</v>
      </c>
      <c r="E187" s="446" t="s">
        <v>1037</v>
      </c>
      <c r="F187" s="447" t="s">
        <v>838</v>
      </c>
      <c r="G187" s="448" t="s">
        <v>123</v>
      </c>
      <c r="H187" s="449">
        <v>5</v>
      </c>
      <c r="I187" s="329">
        <v>0</v>
      </c>
      <c r="J187" s="450">
        <f t="shared" si="20"/>
        <v>0</v>
      </c>
      <c r="K187" s="451"/>
      <c r="L187" s="364"/>
      <c r="M187" s="452" t="s">
        <v>171</v>
      </c>
      <c r="N187" s="415" t="s">
        <v>185</v>
      </c>
      <c r="O187" s="453">
        <v>0.746</v>
      </c>
      <c r="P187" s="453">
        <f t="shared" si="21"/>
        <v>3.73</v>
      </c>
      <c r="Q187" s="453">
        <v>0.22133</v>
      </c>
      <c r="R187" s="453">
        <f t="shared" si="22"/>
        <v>1.1066499999999999</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1038</v>
      </c>
    </row>
    <row r="188" spans="2:65" s="365" customFormat="1" ht="16.5" customHeight="1" x14ac:dyDescent="0.25">
      <c r="B188" s="364"/>
      <c r="C188" s="457" t="s">
        <v>593</v>
      </c>
      <c r="D188" s="457" t="s">
        <v>259</v>
      </c>
      <c r="E188" s="458" t="s">
        <v>268</v>
      </c>
      <c r="F188" s="459" t="s">
        <v>840</v>
      </c>
      <c r="G188" s="460" t="s">
        <v>123</v>
      </c>
      <c r="H188" s="461">
        <v>5</v>
      </c>
      <c r="I188" s="330">
        <v>0</v>
      </c>
      <c r="J188" s="462">
        <f t="shared" si="20"/>
        <v>0</v>
      </c>
      <c r="K188" s="463"/>
      <c r="L188" s="464"/>
      <c r="M188" s="465" t="s">
        <v>171</v>
      </c>
      <c r="N188" s="466" t="s">
        <v>185</v>
      </c>
      <c r="O188" s="453">
        <v>0</v>
      </c>
      <c r="P188" s="453">
        <f t="shared" si="21"/>
        <v>0</v>
      </c>
      <c r="Q188" s="453">
        <v>1.4E-3</v>
      </c>
      <c r="R188" s="453">
        <f t="shared" si="22"/>
        <v>7.0000000000000001E-3</v>
      </c>
      <c r="S188" s="453">
        <v>0</v>
      </c>
      <c r="T188" s="454">
        <f t="shared" si="23"/>
        <v>0</v>
      </c>
      <c r="AR188" s="455" t="s">
        <v>115</v>
      </c>
      <c r="AT188" s="455" t="s">
        <v>259</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1039</v>
      </c>
    </row>
    <row r="189" spans="2:65" s="365" customFormat="1" ht="24.2" customHeight="1" x14ac:dyDescent="0.25">
      <c r="B189" s="364"/>
      <c r="C189" s="457" t="s">
        <v>597</v>
      </c>
      <c r="D189" s="457" t="s">
        <v>259</v>
      </c>
      <c r="E189" s="458" t="s">
        <v>842</v>
      </c>
      <c r="F189" s="459" t="s">
        <v>843</v>
      </c>
      <c r="G189" s="460" t="s">
        <v>123</v>
      </c>
      <c r="H189" s="461">
        <v>5</v>
      </c>
      <c r="I189" s="330">
        <v>0</v>
      </c>
      <c r="J189" s="462">
        <f t="shared" si="20"/>
        <v>0</v>
      </c>
      <c r="K189" s="463"/>
      <c r="L189" s="464"/>
      <c r="M189" s="465" t="s">
        <v>171</v>
      </c>
      <c r="N189" s="466" t="s">
        <v>185</v>
      </c>
      <c r="O189" s="453">
        <v>0</v>
      </c>
      <c r="P189" s="453">
        <f t="shared" si="21"/>
        <v>0</v>
      </c>
      <c r="Q189" s="453">
        <v>9.3000000000000005E-4</v>
      </c>
      <c r="R189" s="453">
        <f t="shared" si="22"/>
        <v>4.6500000000000005E-3</v>
      </c>
      <c r="S189" s="453">
        <v>0</v>
      </c>
      <c r="T189" s="454">
        <f t="shared" si="23"/>
        <v>0</v>
      </c>
      <c r="AR189" s="455" t="s">
        <v>115</v>
      </c>
      <c r="AT189" s="455" t="s">
        <v>259</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1040</v>
      </c>
    </row>
    <row r="190" spans="2:65" s="365" customFormat="1" ht="16.5" customHeight="1" x14ac:dyDescent="0.25">
      <c r="B190" s="364"/>
      <c r="C190" s="445" t="s">
        <v>601</v>
      </c>
      <c r="D190" s="445" t="s">
        <v>218</v>
      </c>
      <c r="E190" s="446" t="s">
        <v>845</v>
      </c>
      <c r="F190" s="447" t="s">
        <v>846</v>
      </c>
      <c r="G190" s="448" t="s">
        <v>123</v>
      </c>
      <c r="H190" s="449">
        <v>5</v>
      </c>
      <c r="I190" s="329">
        <v>0</v>
      </c>
      <c r="J190" s="450">
        <f t="shared" si="20"/>
        <v>0</v>
      </c>
      <c r="K190" s="451"/>
      <c r="L190" s="364"/>
      <c r="M190" s="452" t="s">
        <v>171</v>
      </c>
      <c r="N190" s="415" t="s">
        <v>185</v>
      </c>
      <c r="O190" s="453">
        <v>1.1759999999999999</v>
      </c>
      <c r="P190" s="453">
        <f t="shared" si="21"/>
        <v>5.88</v>
      </c>
      <c r="Q190" s="453">
        <v>0</v>
      </c>
      <c r="R190" s="453">
        <f t="shared" si="22"/>
        <v>0</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1041</v>
      </c>
    </row>
    <row r="191" spans="2:65" s="365" customFormat="1" ht="24.2" customHeight="1" x14ac:dyDescent="0.25">
      <c r="B191" s="364"/>
      <c r="C191" s="445" t="s">
        <v>605</v>
      </c>
      <c r="D191" s="445" t="s">
        <v>218</v>
      </c>
      <c r="E191" s="446" t="s">
        <v>848</v>
      </c>
      <c r="F191" s="447" t="s">
        <v>849</v>
      </c>
      <c r="G191" s="448" t="s">
        <v>123</v>
      </c>
      <c r="H191" s="449">
        <v>100</v>
      </c>
      <c r="I191" s="329">
        <v>0</v>
      </c>
      <c r="J191" s="450">
        <f t="shared" si="20"/>
        <v>0</v>
      </c>
      <c r="K191" s="451"/>
      <c r="L191" s="364"/>
      <c r="M191" s="452" t="s">
        <v>171</v>
      </c>
      <c r="N191" s="415" t="s">
        <v>185</v>
      </c>
      <c r="O191" s="453">
        <v>0.06</v>
      </c>
      <c r="P191" s="453">
        <f t="shared" si="21"/>
        <v>6</v>
      </c>
      <c r="Q191" s="453">
        <v>0</v>
      </c>
      <c r="R191" s="453">
        <f t="shared" si="22"/>
        <v>0</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1042</v>
      </c>
    </row>
    <row r="192" spans="2:65" s="365" customFormat="1" ht="24.2" customHeight="1" x14ac:dyDescent="0.25">
      <c r="B192" s="364"/>
      <c r="C192" s="457" t="s">
        <v>609</v>
      </c>
      <c r="D192" s="457" t="s">
        <v>259</v>
      </c>
      <c r="E192" s="458" t="s">
        <v>851</v>
      </c>
      <c r="F192" s="459" t="s">
        <v>1043</v>
      </c>
      <c r="G192" s="460" t="s">
        <v>123</v>
      </c>
      <c r="H192" s="461">
        <v>6000</v>
      </c>
      <c r="I192" s="330">
        <v>0</v>
      </c>
      <c r="J192" s="462">
        <f t="shared" si="20"/>
        <v>0</v>
      </c>
      <c r="K192" s="463"/>
      <c r="L192" s="464"/>
      <c r="M192" s="465" t="s">
        <v>171</v>
      </c>
      <c r="N192" s="466" t="s">
        <v>185</v>
      </c>
      <c r="O192" s="453">
        <v>0</v>
      </c>
      <c r="P192" s="453">
        <f t="shared" si="21"/>
        <v>0</v>
      </c>
      <c r="Q192" s="453">
        <v>1.14E-2</v>
      </c>
      <c r="R192" s="453">
        <f t="shared" si="22"/>
        <v>68.400000000000006</v>
      </c>
      <c r="S192" s="453">
        <v>0</v>
      </c>
      <c r="T192" s="454">
        <f t="shared" si="23"/>
        <v>0</v>
      </c>
      <c r="AR192" s="455" t="s">
        <v>115</v>
      </c>
      <c r="AT192" s="455" t="s">
        <v>259</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1044</v>
      </c>
    </row>
    <row r="193" spans="2:65" s="365" customFormat="1" ht="37.9" customHeight="1" x14ac:dyDescent="0.25">
      <c r="B193" s="364"/>
      <c r="C193" s="445" t="s">
        <v>613</v>
      </c>
      <c r="D193" s="445" t="s">
        <v>218</v>
      </c>
      <c r="E193" s="446" t="s">
        <v>1045</v>
      </c>
      <c r="F193" s="447" t="s">
        <v>1046</v>
      </c>
      <c r="G193" s="448" t="s">
        <v>113</v>
      </c>
      <c r="H193" s="449">
        <v>145</v>
      </c>
      <c r="I193" s="329">
        <v>0</v>
      </c>
      <c r="J193" s="450">
        <f t="shared" si="20"/>
        <v>0</v>
      </c>
      <c r="K193" s="451"/>
      <c r="L193" s="364"/>
      <c r="M193" s="452" t="s">
        <v>171</v>
      </c>
      <c r="N193" s="415" t="s">
        <v>185</v>
      </c>
      <c r="O193" s="453">
        <v>3.7999999999999999E-2</v>
      </c>
      <c r="P193" s="453">
        <f t="shared" si="21"/>
        <v>5.51</v>
      </c>
      <c r="Q193" s="453">
        <v>7.3125000000000002E-4</v>
      </c>
      <c r="R193" s="453">
        <f t="shared" si="22"/>
        <v>0.10603125000000001</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1047</v>
      </c>
    </row>
    <row r="194" spans="2:65" s="365" customFormat="1" ht="44.25" customHeight="1" x14ac:dyDescent="0.25">
      <c r="B194" s="364"/>
      <c r="C194" s="445" t="s">
        <v>617</v>
      </c>
      <c r="D194" s="445" t="s">
        <v>218</v>
      </c>
      <c r="E194" s="446" t="s">
        <v>854</v>
      </c>
      <c r="F194" s="447" t="s">
        <v>1048</v>
      </c>
      <c r="G194" s="448" t="s">
        <v>113</v>
      </c>
      <c r="H194" s="449">
        <v>1605</v>
      </c>
      <c r="I194" s="329">
        <v>0</v>
      </c>
      <c r="J194" s="450">
        <f t="shared" si="20"/>
        <v>0</v>
      </c>
      <c r="K194" s="451"/>
      <c r="L194" s="364"/>
      <c r="M194" s="452" t="s">
        <v>171</v>
      </c>
      <c r="N194" s="415" t="s">
        <v>185</v>
      </c>
      <c r="O194" s="453">
        <v>2.1999999999999999E-2</v>
      </c>
      <c r="P194" s="453">
        <f t="shared" si="21"/>
        <v>35.309999999999995</v>
      </c>
      <c r="Q194" s="453">
        <v>1.0119999999999999E-4</v>
      </c>
      <c r="R194" s="453">
        <f t="shared" si="22"/>
        <v>0.16242599999999999</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1049</v>
      </c>
    </row>
    <row r="195" spans="2:65" s="365" customFormat="1" ht="44.25" customHeight="1" x14ac:dyDescent="0.25">
      <c r="B195" s="364"/>
      <c r="C195" s="445" t="s">
        <v>621</v>
      </c>
      <c r="D195" s="445" t="s">
        <v>218</v>
      </c>
      <c r="E195" s="446" t="s">
        <v>857</v>
      </c>
      <c r="F195" s="447" t="s">
        <v>858</v>
      </c>
      <c r="G195" s="448" t="s">
        <v>113</v>
      </c>
      <c r="H195" s="449">
        <v>567</v>
      </c>
      <c r="I195" s="329">
        <v>0</v>
      </c>
      <c r="J195" s="450">
        <f t="shared" si="20"/>
        <v>0</v>
      </c>
      <c r="K195" s="451"/>
      <c r="L195" s="364"/>
      <c r="M195" s="452" t="s">
        <v>171</v>
      </c>
      <c r="N195" s="415" t="s">
        <v>185</v>
      </c>
      <c r="O195" s="453">
        <v>2.1999999999999999E-2</v>
      </c>
      <c r="P195" s="453">
        <f t="shared" si="21"/>
        <v>12.473999999999998</v>
      </c>
      <c r="Q195" s="453">
        <v>1E-4</v>
      </c>
      <c r="R195" s="453">
        <f t="shared" si="22"/>
        <v>5.67E-2</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1050</v>
      </c>
    </row>
    <row r="196" spans="2:65" s="365" customFormat="1" ht="37.9" customHeight="1" x14ac:dyDescent="0.25">
      <c r="B196" s="364"/>
      <c r="C196" s="445" t="s">
        <v>625</v>
      </c>
      <c r="D196" s="445" t="s">
        <v>218</v>
      </c>
      <c r="E196" s="446" t="s">
        <v>863</v>
      </c>
      <c r="F196" s="447" t="s">
        <v>1051</v>
      </c>
      <c r="G196" s="448" t="s">
        <v>113</v>
      </c>
      <c r="H196" s="449">
        <v>135</v>
      </c>
      <c r="I196" s="329">
        <v>0</v>
      </c>
      <c r="J196" s="450">
        <f t="shared" si="20"/>
        <v>0</v>
      </c>
      <c r="K196" s="451"/>
      <c r="L196" s="364"/>
      <c r="M196" s="452" t="s">
        <v>171</v>
      </c>
      <c r="N196" s="415" t="s">
        <v>185</v>
      </c>
      <c r="O196" s="453">
        <v>2.8000000000000001E-2</v>
      </c>
      <c r="P196" s="453">
        <f t="shared" si="21"/>
        <v>3.7800000000000002</v>
      </c>
      <c r="Q196" s="453">
        <v>2.4509E-4</v>
      </c>
      <c r="R196" s="453">
        <f t="shared" si="22"/>
        <v>3.3087150000000003E-2</v>
      </c>
      <c r="S196" s="453">
        <v>0</v>
      </c>
      <c r="T196" s="454">
        <f t="shared" si="23"/>
        <v>0</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1052</v>
      </c>
    </row>
    <row r="197" spans="2:65" s="365" customFormat="1" ht="37.9" customHeight="1" x14ac:dyDescent="0.25">
      <c r="B197" s="364"/>
      <c r="C197" s="445" t="s">
        <v>629</v>
      </c>
      <c r="D197" s="445" t="s">
        <v>218</v>
      </c>
      <c r="E197" s="446" t="s">
        <v>1053</v>
      </c>
      <c r="F197" s="447" t="s">
        <v>1054</v>
      </c>
      <c r="G197" s="448" t="s">
        <v>111</v>
      </c>
      <c r="H197" s="449">
        <v>35</v>
      </c>
      <c r="I197" s="329">
        <v>0</v>
      </c>
      <c r="J197" s="450">
        <f t="shared" si="20"/>
        <v>0</v>
      </c>
      <c r="K197" s="451"/>
      <c r="L197" s="364"/>
      <c r="M197" s="452" t="s">
        <v>171</v>
      </c>
      <c r="N197" s="415" t="s">
        <v>185</v>
      </c>
      <c r="O197" s="453">
        <v>0.48</v>
      </c>
      <c r="P197" s="453">
        <f t="shared" si="21"/>
        <v>16.8</v>
      </c>
      <c r="Q197" s="453">
        <v>8.9999999999999998E-4</v>
      </c>
      <c r="R197" s="453">
        <f t="shared" si="22"/>
        <v>3.15E-2</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1055</v>
      </c>
    </row>
    <row r="198" spans="2:65" s="365" customFormat="1" ht="24.2" customHeight="1" x14ac:dyDescent="0.25">
      <c r="B198" s="364"/>
      <c r="C198" s="445" t="s">
        <v>634</v>
      </c>
      <c r="D198" s="445" t="s">
        <v>218</v>
      </c>
      <c r="E198" s="446" t="s">
        <v>869</v>
      </c>
      <c r="F198" s="447" t="s">
        <v>269</v>
      </c>
      <c r="G198" s="448" t="s">
        <v>113</v>
      </c>
      <c r="H198" s="449">
        <v>1885</v>
      </c>
      <c r="I198" s="329">
        <v>0</v>
      </c>
      <c r="J198" s="450">
        <f t="shared" si="20"/>
        <v>0</v>
      </c>
      <c r="K198" s="451"/>
      <c r="L198" s="364"/>
      <c r="M198" s="452" t="s">
        <v>171</v>
      </c>
      <c r="N198" s="415" t="s">
        <v>185</v>
      </c>
      <c r="O198" s="453">
        <v>1.4999999999999999E-2</v>
      </c>
      <c r="P198" s="453">
        <f t="shared" si="21"/>
        <v>28.274999999999999</v>
      </c>
      <c r="Q198" s="453">
        <v>3.7500000000000001E-6</v>
      </c>
      <c r="R198" s="453">
        <f t="shared" si="22"/>
        <v>7.0687500000000004E-3</v>
      </c>
      <c r="S198" s="453">
        <v>0</v>
      </c>
      <c r="T198" s="454">
        <f t="shared" si="23"/>
        <v>0</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1056</v>
      </c>
    </row>
    <row r="199" spans="2:65" s="365" customFormat="1" ht="24.2" customHeight="1" x14ac:dyDescent="0.25">
      <c r="B199" s="364"/>
      <c r="C199" s="445" t="s">
        <v>637</v>
      </c>
      <c r="D199" s="445" t="s">
        <v>218</v>
      </c>
      <c r="E199" s="446" t="s">
        <v>871</v>
      </c>
      <c r="F199" s="447" t="s">
        <v>872</v>
      </c>
      <c r="G199" s="448" t="s">
        <v>111</v>
      </c>
      <c r="H199" s="449">
        <v>35</v>
      </c>
      <c r="I199" s="329">
        <v>0</v>
      </c>
      <c r="J199" s="450">
        <f t="shared" si="20"/>
        <v>0</v>
      </c>
      <c r="K199" s="451"/>
      <c r="L199" s="364"/>
      <c r="M199" s="452" t="s">
        <v>171</v>
      </c>
      <c r="N199" s="415" t="s">
        <v>185</v>
      </c>
      <c r="O199" s="453">
        <v>0.11899999999999999</v>
      </c>
      <c r="P199" s="453">
        <f t="shared" si="21"/>
        <v>4.165</v>
      </c>
      <c r="Q199" s="453">
        <v>9.3999999999999998E-6</v>
      </c>
      <c r="R199" s="453">
        <f t="shared" si="22"/>
        <v>3.2899999999999997E-4</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1057</v>
      </c>
    </row>
    <row r="200" spans="2:65" s="365" customFormat="1" ht="16.5" customHeight="1" x14ac:dyDescent="0.25">
      <c r="B200" s="364"/>
      <c r="C200" s="445" t="s">
        <v>640</v>
      </c>
      <c r="D200" s="445" t="s">
        <v>218</v>
      </c>
      <c r="E200" s="446" t="s">
        <v>1058</v>
      </c>
      <c r="F200" s="447" t="s">
        <v>1059</v>
      </c>
      <c r="G200" s="448" t="s">
        <v>123</v>
      </c>
      <c r="H200" s="449">
        <v>30</v>
      </c>
      <c r="I200" s="329">
        <v>0</v>
      </c>
      <c r="J200" s="450">
        <f t="shared" si="20"/>
        <v>0</v>
      </c>
      <c r="K200" s="451"/>
      <c r="L200" s="364"/>
      <c r="M200" s="452" t="s">
        <v>171</v>
      </c>
      <c r="N200" s="415" t="s">
        <v>185</v>
      </c>
      <c r="O200" s="453">
        <v>0.23</v>
      </c>
      <c r="P200" s="453">
        <f t="shared" si="21"/>
        <v>6.9</v>
      </c>
      <c r="Q200" s="453">
        <v>5.2960000000000001E-5</v>
      </c>
      <c r="R200" s="453">
        <f t="shared" si="22"/>
        <v>1.5888E-3</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1060</v>
      </c>
    </row>
    <row r="201" spans="2:65" s="365" customFormat="1" ht="21.75" customHeight="1" x14ac:dyDescent="0.25">
      <c r="B201" s="364"/>
      <c r="C201" s="457" t="s">
        <v>644</v>
      </c>
      <c r="D201" s="457" t="s">
        <v>259</v>
      </c>
      <c r="E201" s="458" t="s">
        <v>1061</v>
      </c>
      <c r="F201" s="459" t="s">
        <v>1062</v>
      </c>
      <c r="G201" s="460" t="s">
        <v>123</v>
      </c>
      <c r="H201" s="461">
        <v>30</v>
      </c>
      <c r="I201" s="330">
        <v>0</v>
      </c>
      <c r="J201" s="462">
        <f t="shared" si="20"/>
        <v>0</v>
      </c>
      <c r="K201" s="463"/>
      <c r="L201" s="464"/>
      <c r="M201" s="465" t="s">
        <v>171</v>
      </c>
      <c r="N201" s="466" t="s">
        <v>185</v>
      </c>
      <c r="O201" s="453">
        <v>0</v>
      </c>
      <c r="P201" s="453">
        <f t="shared" si="21"/>
        <v>0</v>
      </c>
      <c r="Q201" s="453">
        <v>6.0000000000000001E-3</v>
      </c>
      <c r="R201" s="453">
        <f t="shared" si="22"/>
        <v>0.18</v>
      </c>
      <c r="S201" s="453">
        <v>0</v>
      </c>
      <c r="T201" s="454">
        <f t="shared" si="23"/>
        <v>0</v>
      </c>
      <c r="AR201" s="455" t="s">
        <v>115</v>
      </c>
      <c r="AT201" s="455" t="s">
        <v>259</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1063</v>
      </c>
    </row>
    <row r="202" spans="2:65" s="365" customFormat="1" ht="33" customHeight="1" x14ac:dyDescent="0.25">
      <c r="B202" s="364"/>
      <c r="C202" s="445" t="s">
        <v>645</v>
      </c>
      <c r="D202" s="445" t="s">
        <v>218</v>
      </c>
      <c r="E202" s="446" t="s">
        <v>883</v>
      </c>
      <c r="F202" s="447" t="s">
        <v>270</v>
      </c>
      <c r="G202" s="448" t="s">
        <v>114</v>
      </c>
      <c r="H202" s="449">
        <v>178</v>
      </c>
      <c r="I202" s="329">
        <v>0</v>
      </c>
      <c r="J202" s="450">
        <f t="shared" si="20"/>
        <v>0</v>
      </c>
      <c r="K202" s="451"/>
      <c r="L202" s="364"/>
      <c r="M202" s="452" t="s">
        <v>171</v>
      </c>
      <c r="N202" s="415" t="s">
        <v>185</v>
      </c>
      <c r="O202" s="453">
        <v>1.363</v>
      </c>
      <c r="P202" s="453">
        <f t="shared" si="21"/>
        <v>242.614</v>
      </c>
      <c r="Q202" s="453">
        <v>2.2151320000000001</v>
      </c>
      <c r="R202" s="453">
        <f t="shared" si="22"/>
        <v>394.293496</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1064</v>
      </c>
    </row>
    <row r="203" spans="2:65" s="365" customFormat="1" ht="16.5" customHeight="1" x14ac:dyDescent="0.25">
      <c r="B203" s="364"/>
      <c r="C203" s="445" t="s">
        <v>651</v>
      </c>
      <c r="D203" s="445" t="s">
        <v>218</v>
      </c>
      <c r="E203" s="446" t="s">
        <v>885</v>
      </c>
      <c r="F203" s="447" t="s">
        <v>886</v>
      </c>
      <c r="G203" s="448" t="s">
        <v>123</v>
      </c>
      <c r="H203" s="449">
        <v>90</v>
      </c>
      <c r="I203" s="329">
        <v>0</v>
      </c>
      <c r="J203" s="450">
        <f t="shared" si="20"/>
        <v>0</v>
      </c>
      <c r="K203" s="451"/>
      <c r="L203" s="364"/>
      <c r="M203" s="452" t="s">
        <v>171</v>
      </c>
      <c r="N203" s="415" t="s">
        <v>185</v>
      </c>
      <c r="O203" s="453">
        <v>8.5000000000000006E-2</v>
      </c>
      <c r="P203" s="453">
        <f t="shared" si="21"/>
        <v>7.65</v>
      </c>
      <c r="Q203" s="453">
        <v>2.0200000000000001E-3</v>
      </c>
      <c r="R203" s="453">
        <f t="shared" si="22"/>
        <v>0.18180000000000002</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1065</v>
      </c>
    </row>
    <row r="204" spans="2:65" s="365" customFormat="1" ht="24.2" customHeight="1" x14ac:dyDescent="0.25">
      <c r="B204" s="364"/>
      <c r="C204" s="445" t="s">
        <v>655</v>
      </c>
      <c r="D204" s="445" t="s">
        <v>218</v>
      </c>
      <c r="E204" s="446" t="s">
        <v>900</v>
      </c>
      <c r="F204" s="447" t="s">
        <v>1066</v>
      </c>
      <c r="G204" s="448" t="s">
        <v>123</v>
      </c>
      <c r="H204" s="449">
        <v>5</v>
      </c>
      <c r="I204" s="329">
        <v>0</v>
      </c>
      <c r="J204" s="450">
        <f t="shared" si="20"/>
        <v>0</v>
      </c>
      <c r="K204" s="451"/>
      <c r="L204" s="364"/>
      <c r="M204" s="452" t="s">
        <v>171</v>
      </c>
      <c r="N204" s="415" t="s">
        <v>185</v>
      </c>
      <c r="O204" s="453">
        <v>0.16500000000000001</v>
      </c>
      <c r="P204" s="453">
        <f t="shared" si="21"/>
        <v>0.82500000000000007</v>
      </c>
      <c r="Q204" s="453">
        <v>0</v>
      </c>
      <c r="R204" s="453">
        <f t="shared" si="22"/>
        <v>0</v>
      </c>
      <c r="S204" s="453">
        <v>4.0000000000000001E-3</v>
      </c>
      <c r="T204" s="454">
        <f t="shared" si="23"/>
        <v>0.02</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902</v>
      </c>
    </row>
    <row r="205" spans="2:65" s="365" customFormat="1" ht="24.2" customHeight="1" x14ac:dyDescent="0.25">
      <c r="B205" s="364"/>
      <c r="C205" s="445" t="s">
        <v>659</v>
      </c>
      <c r="D205" s="445" t="s">
        <v>218</v>
      </c>
      <c r="E205" s="446" t="s">
        <v>920</v>
      </c>
      <c r="F205" s="447" t="s">
        <v>921</v>
      </c>
      <c r="G205" s="448" t="s">
        <v>502</v>
      </c>
      <c r="H205" s="449">
        <v>4500</v>
      </c>
      <c r="I205" s="329">
        <v>0</v>
      </c>
      <c r="J205" s="450">
        <f t="shared" si="20"/>
        <v>0</v>
      </c>
      <c r="K205" s="451"/>
      <c r="L205" s="364"/>
      <c r="M205" s="452" t="s">
        <v>171</v>
      </c>
      <c r="N205" s="415" t="s">
        <v>185</v>
      </c>
      <c r="O205" s="453">
        <v>6.0699999999999999E-3</v>
      </c>
      <c r="P205" s="453">
        <f t="shared" si="21"/>
        <v>27.314999999999998</v>
      </c>
      <c r="Q205" s="453">
        <v>9.8600000000000005E-6</v>
      </c>
      <c r="R205" s="453">
        <f t="shared" si="22"/>
        <v>4.437E-2</v>
      </c>
      <c r="S205" s="453">
        <v>2.0000000000000002E-5</v>
      </c>
      <c r="T205" s="454">
        <f t="shared" si="23"/>
        <v>9.0000000000000011E-2</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1067</v>
      </c>
    </row>
    <row r="206" spans="2:65" s="365" customFormat="1" ht="62.65" customHeight="1" x14ac:dyDescent="0.25">
      <c r="B206" s="364"/>
      <c r="C206" s="445" t="s">
        <v>664</v>
      </c>
      <c r="D206" s="445" t="s">
        <v>218</v>
      </c>
      <c r="E206" s="446" t="s">
        <v>635</v>
      </c>
      <c r="F206" s="447" t="s">
        <v>3081</v>
      </c>
      <c r="G206" s="448" t="s">
        <v>112</v>
      </c>
      <c r="H206" s="449">
        <f>Ponuka!L116</f>
        <v>34.713000000000001</v>
      </c>
      <c r="I206" s="329">
        <v>0</v>
      </c>
      <c r="J206" s="450">
        <f t="shared" si="20"/>
        <v>0</v>
      </c>
      <c r="K206" s="451"/>
      <c r="L206" s="364"/>
      <c r="M206" s="452" t="s">
        <v>171</v>
      </c>
      <c r="N206" s="415" t="s">
        <v>185</v>
      </c>
      <c r="O206" s="453">
        <v>0</v>
      </c>
      <c r="P206" s="453">
        <f t="shared" si="21"/>
        <v>0</v>
      </c>
      <c r="Q206" s="453">
        <v>0</v>
      </c>
      <c r="R206" s="453">
        <f t="shared" si="22"/>
        <v>0</v>
      </c>
      <c r="S206" s="453">
        <v>0</v>
      </c>
      <c r="T206" s="454">
        <f t="shared" si="23"/>
        <v>0</v>
      </c>
      <c r="AR206" s="455" t="s">
        <v>110</v>
      </c>
      <c r="AT206" s="455" t="s">
        <v>218</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1068</v>
      </c>
    </row>
    <row r="207" spans="2:65" s="365" customFormat="1" ht="66.75" customHeight="1" x14ac:dyDescent="0.25">
      <c r="B207" s="364"/>
      <c r="C207" s="445" t="s">
        <v>670</v>
      </c>
      <c r="D207" s="445" t="s">
        <v>218</v>
      </c>
      <c r="E207" s="446" t="s">
        <v>926</v>
      </c>
      <c r="F207" s="447" t="s">
        <v>3082</v>
      </c>
      <c r="G207" s="448" t="s">
        <v>112</v>
      </c>
      <c r="H207" s="449">
        <f>Ponuka!N116</f>
        <v>56.965999999999994</v>
      </c>
      <c r="I207" s="329">
        <v>0</v>
      </c>
      <c r="J207" s="450">
        <f t="shared" si="20"/>
        <v>0</v>
      </c>
      <c r="K207" s="451"/>
      <c r="L207" s="364"/>
      <c r="M207" s="452" t="s">
        <v>171</v>
      </c>
      <c r="N207" s="415" t="s">
        <v>185</v>
      </c>
      <c r="O207" s="453">
        <v>0</v>
      </c>
      <c r="P207" s="453">
        <f t="shared" si="21"/>
        <v>0</v>
      </c>
      <c r="Q207" s="453">
        <v>0</v>
      </c>
      <c r="R207" s="453">
        <f t="shared" si="22"/>
        <v>0</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1069</v>
      </c>
    </row>
    <row r="208" spans="2:65" s="365" customFormat="1" ht="62.65" customHeight="1" x14ac:dyDescent="0.25">
      <c r="B208" s="364"/>
      <c r="C208" s="445" t="s">
        <v>674</v>
      </c>
      <c r="D208" s="445" t="s">
        <v>218</v>
      </c>
      <c r="E208" s="446" t="s">
        <v>929</v>
      </c>
      <c r="F208" s="447" t="s">
        <v>3083</v>
      </c>
      <c r="G208" s="448" t="s">
        <v>112</v>
      </c>
      <c r="H208" s="449">
        <f>Ponuka!P116</f>
        <v>44.519999999999996</v>
      </c>
      <c r="I208" s="329">
        <v>0</v>
      </c>
      <c r="J208" s="450">
        <f t="shared" si="20"/>
        <v>0</v>
      </c>
      <c r="K208" s="451"/>
      <c r="L208" s="364"/>
      <c r="M208" s="452" t="s">
        <v>171</v>
      </c>
      <c r="N208" s="415" t="s">
        <v>185</v>
      </c>
      <c r="O208" s="453">
        <v>0</v>
      </c>
      <c r="P208" s="453">
        <f t="shared" si="21"/>
        <v>0</v>
      </c>
      <c r="Q208" s="453">
        <v>0</v>
      </c>
      <c r="R208" s="453">
        <f t="shared" si="22"/>
        <v>0</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1070</v>
      </c>
    </row>
    <row r="209" spans="2:65" s="365" customFormat="1" ht="66.75" customHeight="1" x14ac:dyDescent="0.25">
      <c r="B209" s="364"/>
      <c r="C209" s="445" t="s">
        <v>678</v>
      </c>
      <c r="D209" s="445" t="s">
        <v>218</v>
      </c>
      <c r="E209" s="446" t="s">
        <v>638</v>
      </c>
      <c r="F209" s="447" t="s">
        <v>3084</v>
      </c>
      <c r="G209" s="448" t="s">
        <v>112</v>
      </c>
      <c r="H209" s="449">
        <f>Ponuka!R116</f>
        <v>1706.81</v>
      </c>
      <c r="I209" s="329">
        <v>0</v>
      </c>
      <c r="J209" s="450">
        <f t="shared" si="20"/>
        <v>0</v>
      </c>
      <c r="K209" s="451"/>
      <c r="L209" s="364"/>
      <c r="M209" s="452" t="s">
        <v>171</v>
      </c>
      <c r="N209" s="415" t="s">
        <v>185</v>
      </c>
      <c r="O209" s="453">
        <v>0</v>
      </c>
      <c r="P209" s="453">
        <f t="shared" si="21"/>
        <v>0</v>
      </c>
      <c r="Q209" s="453">
        <v>0</v>
      </c>
      <c r="R209" s="453">
        <f t="shared" si="22"/>
        <v>0</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1071</v>
      </c>
    </row>
    <row r="210" spans="2:65" s="365" customFormat="1" ht="24.2" customHeight="1" x14ac:dyDescent="0.25">
      <c r="B210" s="364"/>
      <c r="C210" s="445" t="s">
        <v>903</v>
      </c>
      <c r="D210" s="445" t="s">
        <v>218</v>
      </c>
      <c r="E210" s="446" t="s">
        <v>641</v>
      </c>
      <c r="F210" s="447" t="s">
        <v>642</v>
      </c>
      <c r="G210" s="448" t="s">
        <v>112</v>
      </c>
      <c r="H210" s="449">
        <v>58.38</v>
      </c>
      <c r="I210" s="329">
        <v>0</v>
      </c>
      <c r="J210" s="450">
        <f t="shared" si="20"/>
        <v>0</v>
      </c>
      <c r="K210" s="451"/>
      <c r="L210" s="364"/>
      <c r="M210" s="452" t="s">
        <v>171</v>
      </c>
      <c r="N210" s="415" t="s">
        <v>185</v>
      </c>
      <c r="O210" s="453">
        <v>6.0000000000000001E-3</v>
      </c>
      <c r="P210" s="453">
        <f t="shared" si="21"/>
        <v>0.35028000000000004</v>
      </c>
      <c r="Q210" s="453">
        <v>0</v>
      </c>
      <c r="R210" s="453">
        <f t="shared" si="22"/>
        <v>0</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1072</v>
      </c>
    </row>
    <row r="211" spans="2:65" s="434" customFormat="1" ht="22.9" customHeight="1" x14ac:dyDescent="0.2">
      <c r="B211" s="433"/>
      <c r="D211" s="435" t="s">
        <v>216</v>
      </c>
      <c r="E211" s="443" t="s">
        <v>649</v>
      </c>
      <c r="F211" s="443" t="s">
        <v>650</v>
      </c>
      <c r="I211" s="331"/>
      <c r="J211" s="444">
        <f>BK211</f>
        <v>0</v>
      </c>
      <c r="L211" s="433"/>
      <c r="M211" s="438"/>
      <c r="P211" s="439">
        <f>SUM(P212:P216)</f>
        <v>190.47311200000001</v>
      </c>
      <c r="R211" s="439">
        <f>SUM(R212:R216)</f>
        <v>0</v>
      </c>
      <c r="T211" s="440">
        <f>SUM(T212:T216)</f>
        <v>0</v>
      </c>
      <c r="AR211" s="435" t="s">
        <v>109</v>
      </c>
      <c r="AT211" s="441" t="s">
        <v>216</v>
      </c>
      <c r="AU211" s="441" t="s">
        <v>109</v>
      </c>
      <c r="AY211" s="435" t="s">
        <v>217</v>
      </c>
      <c r="BK211" s="442">
        <f>SUM(BK212:BK216)</f>
        <v>0</v>
      </c>
    </row>
    <row r="212" spans="2:65" s="365" customFormat="1" ht="24.2" customHeight="1" x14ac:dyDescent="0.25">
      <c r="B212" s="364"/>
      <c r="C212" s="445" t="s">
        <v>907</v>
      </c>
      <c r="D212" s="445" t="s">
        <v>218</v>
      </c>
      <c r="E212" s="446" t="s">
        <v>665</v>
      </c>
      <c r="F212" s="447" t="s">
        <v>936</v>
      </c>
      <c r="G212" s="448" t="s">
        <v>112</v>
      </c>
      <c r="H212" s="449">
        <v>3664.453</v>
      </c>
      <c r="I212" s="329">
        <v>0</v>
      </c>
      <c r="J212" s="450">
        <f>ROUND(I212*H212,2)</f>
        <v>0</v>
      </c>
      <c r="K212" s="451"/>
      <c r="L212" s="364"/>
      <c r="M212" s="452" t="s">
        <v>171</v>
      </c>
      <c r="N212" s="415" t="s">
        <v>185</v>
      </c>
      <c r="O212" s="453">
        <v>0.04</v>
      </c>
      <c r="P212" s="453">
        <f>O212*H212</f>
        <v>146.57812000000001</v>
      </c>
      <c r="Q212" s="453">
        <v>0</v>
      </c>
      <c r="R212" s="453">
        <f>Q212*H212</f>
        <v>0</v>
      </c>
      <c r="S212" s="453">
        <v>0</v>
      </c>
      <c r="T212" s="454">
        <f>S212*H212</f>
        <v>0</v>
      </c>
      <c r="AR212" s="455" t="s">
        <v>110</v>
      </c>
      <c r="AT212" s="455" t="s">
        <v>218</v>
      </c>
      <c r="AU212" s="455" t="s">
        <v>108</v>
      </c>
      <c r="AY212" s="357" t="s">
        <v>217</v>
      </c>
      <c r="BE212" s="456">
        <f>IF(N212="základná",J212,0)</f>
        <v>0</v>
      </c>
      <c r="BF212" s="456">
        <f>IF(N212="znížená",J212,0)</f>
        <v>0</v>
      </c>
      <c r="BG212" s="456">
        <f>IF(N212="zákl. prenesená",J212,0)</f>
        <v>0</v>
      </c>
      <c r="BH212" s="456">
        <f>IF(N212="zníž. prenesená",J212,0)</f>
        <v>0</v>
      </c>
      <c r="BI212" s="456">
        <f>IF(N212="nulová",J212,0)</f>
        <v>0</v>
      </c>
      <c r="BJ212" s="357" t="s">
        <v>108</v>
      </c>
      <c r="BK212" s="456">
        <f>ROUND(I212*H212,2)</f>
        <v>0</v>
      </c>
      <c r="BL212" s="357" t="s">
        <v>110</v>
      </c>
      <c r="BM212" s="455" t="s">
        <v>937</v>
      </c>
    </row>
    <row r="213" spans="2:65" s="365" customFormat="1" ht="24.2" customHeight="1" x14ac:dyDescent="0.25">
      <c r="B213" s="364"/>
      <c r="C213" s="445" t="s">
        <v>911</v>
      </c>
      <c r="D213" s="445" t="s">
        <v>218</v>
      </c>
      <c r="E213" s="446" t="s">
        <v>652</v>
      </c>
      <c r="F213" s="447" t="s">
        <v>1073</v>
      </c>
      <c r="G213" s="448" t="s">
        <v>112</v>
      </c>
      <c r="H213" s="449">
        <f>H215+H216+Ponuka!Q116</f>
        <v>58.371000000000009</v>
      </c>
      <c r="I213" s="329">
        <v>0</v>
      </c>
      <c r="J213" s="450">
        <f>ROUND(I213*H213,2)</f>
        <v>0</v>
      </c>
      <c r="K213" s="451"/>
      <c r="L213" s="364"/>
      <c r="M213" s="452" t="s">
        <v>171</v>
      </c>
      <c r="N213" s="415" t="s">
        <v>185</v>
      </c>
      <c r="O213" s="453">
        <v>0.59799999999999998</v>
      </c>
      <c r="P213" s="453">
        <f>O213*H213</f>
        <v>34.905858000000002</v>
      </c>
      <c r="Q213" s="453">
        <v>0</v>
      </c>
      <c r="R213" s="453">
        <f>Q213*H213</f>
        <v>0</v>
      </c>
      <c r="S213" s="453">
        <v>0</v>
      </c>
      <c r="T213" s="454">
        <f>S213*H213</f>
        <v>0</v>
      </c>
      <c r="AR213" s="455" t="s">
        <v>110</v>
      </c>
      <c r="AT213" s="455" t="s">
        <v>218</v>
      </c>
      <c r="AU213" s="455" t="s">
        <v>108</v>
      </c>
      <c r="AY213" s="357" t="s">
        <v>217</v>
      </c>
      <c r="BE213" s="456">
        <f>IF(N213="základná",J213,0)</f>
        <v>0</v>
      </c>
      <c r="BF213" s="456">
        <f>IF(N213="znížená",J213,0)</f>
        <v>0</v>
      </c>
      <c r="BG213" s="456">
        <f>IF(N213="zákl. prenesená",J213,0)</f>
        <v>0</v>
      </c>
      <c r="BH213" s="456">
        <f>IF(N213="zníž. prenesená",J213,0)</f>
        <v>0</v>
      </c>
      <c r="BI213" s="456">
        <f>IF(N213="nulová",J213,0)</f>
        <v>0</v>
      </c>
      <c r="BJ213" s="357" t="s">
        <v>108</v>
      </c>
      <c r="BK213" s="456">
        <f>ROUND(I213*H213,2)</f>
        <v>0</v>
      </c>
      <c r="BL213" s="357" t="s">
        <v>110</v>
      </c>
      <c r="BM213" s="455" t="s">
        <v>940</v>
      </c>
    </row>
    <row r="214" spans="2:65" s="365" customFormat="1" ht="24.2" customHeight="1" x14ac:dyDescent="0.25">
      <c r="B214" s="364"/>
      <c r="C214" s="445" t="s">
        <v>915</v>
      </c>
      <c r="D214" s="445" t="s">
        <v>218</v>
      </c>
      <c r="E214" s="446" t="s">
        <v>942</v>
      </c>
      <c r="F214" s="447" t="s">
        <v>1074</v>
      </c>
      <c r="G214" s="448" t="s">
        <v>112</v>
      </c>
      <c r="H214" s="449">
        <f>H213*22</f>
        <v>1284.1620000000003</v>
      </c>
      <c r="I214" s="329">
        <v>0</v>
      </c>
      <c r="J214" s="450">
        <f>ROUND(I214*H214,2)</f>
        <v>0</v>
      </c>
      <c r="K214" s="451"/>
      <c r="L214" s="364"/>
      <c r="M214" s="452" t="s">
        <v>171</v>
      </c>
      <c r="N214" s="415" t="s">
        <v>185</v>
      </c>
      <c r="O214" s="453">
        <v>7.0000000000000001E-3</v>
      </c>
      <c r="P214" s="453">
        <f>O214*H214</f>
        <v>8.9891340000000017</v>
      </c>
      <c r="Q214" s="453">
        <v>0</v>
      </c>
      <c r="R214" s="453">
        <f>Q214*H214</f>
        <v>0</v>
      </c>
      <c r="S214" s="453">
        <v>0</v>
      </c>
      <c r="T214" s="454">
        <f>S214*H214</f>
        <v>0</v>
      </c>
      <c r="AR214" s="455" t="s">
        <v>110</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110</v>
      </c>
      <c r="BM214" s="455" t="s">
        <v>944</v>
      </c>
    </row>
    <row r="215" spans="2:65" s="365" customFormat="1" ht="24.2" customHeight="1" x14ac:dyDescent="0.25">
      <c r="B215" s="364"/>
      <c r="C215" s="445" t="s">
        <v>919</v>
      </c>
      <c r="D215" s="445" t="s">
        <v>218</v>
      </c>
      <c r="E215" s="446" t="s">
        <v>946</v>
      </c>
      <c r="F215" s="447" t="s">
        <v>3085</v>
      </c>
      <c r="G215" s="448" t="s">
        <v>112</v>
      </c>
      <c r="H215" s="449">
        <f>Ponuka!M116</f>
        <v>14.877000000000002</v>
      </c>
      <c r="I215" s="329">
        <v>0</v>
      </c>
      <c r="J215" s="450">
        <f>ROUND(I215*H215,2)</f>
        <v>0</v>
      </c>
      <c r="K215" s="451"/>
      <c r="L215" s="364"/>
      <c r="M215" s="452" t="s">
        <v>171</v>
      </c>
      <c r="N215" s="415" t="s">
        <v>185</v>
      </c>
      <c r="O215" s="453">
        <v>0</v>
      </c>
      <c r="P215" s="453">
        <f>O215*H215</f>
        <v>0</v>
      </c>
      <c r="Q215" s="453">
        <v>0</v>
      </c>
      <c r="R215" s="453">
        <f>Q215*H215</f>
        <v>0</v>
      </c>
      <c r="S215" s="453">
        <v>0</v>
      </c>
      <c r="T215" s="454">
        <f>S215*H215</f>
        <v>0</v>
      </c>
      <c r="AR215" s="455" t="s">
        <v>110</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110</v>
      </c>
      <c r="BM215" s="455" t="s">
        <v>947</v>
      </c>
    </row>
    <row r="216" spans="2:65" s="365" customFormat="1" ht="24.2" customHeight="1" x14ac:dyDescent="0.25">
      <c r="B216" s="364"/>
      <c r="C216" s="445" t="s">
        <v>923</v>
      </c>
      <c r="D216" s="445" t="s">
        <v>218</v>
      </c>
      <c r="E216" s="446" t="s">
        <v>949</v>
      </c>
      <c r="F216" s="447" t="s">
        <v>3086</v>
      </c>
      <c r="G216" s="448" t="s">
        <v>112</v>
      </c>
      <c r="H216" s="449">
        <f>Ponuka!O116</f>
        <v>24.414000000000001</v>
      </c>
      <c r="I216" s="329">
        <v>0</v>
      </c>
      <c r="J216" s="450">
        <f>ROUND(I216*H216,2)</f>
        <v>0</v>
      </c>
      <c r="K216" s="451"/>
      <c r="L216" s="364"/>
      <c r="M216" s="468" t="s">
        <v>171</v>
      </c>
      <c r="N216" s="469" t="s">
        <v>185</v>
      </c>
      <c r="O216" s="470">
        <v>0</v>
      </c>
      <c r="P216" s="470">
        <f>O216*H216</f>
        <v>0</v>
      </c>
      <c r="Q216" s="470">
        <v>0</v>
      </c>
      <c r="R216" s="470">
        <f>Q216*H216</f>
        <v>0</v>
      </c>
      <c r="S216" s="470">
        <v>0</v>
      </c>
      <c r="T216" s="471">
        <f>S216*H216</f>
        <v>0</v>
      </c>
      <c r="AR216" s="455" t="s">
        <v>110</v>
      </c>
      <c r="AT216" s="455" t="s">
        <v>218</v>
      </c>
      <c r="AU216" s="455" t="s">
        <v>108</v>
      </c>
      <c r="AY216" s="357" t="s">
        <v>217</v>
      </c>
      <c r="BE216" s="456">
        <f>IF(N216="základná",J216,0)</f>
        <v>0</v>
      </c>
      <c r="BF216" s="456">
        <f>IF(N216="znížená",J216,0)</f>
        <v>0</v>
      </c>
      <c r="BG216" s="456">
        <f>IF(N216="zákl. prenesená",J216,0)</f>
        <v>0</v>
      </c>
      <c r="BH216" s="456">
        <f>IF(N216="zníž. prenesená",J216,0)</f>
        <v>0</v>
      </c>
      <c r="BI216" s="456">
        <f>IF(N216="nulová",J216,0)</f>
        <v>0</v>
      </c>
      <c r="BJ216" s="357" t="s">
        <v>108</v>
      </c>
      <c r="BK216" s="456">
        <f>ROUND(I216*H216,2)</f>
        <v>0</v>
      </c>
      <c r="BL216" s="357" t="s">
        <v>110</v>
      </c>
      <c r="BM216" s="455" t="s">
        <v>950</v>
      </c>
    </row>
    <row r="217" spans="2:65" s="365" customFormat="1" ht="6.95" customHeight="1" x14ac:dyDescent="0.25">
      <c r="B217" s="397"/>
      <c r="C217" s="398"/>
      <c r="D217" s="398"/>
      <c r="E217" s="398"/>
      <c r="F217" s="398"/>
      <c r="G217" s="398"/>
      <c r="H217" s="398"/>
      <c r="I217" s="398"/>
      <c r="J217" s="398"/>
      <c r="K217" s="398"/>
      <c r="L217" s="364"/>
    </row>
  </sheetData>
  <sheetProtection algorithmName="SHA-512" hashValue="iXh7eCNZ5jbyyY+8aj3npDk1Qixvegs75InBinlxQ/r4BeG7HPOaGA1aDPuT8xQtjTdRB6IAve55stvH+agxBQ==" saltValue="rjZ4N4Klo67r7ZQI3buD/g==" spinCount="100000" sheet="1" objects="1" scenarios="1" selectLockedCells="1"/>
  <autoFilter ref="C126:K216" xr:uid="{00000000-0009-0000-0000-000003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4448-ACDE-4A3C-A6F7-9C9143DE3B5D}">
  <sheetPr codeName="Hárok9">
    <pageSetUpPr fitToPage="1"/>
  </sheetPr>
  <dimension ref="B2:BM242"/>
  <sheetViews>
    <sheetView topLeftCell="A65" workbookViewId="0">
      <selection activeCell="L101" sqref="L101"/>
    </sheetView>
  </sheetViews>
  <sheetFormatPr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61" t="s">
        <v>164</v>
      </c>
      <c r="M2" s="862"/>
      <c r="N2" s="862"/>
      <c r="O2" s="862"/>
      <c r="P2" s="862"/>
      <c r="Q2" s="862"/>
      <c r="R2" s="862"/>
      <c r="S2" s="862"/>
      <c r="T2" s="862"/>
      <c r="U2" s="862"/>
      <c r="V2" s="862"/>
      <c r="AT2" s="357" t="s">
        <v>344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59" t="str">
        <f>'Rekapitulácia stavby ÚSEK A-D'!K6</f>
        <v>Cyklotrasa - Devín_RP1</v>
      </c>
      <c r="F7" s="860"/>
      <c r="G7" s="860"/>
      <c r="H7" s="860"/>
      <c r="L7" s="360"/>
    </row>
    <row r="8" spans="2:46" s="365" customFormat="1" ht="12" customHeight="1" x14ac:dyDescent="0.25">
      <c r="B8" s="364"/>
      <c r="D8" s="363" t="s">
        <v>408</v>
      </c>
      <c r="L8" s="364"/>
    </row>
    <row r="9" spans="2:46" s="365" customFormat="1" ht="30" customHeight="1" x14ac:dyDescent="0.25">
      <c r="B9" s="364"/>
      <c r="E9" s="857" t="s">
        <v>1075</v>
      </c>
      <c r="F9" s="858"/>
      <c r="G9" s="858"/>
      <c r="H9" s="858"/>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63" t="str">
        <f>'Rekapitulácia stavby ÚSEK A-D'!E14</f>
        <v>Údaj sa automaticky zobrazí aj vo Výkaze výmer</v>
      </c>
      <c r="F18" s="863"/>
      <c r="G18" s="863"/>
      <c r="H18" s="863"/>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64" t="s">
        <v>171</v>
      </c>
      <c r="F27" s="864"/>
      <c r="G27" s="864"/>
      <c r="H27" s="864"/>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3064</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SUM(BE127:BE241)),  2)</f>
        <v>0</v>
      </c>
      <c r="G35" s="380"/>
      <c r="H35" s="380"/>
      <c r="I35" s="381">
        <v>0.23</v>
      </c>
      <c r="J35" s="379">
        <f>ROUND(((SUM(BE106:BE107) + SUM(BE127:BE241))*I35),  2)</f>
        <v>0</v>
      </c>
      <c r="L35" s="364"/>
    </row>
    <row r="36" spans="2:12" s="365" customFormat="1" ht="14.45" customHeight="1" x14ac:dyDescent="0.25">
      <c r="B36" s="364"/>
      <c r="E36" s="378" t="s">
        <v>185</v>
      </c>
      <c r="F36" s="382">
        <f>ROUND((SUM(BF106:BF107) + SUM(BF127:BF241)),  2)</f>
        <v>0</v>
      </c>
      <c r="I36" s="383">
        <v>0.23</v>
      </c>
      <c r="J36" s="382">
        <f>ROUND(((SUM(BF106:BF107) + SUM(BF127:BF241))*I36),  2)</f>
        <v>0</v>
      </c>
      <c r="L36" s="364"/>
    </row>
    <row r="37" spans="2:12" s="365" customFormat="1" ht="14.45" hidden="1" customHeight="1" x14ac:dyDescent="0.25">
      <c r="B37" s="364"/>
      <c r="E37" s="363" t="s">
        <v>186</v>
      </c>
      <c r="F37" s="382">
        <f>ROUND((SUM(BG106:BG107) + SUM(BG127:BG241)),  2)</f>
        <v>0</v>
      </c>
      <c r="I37" s="383">
        <v>0.23</v>
      </c>
      <c r="J37" s="382">
        <f>0</f>
        <v>0</v>
      </c>
      <c r="L37" s="364"/>
    </row>
    <row r="38" spans="2:12" s="365" customFormat="1" ht="14.45" hidden="1" customHeight="1" x14ac:dyDescent="0.25">
      <c r="B38" s="364"/>
      <c r="E38" s="363" t="s">
        <v>187</v>
      </c>
      <c r="F38" s="382">
        <f>ROUND((SUM(BH106:BH107) + SUM(BH127:BH241)),  2)</f>
        <v>0</v>
      </c>
      <c r="I38" s="383">
        <v>0.23</v>
      </c>
      <c r="J38" s="382">
        <f>0</f>
        <v>0</v>
      </c>
      <c r="L38" s="364"/>
    </row>
    <row r="39" spans="2:12" s="365" customFormat="1" ht="14.45" hidden="1" customHeight="1" x14ac:dyDescent="0.25">
      <c r="B39" s="364"/>
      <c r="E39" s="378" t="s">
        <v>188</v>
      </c>
      <c r="F39" s="379">
        <f>ROUND((SUM(BI106:BI107) + SUM(BI127:BI241)),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59" t="str">
        <f>E7</f>
        <v>Cyklotrasa - Devín_RP1</v>
      </c>
      <c r="F85" s="860"/>
      <c r="G85" s="860"/>
      <c r="H85" s="860"/>
      <c r="L85" s="364"/>
    </row>
    <row r="86" spans="2:47" s="365" customFormat="1" ht="12" customHeight="1" x14ac:dyDescent="0.25">
      <c r="B86" s="364"/>
      <c r="C86" s="363" t="s">
        <v>408</v>
      </c>
      <c r="L86" s="364"/>
    </row>
    <row r="87" spans="2:47" s="365" customFormat="1" ht="30" customHeight="1" x14ac:dyDescent="0.25">
      <c r="B87" s="364"/>
      <c r="E87" s="857" t="str">
        <f>E9</f>
        <v>100.3 - SO 101.3 Úprava komunikácie - Devínska cesta, úsek C</v>
      </c>
      <c r="F87" s="858"/>
      <c r="G87" s="858"/>
      <c r="H87" s="858"/>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3065</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952</v>
      </c>
      <c r="E99" s="412"/>
      <c r="F99" s="412"/>
      <c r="G99" s="412"/>
      <c r="H99" s="412"/>
      <c r="I99" s="412"/>
      <c r="J99" s="413">
        <f>J155</f>
        <v>0</v>
      </c>
      <c r="L99" s="409"/>
    </row>
    <row r="100" spans="2:14" s="410" customFormat="1" ht="19.899999999999999" customHeight="1" x14ac:dyDescent="0.25">
      <c r="B100" s="409"/>
      <c r="D100" s="411" t="s">
        <v>683</v>
      </c>
      <c r="E100" s="412"/>
      <c r="F100" s="412"/>
      <c r="G100" s="412"/>
      <c r="H100" s="412"/>
      <c r="I100" s="412"/>
      <c r="J100" s="413">
        <f>J157</f>
        <v>0</v>
      </c>
      <c r="L100" s="409"/>
    </row>
    <row r="101" spans="2:14" s="410" customFormat="1" ht="19.899999999999999" customHeight="1" x14ac:dyDescent="0.25">
      <c r="B101" s="409"/>
      <c r="D101" s="411" t="s">
        <v>953</v>
      </c>
      <c r="E101" s="412"/>
      <c r="F101" s="412"/>
      <c r="G101" s="412"/>
      <c r="H101" s="412"/>
      <c r="I101" s="412"/>
      <c r="J101" s="413">
        <f>J189</f>
        <v>0</v>
      </c>
      <c r="L101" s="409"/>
    </row>
    <row r="102" spans="2:14" s="410" customFormat="1" ht="19.899999999999999" customHeight="1" x14ac:dyDescent="0.25">
      <c r="B102" s="409"/>
      <c r="D102" s="411" t="s">
        <v>414</v>
      </c>
      <c r="E102" s="412"/>
      <c r="F102" s="412"/>
      <c r="G102" s="412"/>
      <c r="H102" s="412"/>
      <c r="I102" s="412"/>
      <c r="J102" s="413">
        <f>J192</f>
        <v>0</v>
      </c>
      <c r="L102" s="409"/>
    </row>
    <row r="103" spans="2:14" s="410" customFormat="1" ht="19.899999999999999" customHeight="1" x14ac:dyDescent="0.25">
      <c r="B103" s="409"/>
      <c r="D103" s="411" t="s">
        <v>415</v>
      </c>
      <c r="E103" s="412"/>
      <c r="F103" s="412"/>
      <c r="G103" s="412"/>
      <c r="H103" s="412"/>
      <c r="I103" s="412"/>
      <c r="J103" s="413">
        <f>J236</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3066</v>
      </c>
      <c r="J106" s="414">
        <v>0</v>
      </c>
      <c r="L106" s="364"/>
      <c r="N106" s="415" t="s">
        <v>183</v>
      </c>
    </row>
    <row r="107" spans="2:14" s="365" customFormat="1" ht="18" customHeight="1" x14ac:dyDescent="0.25">
      <c r="B107" s="364"/>
      <c r="L107" s="364"/>
    </row>
    <row r="108" spans="2:14" s="365" customFormat="1" ht="29.25" customHeight="1" x14ac:dyDescent="0.25">
      <c r="B108" s="364"/>
      <c r="C108" s="416" t="s">
        <v>3063</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59" t="str">
        <f>E7</f>
        <v>Cyklotrasa - Devín_RP1</v>
      </c>
      <c r="F117" s="860"/>
      <c r="G117" s="860"/>
      <c r="H117" s="860"/>
      <c r="L117" s="364"/>
    </row>
    <row r="118" spans="2:63" s="365" customFormat="1" ht="12" customHeight="1" x14ac:dyDescent="0.25">
      <c r="B118" s="364"/>
      <c r="C118" s="363" t="s">
        <v>408</v>
      </c>
      <c r="L118" s="364"/>
    </row>
    <row r="119" spans="2:63" s="365" customFormat="1" ht="30" customHeight="1" x14ac:dyDescent="0.25">
      <c r="B119" s="364"/>
      <c r="E119" s="857" t="str">
        <f>E9</f>
        <v>100.3 - SO 101.3 Úprava komunikácie - Devínska cesta, úsek C</v>
      </c>
      <c r="F119" s="858"/>
      <c r="G119" s="858"/>
      <c r="H119" s="858"/>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f>
        <v>3709.3118605999998</v>
      </c>
      <c r="Q127" s="371"/>
      <c r="R127" s="430">
        <f>R128</f>
        <v>3350.4327894400012</v>
      </c>
      <c r="S127" s="371"/>
      <c r="T127" s="431">
        <f>T128</f>
        <v>962.64599999999996</v>
      </c>
      <c r="AT127" s="357" t="s">
        <v>216</v>
      </c>
      <c r="AU127" s="357" t="s">
        <v>202</v>
      </c>
      <c r="BK127" s="432">
        <f>BK128</f>
        <v>0</v>
      </c>
    </row>
    <row r="128" spans="2:63" s="434" customFormat="1" ht="25.9" customHeight="1" x14ac:dyDescent="0.2">
      <c r="B128" s="433"/>
      <c r="D128" s="435" t="s">
        <v>216</v>
      </c>
      <c r="E128" s="436" t="s">
        <v>418</v>
      </c>
      <c r="F128" s="436" t="s">
        <v>419</v>
      </c>
      <c r="J128" s="437">
        <f>BK128</f>
        <v>0</v>
      </c>
      <c r="L128" s="433"/>
      <c r="M128" s="438"/>
      <c r="P128" s="439">
        <f>P129+P155+P157+P189+P192+P236</f>
        <v>3709.3118605999998</v>
      </c>
      <c r="R128" s="439">
        <f>R129+R155+R157+R189+R192+R236</f>
        <v>3350.4327894400012</v>
      </c>
      <c r="T128" s="440">
        <f>T129+T155+T157+T189+T192+T236</f>
        <v>962.64599999999996</v>
      </c>
      <c r="AR128" s="435" t="s">
        <v>109</v>
      </c>
      <c r="AT128" s="441" t="s">
        <v>216</v>
      </c>
      <c r="AU128" s="441" t="s">
        <v>165</v>
      </c>
      <c r="AY128" s="435" t="s">
        <v>217</v>
      </c>
      <c r="BK128" s="442">
        <f>BK129+BK155+BK157+BK189+BK192+BK236</f>
        <v>0</v>
      </c>
    </row>
    <row r="129" spans="2:65" s="434" customFormat="1" ht="22.9" customHeight="1" x14ac:dyDescent="0.2">
      <c r="B129" s="433"/>
      <c r="D129" s="435" t="s">
        <v>216</v>
      </c>
      <c r="E129" s="443" t="s">
        <v>109</v>
      </c>
      <c r="F129" s="443" t="s">
        <v>220</v>
      </c>
      <c r="J129" s="444">
        <f>BK129</f>
        <v>0</v>
      </c>
      <c r="L129" s="433"/>
      <c r="M129" s="438"/>
      <c r="P129" s="439">
        <f>SUM(P130:P154)</f>
        <v>1490.3574865999999</v>
      </c>
      <c r="R129" s="439">
        <f>SUM(R130:R154)</f>
        <v>175.64972123000001</v>
      </c>
      <c r="T129" s="440">
        <f>SUM(T130:T154)</f>
        <v>962.226</v>
      </c>
      <c r="AR129" s="435" t="s">
        <v>109</v>
      </c>
      <c r="AT129" s="441" t="s">
        <v>216</v>
      </c>
      <c r="AU129" s="441" t="s">
        <v>109</v>
      </c>
      <c r="AY129" s="435" t="s">
        <v>217</v>
      </c>
      <c r="BK129" s="442">
        <f>SUM(BK130:BK154)</f>
        <v>0</v>
      </c>
    </row>
    <row r="130" spans="2:65" s="365" customFormat="1" ht="37.9" customHeight="1" x14ac:dyDescent="0.25">
      <c r="B130" s="364"/>
      <c r="C130" s="445" t="s">
        <v>109</v>
      </c>
      <c r="D130" s="445" t="s">
        <v>218</v>
      </c>
      <c r="E130" s="446" t="s">
        <v>420</v>
      </c>
      <c r="F130" s="447" t="s">
        <v>421</v>
      </c>
      <c r="G130" s="448" t="s">
        <v>111</v>
      </c>
      <c r="H130" s="449">
        <v>2000</v>
      </c>
      <c r="I130" s="329">
        <v>0</v>
      </c>
      <c r="J130" s="450">
        <f t="shared" ref="J130:J154" si="0">ROUND(I130*H130,2)</f>
        <v>0</v>
      </c>
      <c r="K130" s="451"/>
      <c r="L130" s="364"/>
      <c r="M130" s="452" t="s">
        <v>171</v>
      </c>
      <c r="N130" s="415" t="s">
        <v>185</v>
      </c>
      <c r="O130" s="453">
        <v>5.2500000000000003E-3</v>
      </c>
      <c r="P130" s="453">
        <f t="shared" ref="P130:P154" si="1">O130*H130</f>
        <v>10.5</v>
      </c>
      <c r="Q130" s="453">
        <v>0</v>
      </c>
      <c r="R130" s="453">
        <f t="shared" ref="R130:R154" si="2">Q130*H130</f>
        <v>0</v>
      </c>
      <c r="S130" s="453">
        <v>0</v>
      </c>
      <c r="T130" s="454">
        <f t="shared" ref="T130:T154" si="3">S130*H130</f>
        <v>0</v>
      </c>
      <c r="AR130" s="455" t="s">
        <v>110</v>
      </c>
      <c r="AT130" s="455" t="s">
        <v>218</v>
      </c>
      <c r="AU130" s="455" t="s">
        <v>108</v>
      </c>
      <c r="AY130" s="357" t="s">
        <v>217</v>
      </c>
      <c r="BE130" s="456">
        <f t="shared" ref="BE130:BE154" si="4">IF(N130="základná",J130,0)</f>
        <v>0</v>
      </c>
      <c r="BF130" s="456">
        <f t="shared" ref="BF130:BF154" si="5">IF(N130="znížená",J130,0)</f>
        <v>0</v>
      </c>
      <c r="BG130" s="456">
        <f t="shared" ref="BG130:BG154" si="6">IF(N130="zákl. prenesená",J130,0)</f>
        <v>0</v>
      </c>
      <c r="BH130" s="456">
        <f t="shared" ref="BH130:BH154" si="7">IF(N130="zníž. prenesená",J130,0)</f>
        <v>0</v>
      </c>
      <c r="BI130" s="456">
        <f t="shared" ref="BI130:BI154" si="8">IF(N130="nulová",J130,0)</f>
        <v>0</v>
      </c>
      <c r="BJ130" s="357" t="s">
        <v>108</v>
      </c>
      <c r="BK130" s="456">
        <f t="shared" ref="BK130:BK154" si="9">ROUND(I130*H130,2)</f>
        <v>0</v>
      </c>
      <c r="BL130" s="357" t="s">
        <v>110</v>
      </c>
      <c r="BM130" s="455" t="s">
        <v>1076</v>
      </c>
    </row>
    <row r="131" spans="2:65" s="365" customFormat="1" ht="24.2" customHeight="1" x14ac:dyDescent="0.25">
      <c r="B131" s="364"/>
      <c r="C131" s="445" t="s">
        <v>108</v>
      </c>
      <c r="D131" s="445" t="s">
        <v>218</v>
      </c>
      <c r="E131" s="446" t="s">
        <v>423</v>
      </c>
      <c r="F131" s="447" t="s">
        <v>685</v>
      </c>
      <c r="G131" s="448" t="s">
        <v>111</v>
      </c>
      <c r="H131" s="449">
        <v>2000</v>
      </c>
      <c r="I131" s="329">
        <v>0</v>
      </c>
      <c r="J131" s="450">
        <f t="shared" si="0"/>
        <v>0</v>
      </c>
      <c r="K131" s="451"/>
      <c r="L131" s="364"/>
      <c r="M131" s="452" t="s">
        <v>171</v>
      </c>
      <c r="N131" s="415" t="s">
        <v>185</v>
      </c>
      <c r="O131" s="453">
        <v>0.16300000000000001</v>
      </c>
      <c r="P131" s="453">
        <f t="shared" si="1"/>
        <v>326</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1077</v>
      </c>
    </row>
    <row r="132" spans="2:65" s="365" customFormat="1" ht="33" customHeight="1" x14ac:dyDescent="0.25">
      <c r="B132" s="364"/>
      <c r="C132" s="445" t="s">
        <v>119</v>
      </c>
      <c r="D132" s="445" t="s">
        <v>218</v>
      </c>
      <c r="E132" s="446" t="s">
        <v>1078</v>
      </c>
      <c r="F132" s="447" t="s">
        <v>1079</v>
      </c>
      <c r="G132" s="448" t="s">
        <v>111</v>
      </c>
      <c r="H132" s="449">
        <v>42</v>
      </c>
      <c r="I132" s="329">
        <v>0</v>
      </c>
      <c r="J132" s="450">
        <f t="shared" si="0"/>
        <v>0</v>
      </c>
      <c r="K132" s="451"/>
      <c r="L132" s="364"/>
      <c r="M132" s="452" t="s">
        <v>171</v>
      </c>
      <c r="N132" s="415" t="s">
        <v>185</v>
      </c>
      <c r="O132" s="453">
        <v>0.20799999999999999</v>
      </c>
      <c r="P132" s="453">
        <f t="shared" si="1"/>
        <v>8.7359999999999989</v>
      </c>
      <c r="Q132" s="453">
        <v>0</v>
      </c>
      <c r="R132" s="453">
        <f t="shared" si="2"/>
        <v>0</v>
      </c>
      <c r="S132" s="453">
        <v>0.13800000000000001</v>
      </c>
      <c r="T132" s="454">
        <f t="shared" si="3"/>
        <v>5.7960000000000003</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1080</v>
      </c>
    </row>
    <row r="133" spans="2:65" s="365" customFormat="1" ht="33" customHeight="1" x14ac:dyDescent="0.25">
      <c r="B133" s="364"/>
      <c r="C133" s="445" t="s">
        <v>110</v>
      </c>
      <c r="D133" s="445" t="s">
        <v>218</v>
      </c>
      <c r="E133" s="446" t="s">
        <v>1081</v>
      </c>
      <c r="F133" s="447" t="s">
        <v>1082</v>
      </c>
      <c r="G133" s="448" t="s">
        <v>111</v>
      </c>
      <c r="H133" s="449">
        <v>42</v>
      </c>
      <c r="I133" s="329">
        <v>0</v>
      </c>
      <c r="J133" s="450">
        <f t="shared" si="0"/>
        <v>0</v>
      </c>
      <c r="K133" s="451"/>
      <c r="L133" s="364"/>
      <c r="M133" s="452" t="s">
        <v>171</v>
      </c>
      <c r="N133" s="415" t="s">
        <v>185</v>
      </c>
      <c r="O133" s="453">
        <v>0.35499999999999998</v>
      </c>
      <c r="P133" s="453">
        <f t="shared" si="1"/>
        <v>14.91</v>
      </c>
      <c r="Q133" s="453">
        <v>0</v>
      </c>
      <c r="R133" s="453">
        <f t="shared" si="2"/>
        <v>0</v>
      </c>
      <c r="S133" s="453">
        <v>0.24</v>
      </c>
      <c r="T133" s="454">
        <f t="shared" si="3"/>
        <v>10.08</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1083</v>
      </c>
    </row>
    <row r="134" spans="2:65" s="365" customFormat="1" ht="33" customHeight="1" x14ac:dyDescent="0.25">
      <c r="B134" s="364"/>
      <c r="C134" s="445" t="s">
        <v>118</v>
      </c>
      <c r="D134" s="445" t="s">
        <v>218</v>
      </c>
      <c r="E134" s="446" t="s">
        <v>687</v>
      </c>
      <c r="F134" s="447" t="s">
        <v>688</v>
      </c>
      <c r="G134" s="448" t="s">
        <v>111</v>
      </c>
      <c r="H134" s="449">
        <v>48</v>
      </c>
      <c r="I134" s="329">
        <v>0</v>
      </c>
      <c r="J134" s="450">
        <f t="shared" si="0"/>
        <v>0</v>
      </c>
      <c r="K134" s="451"/>
      <c r="L134" s="364"/>
      <c r="M134" s="452" t="s">
        <v>171</v>
      </c>
      <c r="N134" s="415" t="s">
        <v>185</v>
      </c>
      <c r="O134" s="453">
        <v>6.9370000000000001E-2</v>
      </c>
      <c r="P134" s="453">
        <f t="shared" si="1"/>
        <v>3.3297600000000003</v>
      </c>
      <c r="Q134" s="453">
        <v>3.6611E-4</v>
      </c>
      <c r="R134" s="453">
        <f t="shared" si="2"/>
        <v>1.757328E-2</v>
      </c>
      <c r="S134" s="453">
        <v>0.5</v>
      </c>
      <c r="T134" s="454">
        <f t="shared" si="3"/>
        <v>24</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1084</v>
      </c>
    </row>
    <row r="135" spans="2:65" s="365" customFormat="1" ht="37.9" customHeight="1" x14ac:dyDescent="0.25">
      <c r="B135" s="364"/>
      <c r="C135" s="445" t="s">
        <v>117</v>
      </c>
      <c r="D135" s="445" t="s">
        <v>218</v>
      </c>
      <c r="E135" s="446" t="s">
        <v>1085</v>
      </c>
      <c r="F135" s="447" t="s">
        <v>691</v>
      </c>
      <c r="G135" s="448" t="s">
        <v>111</v>
      </c>
      <c r="H135" s="449">
        <v>2085</v>
      </c>
      <c r="I135" s="329">
        <v>0</v>
      </c>
      <c r="J135" s="450">
        <f t="shared" si="0"/>
        <v>0</v>
      </c>
      <c r="K135" s="451"/>
      <c r="L135" s="364"/>
      <c r="M135" s="452" t="s">
        <v>171</v>
      </c>
      <c r="N135" s="415" t="s">
        <v>185</v>
      </c>
      <c r="O135" s="453">
        <v>2.7099999999999999E-2</v>
      </c>
      <c r="P135" s="453">
        <f t="shared" si="1"/>
        <v>56.503499999999995</v>
      </c>
      <c r="Q135" s="453">
        <v>1.0127E-4</v>
      </c>
      <c r="R135" s="453">
        <f t="shared" si="2"/>
        <v>0.21114795</v>
      </c>
      <c r="S135" s="453">
        <v>0.125</v>
      </c>
      <c r="T135" s="454">
        <f t="shared" si="3"/>
        <v>260.625</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1086</v>
      </c>
    </row>
    <row r="136" spans="2:65" s="365" customFormat="1" ht="24.2" customHeight="1" x14ac:dyDescent="0.25">
      <c r="B136" s="364"/>
      <c r="C136" s="445" t="s">
        <v>116</v>
      </c>
      <c r="D136" s="445" t="s">
        <v>218</v>
      </c>
      <c r="E136" s="446" t="s">
        <v>693</v>
      </c>
      <c r="F136" s="447" t="s">
        <v>694</v>
      </c>
      <c r="G136" s="448" t="s">
        <v>111</v>
      </c>
      <c r="H136" s="449">
        <v>35</v>
      </c>
      <c r="I136" s="329">
        <v>0</v>
      </c>
      <c r="J136" s="450">
        <f t="shared" si="0"/>
        <v>0</v>
      </c>
      <c r="K136" s="451"/>
      <c r="L136" s="364"/>
      <c r="M136" s="452" t="s">
        <v>171</v>
      </c>
      <c r="N136" s="415" t="s">
        <v>185</v>
      </c>
      <c r="O136" s="453">
        <v>1.3</v>
      </c>
      <c r="P136" s="453">
        <f t="shared" si="1"/>
        <v>45.5</v>
      </c>
      <c r="Q136" s="453">
        <v>0</v>
      </c>
      <c r="R136" s="453">
        <f t="shared" si="2"/>
        <v>0</v>
      </c>
      <c r="S136" s="453">
        <v>0.75</v>
      </c>
      <c r="T136" s="454">
        <f t="shared" si="3"/>
        <v>26.25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1087</v>
      </c>
    </row>
    <row r="137" spans="2:65" s="365" customFormat="1" ht="37.9" customHeight="1" x14ac:dyDescent="0.25">
      <c r="B137" s="364"/>
      <c r="C137" s="445" t="s">
        <v>115</v>
      </c>
      <c r="D137" s="445" t="s">
        <v>218</v>
      </c>
      <c r="E137" s="446" t="s">
        <v>696</v>
      </c>
      <c r="F137" s="447" t="s">
        <v>697</v>
      </c>
      <c r="G137" s="448" t="s">
        <v>111</v>
      </c>
      <c r="H137" s="449">
        <v>491</v>
      </c>
      <c r="I137" s="329">
        <v>0</v>
      </c>
      <c r="J137" s="450">
        <f t="shared" si="0"/>
        <v>0</v>
      </c>
      <c r="K137" s="451"/>
      <c r="L137" s="364"/>
      <c r="M137" s="452" t="s">
        <v>171</v>
      </c>
      <c r="N137" s="415" t="s">
        <v>185</v>
      </c>
      <c r="O137" s="453">
        <v>0.113</v>
      </c>
      <c r="P137" s="453">
        <f t="shared" si="1"/>
        <v>55.483000000000004</v>
      </c>
      <c r="Q137" s="453">
        <v>0</v>
      </c>
      <c r="R137" s="453">
        <f t="shared" si="2"/>
        <v>0</v>
      </c>
      <c r="S137" s="453">
        <v>0.4</v>
      </c>
      <c r="T137" s="454">
        <f t="shared" si="3"/>
        <v>196.4</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1088</v>
      </c>
    </row>
    <row r="138" spans="2:65" s="365" customFormat="1" ht="33" customHeight="1" x14ac:dyDescent="0.25">
      <c r="B138" s="364"/>
      <c r="C138" s="445" t="s">
        <v>162</v>
      </c>
      <c r="D138" s="445" t="s">
        <v>218</v>
      </c>
      <c r="E138" s="446" t="s">
        <v>1089</v>
      </c>
      <c r="F138" s="447" t="s">
        <v>233</v>
      </c>
      <c r="G138" s="448" t="s">
        <v>111</v>
      </c>
      <c r="H138" s="449">
        <v>42</v>
      </c>
      <c r="I138" s="329">
        <v>0</v>
      </c>
      <c r="J138" s="450">
        <f t="shared" si="0"/>
        <v>0</v>
      </c>
      <c r="K138" s="451"/>
      <c r="L138" s="364"/>
      <c r="M138" s="452" t="s">
        <v>171</v>
      </c>
      <c r="N138" s="415" t="s">
        <v>185</v>
      </c>
      <c r="O138" s="453">
        <v>0.187</v>
      </c>
      <c r="P138" s="453">
        <f t="shared" si="1"/>
        <v>7.8540000000000001</v>
      </c>
      <c r="Q138" s="453">
        <v>0</v>
      </c>
      <c r="R138" s="453">
        <f t="shared" si="2"/>
        <v>0</v>
      </c>
      <c r="S138" s="453">
        <v>0.22500000000000001</v>
      </c>
      <c r="T138" s="454">
        <f t="shared" si="3"/>
        <v>9.4500000000000011</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1090</v>
      </c>
    </row>
    <row r="139" spans="2:65" s="365" customFormat="1" ht="33" customHeight="1" x14ac:dyDescent="0.25">
      <c r="B139" s="364"/>
      <c r="C139" s="445" t="s">
        <v>221</v>
      </c>
      <c r="D139" s="445" t="s">
        <v>218</v>
      </c>
      <c r="E139" s="446" t="s">
        <v>699</v>
      </c>
      <c r="F139" s="447" t="s">
        <v>700</v>
      </c>
      <c r="G139" s="448" t="s">
        <v>111</v>
      </c>
      <c r="H139" s="449">
        <v>491</v>
      </c>
      <c r="I139" s="329">
        <v>0</v>
      </c>
      <c r="J139" s="450">
        <f t="shared" si="0"/>
        <v>0</v>
      </c>
      <c r="K139" s="451"/>
      <c r="L139" s="364"/>
      <c r="M139" s="452" t="s">
        <v>171</v>
      </c>
      <c r="N139" s="415" t="s">
        <v>185</v>
      </c>
      <c r="O139" s="453">
        <v>0.1867</v>
      </c>
      <c r="P139" s="453">
        <f t="shared" si="1"/>
        <v>91.669700000000006</v>
      </c>
      <c r="Q139" s="453">
        <v>0</v>
      </c>
      <c r="R139" s="453">
        <f t="shared" si="2"/>
        <v>0</v>
      </c>
      <c r="S139" s="453">
        <v>0.5</v>
      </c>
      <c r="T139" s="454">
        <f t="shared" si="3"/>
        <v>245.5</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1091</v>
      </c>
    </row>
    <row r="140" spans="2:65" s="365" customFormat="1" ht="24.2" customHeight="1" x14ac:dyDescent="0.25">
      <c r="B140" s="364"/>
      <c r="C140" s="445" t="s">
        <v>222</v>
      </c>
      <c r="D140" s="445" t="s">
        <v>218</v>
      </c>
      <c r="E140" s="446" t="s">
        <v>702</v>
      </c>
      <c r="F140" s="447" t="s">
        <v>703</v>
      </c>
      <c r="G140" s="448" t="s">
        <v>111</v>
      </c>
      <c r="H140" s="449">
        <v>491</v>
      </c>
      <c r="I140" s="329">
        <v>0</v>
      </c>
      <c r="J140" s="450">
        <f t="shared" si="0"/>
        <v>0</v>
      </c>
      <c r="K140" s="451"/>
      <c r="L140" s="364"/>
      <c r="M140" s="452" t="s">
        <v>171</v>
      </c>
      <c r="N140" s="415" t="s">
        <v>185</v>
      </c>
      <c r="O140" s="453">
        <v>0.125</v>
      </c>
      <c r="P140" s="453">
        <f t="shared" si="1"/>
        <v>61.375</v>
      </c>
      <c r="Q140" s="453">
        <v>0</v>
      </c>
      <c r="R140" s="453">
        <f t="shared" si="2"/>
        <v>0</v>
      </c>
      <c r="S140" s="453">
        <v>0.375</v>
      </c>
      <c r="T140" s="454">
        <f t="shared" si="3"/>
        <v>184.125</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1092</v>
      </c>
    </row>
    <row r="141" spans="2:65" s="365" customFormat="1" ht="24.2" customHeight="1" x14ac:dyDescent="0.25">
      <c r="B141" s="364"/>
      <c r="C141" s="445" t="s">
        <v>223</v>
      </c>
      <c r="D141" s="445" t="s">
        <v>218</v>
      </c>
      <c r="E141" s="446" t="s">
        <v>705</v>
      </c>
      <c r="F141" s="447" t="s">
        <v>972</v>
      </c>
      <c r="G141" s="448" t="s">
        <v>114</v>
      </c>
      <c r="H141" s="449">
        <v>212</v>
      </c>
      <c r="I141" s="329">
        <v>0</v>
      </c>
      <c r="J141" s="450">
        <f t="shared" si="0"/>
        <v>0</v>
      </c>
      <c r="K141" s="451"/>
      <c r="L141" s="364"/>
      <c r="M141" s="452" t="s">
        <v>171</v>
      </c>
      <c r="N141" s="415" t="s">
        <v>185</v>
      </c>
      <c r="O141" s="453">
        <v>1.8420000000000001</v>
      </c>
      <c r="P141" s="453">
        <f t="shared" si="1"/>
        <v>390.50400000000002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1093</v>
      </c>
    </row>
    <row r="142" spans="2:65" s="365" customFormat="1" ht="24.2" customHeight="1" x14ac:dyDescent="0.25">
      <c r="B142" s="364"/>
      <c r="C142" s="445" t="s">
        <v>225</v>
      </c>
      <c r="D142" s="445" t="s">
        <v>218</v>
      </c>
      <c r="E142" s="446" t="s">
        <v>426</v>
      </c>
      <c r="F142" s="447" t="s">
        <v>427</v>
      </c>
      <c r="G142" s="448" t="s">
        <v>111</v>
      </c>
      <c r="H142" s="449">
        <v>2000</v>
      </c>
      <c r="I142" s="329">
        <v>0</v>
      </c>
      <c r="J142" s="450">
        <f t="shared" si="0"/>
        <v>0</v>
      </c>
      <c r="K142" s="451"/>
      <c r="L142" s="364"/>
      <c r="M142" s="452" t="s">
        <v>171</v>
      </c>
      <c r="N142" s="415" t="s">
        <v>185</v>
      </c>
      <c r="O142" s="453">
        <v>6.6000000000000003E-2</v>
      </c>
      <c r="P142" s="453">
        <f t="shared" si="1"/>
        <v>132</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1094</v>
      </c>
    </row>
    <row r="143" spans="2:65" s="365" customFormat="1" ht="24.2" customHeight="1" x14ac:dyDescent="0.25">
      <c r="B143" s="364"/>
      <c r="C143" s="445" t="s">
        <v>226</v>
      </c>
      <c r="D143" s="445" t="s">
        <v>218</v>
      </c>
      <c r="E143" s="446" t="s">
        <v>721</v>
      </c>
      <c r="F143" s="447" t="s">
        <v>722</v>
      </c>
      <c r="G143" s="448" t="s">
        <v>114</v>
      </c>
      <c r="H143" s="449">
        <v>492</v>
      </c>
      <c r="I143" s="329">
        <v>0</v>
      </c>
      <c r="J143" s="450">
        <f t="shared" si="0"/>
        <v>0</v>
      </c>
      <c r="K143" s="451"/>
      <c r="L143" s="364"/>
      <c r="M143" s="452" t="s">
        <v>171</v>
      </c>
      <c r="N143" s="415" t="s">
        <v>185</v>
      </c>
      <c r="O143" s="453">
        <v>0.28299999999999997</v>
      </c>
      <c r="P143" s="453">
        <f t="shared" si="1"/>
        <v>139.23599999999999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723</v>
      </c>
    </row>
    <row r="144" spans="2:65" s="365" customFormat="1" ht="49.15" customHeight="1" x14ac:dyDescent="0.25">
      <c r="B144" s="364"/>
      <c r="C144" s="445" t="s">
        <v>227</v>
      </c>
      <c r="D144" s="445" t="s">
        <v>218</v>
      </c>
      <c r="E144" s="446" t="s">
        <v>712</v>
      </c>
      <c r="F144" s="447" t="s">
        <v>1095</v>
      </c>
      <c r="G144" s="448" t="s">
        <v>114</v>
      </c>
      <c r="H144" s="449">
        <v>122.33</v>
      </c>
      <c r="I144" s="329">
        <v>0</v>
      </c>
      <c r="J144" s="450">
        <f t="shared" si="0"/>
        <v>0</v>
      </c>
      <c r="K144" s="451"/>
      <c r="L144" s="364"/>
      <c r="M144" s="452" t="s">
        <v>171</v>
      </c>
      <c r="N144" s="415" t="s">
        <v>185</v>
      </c>
      <c r="O144" s="453">
        <v>4.8899999999999999E-2</v>
      </c>
      <c r="P144" s="453">
        <f t="shared" si="1"/>
        <v>5.9819369999999994</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1096</v>
      </c>
    </row>
    <row r="145" spans="2:65" s="365" customFormat="1" ht="49.15" customHeight="1" x14ac:dyDescent="0.25">
      <c r="B145" s="364"/>
      <c r="C145" s="445" t="s">
        <v>228</v>
      </c>
      <c r="D145" s="445" t="s">
        <v>218</v>
      </c>
      <c r="E145" s="446" t="s">
        <v>714</v>
      </c>
      <c r="F145" s="447" t="s">
        <v>1097</v>
      </c>
      <c r="G145" s="448" t="s">
        <v>114</v>
      </c>
      <c r="H145" s="449">
        <v>2446.64</v>
      </c>
      <c r="I145" s="329">
        <v>0</v>
      </c>
      <c r="J145" s="450">
        <f t="shared" si="0"/>
        <v>0</v>
      </c>
      <c r="K145" s="451"/>
      <c r="L145" s="364"/>
      <c r="M145" s="452" t="s">
        <v>171</v>
      </c>
      <c r="N145" s="415" t="s">
        <v>185</v>
      </c>
      <c r="O145" s="453">
        <v>5.3899999999999998E-3</v>
      </c>
      <c r="P145" s="453">
        <f t="shared" si="1"/>
        <v>13.187389599999999</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1098</v>
      </c>
    </row>
    <row r="146" spans="2:65" s="365" customFormat="1" ht="33" customHeight="1" x14ac:dyDescent="0.25">
      <c r="B146" s="364"/>
      <c r="C146" s="445" t="s">
        <v>229</v>
      </c>
      <c r="D146" s="445" t="s">
        <v>218</v>
      </c>
      <c r="E146" s="446" t="s">
        <v>724</v>
      </c>
      <c r="F146" s="447" t="s">
        <v>725</v>
      </c>
      <c r="G146" s="448" t="s">
        <v>114</v>
      </c>
      <c r="H146" s="449">
        <v>115</v>
      </c>
      <c r="I146" s="329">
        <v>0</v>
      </c>
      <c r="J146" s="450">
        <f t="shared" si="0"/>
        <v>0</v>
      </c>
      <c r="K146" s="451"/>
      <c r="L146" s="364"/>
      <c r="M146" s="452" t="s">
        <v>171</v>
      </c>
      <c r="N146" s="415" t="s">
        <v>185</v>
      </c>
      <c r="O146" s="453">
        <v>4.2000000000000003E-2</v>
      </c>
      <c r="P146" s="453">
        <f t="shared" si="1"/>
        <v>4.83</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726</v>
      </c>
    </row>
    <row r="147" spans="2:65" s="365" customFormat="1" ht="24.2" customHeight="1" x14ac:dyDescent="0.25">
      <c r="B147" s="364"/>
      <c r="C147" s="445" t="s">
        <v>231</v>
      </c>
      <c r="D147" s="445" t="s">
        <v>218</v>
      </c>
      <c r="E147" s="446" t="s">
        <v>717</v>
      </c>
      <c r="F147" s="447" t="s">
        <v>1099</v>
      </c>
      <c r="G147" s="448" t="s">
        <v>114</v>
      </c>
      <c r="H147" s="449">
        <v>273.14999999999998</v>
      </c>
      <c r="I147" s="329">
        <v>0</v>
      </c>
      <c r="J147" s="450">
        <f t="shared" si="0"/>
        <v>0</v>
      </c>
      <c r="K147" s="451"/>
      <c r="L147" s="364"/>
      <c r="M147" s="452" t="s">
        <v>171</v>
      </c>
      <c r="N147" s="415" t="s">
        <v>185</v>
      </c>
      <c r="O147" s="453">
        <v>8.0000000000000002E-3</v>
      </c>
      <c r="P147" s="453">
        <f t="shared" si="1"/>
        <v>2.1852</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1100</v>
      </c>
    </row>
    <row r="148" spans="2:65" s="365" customFormat="1" ht="33" customHeight="1" x14ac:dyDescent="0.25">
      <c r="B148" s="364"/>
      <c r="C148" s="445" t="s">
        <v>232</v>
      </c>
      <c r="D148" s="445" t="s">
        <v>218</v>
      </c>
      <c r="E148" s="446" t="s">
        <v>1101</v>
      </c>
      <c r="F148" s="472" t="s">
        <v>3087</v>
      </c>
      <c r="G148" s="473" t="s">
        <v>112</v>
      </c>
      <c r="H148" s="474">
        <f>Ponuka!S117+Ponuka!Q117</f>
        <v>340.82700000000011</v>
      </c>
      <c r="I148" s="329">
        <v>0</v>
      </c>
      <c r="J148" s="450">
        <f t="shared" si="0"/>
        <v>0</v>
      </c>
      <c r="K148" s="451"/>
      <c r="L148" s="364"/>
      <c r="M148" s="452" t="s">
        <v>171</v>
      </c>
      <c r="N148" s="415" t="s">
        <v>185</v>
      </c>
      <c r="O148" s="453">
        <v>0</v>
      </c>
      <c r="P148" s="453">
        <f t="shared" si="1"/>
        <v>0</v>
      </c>
      <c r="Q148" s="453">
        <v>0</v>
      </c>
      <c r="R148" s="453">
        <f t="shared" si="2"/>
        <v>0</v>
      </c>
      <c r="S148" s="453">
        <v>0</v>
      </c>
      <c r="T148" s="454">
        <f t="shared" si="3"/>
        <v>0</v>
      </c>
      <c r="AR148" s="455" t="s">
        <v>110</v>
      </c>
      <c r="AT148" s="455" t="s">
        <v>218</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1102</v>
      </c>
    </row>
    <row r="149" spans="2:65" s="365" customFormat="1" ht="33" customHeight="1" x14ac:dyDescent="0.25">
      <c r="B149" s="364"/>
      <c r="C149" s="445" t="s">
        <v>234</v>
      </c>
      <c r="D149" s="445" t="s">
        <v>218</v>
      </c>
      <c r="E149" s="446" t="s">
        <v>982</v>
      </c>
      <c r="F149" s="447" t="s">
        <v>983</v>
      </c>
      <c r="G149" s="448" t="s">
        <v>114</v>
      </c>
      <c r="H149" s="449">
        <v>32</v>
      </c>
      <c r="I149" s="329">
        <v>0</v>
      </c>
      <c r="J149" s="450">
        <f t="shared" si="0"/>
        <v>0</v>
      </c>
      <c r="K149" s="451"/>
      <c r="L149" s="364"/>
      <c r="M149" s="452" t="s">
        <v>171</v>
      </c>
      <c r="N149" s="415" t="s">
        <v>185</v>
      </c>
      <c r="O149" s="453">
        <v>0.24199999999999999</v>
      </c>
      <c r="P149" s="453">
        <f t="shared" si="1"/>
        <v>7.7439999999999998</v>
      </c>
      <c r="Q149" s="453">
        <v>0</v>
      </c>
      <c r="R149" s="453">
        <f t="shared" si="2"/>
        <v>0</v>
      </c>
      <c r="S149" s="453">
        <v>0</v>
      </c>
      <c r="T149" s="454">
        <f t="shared" si="3"/>
        <v>0</v>
      </c>
      <c r="AR149" s="455" t="s">
        <v>110</v>
      </c>
      <c r="AT149" s="455" t="s">
        <v>218</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1103</v>
      </c>
    </row>
    <row r="150" spans="2:65" s="365" customFormat="1" ht="24.2" customHeight="1" x14ac:dyDescent="0.25">
      <c r="B150" s="364"/>
      <c r="C150" s="457" t="s">
        <v>235</v>
      </c>
      <c r="D150" s="457" t="s">
        <v>259</v>
      </c>
      <c r="E150" s="458" t="s">
        <v>985</v>
      </c>
      <c r="F150" s="459" t="s">
        <v>986</v>
      </c>
      <c r="G150" s="460" t="s">
        <v>112</v>
      </c>
      <c r="H150" s="461">
        <v>58</v>
      </c>
      <c r="I150" s="330">
        <v>0</v>
      </c>
      <c r="J150" s="462">
        <f t="shared" si="0"/>
        <v>0</v>
      </c>
      <c r="K150" s="463"/>
      <c r="L150" s="464"/>
      <c r="M150" s="465" t="s">
        <v>171</v>
      </c>
      <c r="N150" s="466" t="s">
        <v>185</v>
      </c>
      <c r="O150" s="453">
        <v>0</v>
      </c>
      <c r="P150" s="453">
        <f t="shared" si="1"/>
        <v>0</v>
      </c>
      <c r="Q150" s="453">
        <v>1</v>
      </c>
      <c r="R150" s="453">
        <f t="shared" si="2"/>
        <v>58</v>
      </c>
      <c r="S150" s="453">
        <v>0</v>
      </c>
      <c r="T150" s="454">
        <f t="shared" si="3"/>
        <v>0</v>
      </c>
      <c r="AR150" s="455" t="s">
        <v>115</v>
      </c>
      <c r="AT150" s="455" t="s">
        <v>259</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1104</v>
      </c>
    </row>
    <row r="151" spans="2:65" s="365" customFormat="1" ht="21.75" customHeight="1" x14ac:dyDescent="0.25">
      <c r="B151" s="364"/>
      <c r="C151" s="445" t="s">
        <v>236</v>
      </c>
      <c r="D151" s="445" t="s">
        <v>218</v>
      </c>
      <c r="E151" s="446" t="s">
        <v>727</v>
      </c>
      <c r="F151" s="447" t="s">
        <v>728</v>
      </c>
      <c r="G151" s="448" t="s">
        <v>111</v>
      </c>
      <c r="H151" s="449">
        <v>421</v>
      </c>
      <c r="I151" s="329">
        <v>0</v>
      </c>
      <c r="J151" s="450">
        <f t="shared" si="0"/>
        <v>0</v>
      </c>
      <c r="K151" s="451"/>
      <c r="L151" s="364"/>
      <c r="M151" s="452" t="s">
        <v>171</v>
      </c>
      <c r="N151" s="415" t="s">
        <v>185</v>
      </c>
      <c r="O151" s="453">
        <v>6.0999999999999999E-2</v>
      </c>
      <c r="P151" s="453">
        <f t="shared" si="1"/>
        <v>25.681000000000001</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729</v>
      </c>
    </row>
    <row r="152" spans="2:65" s="365" customFormat="1" ht="16.5" customHeight="1" x14ac:dyDescent="0.25">
      <c r="B152" s="364"/>
      <c r="C152" s="457" t="s">
        <v>237</v>
      </c>
      <c r="D152" s="457" t="s">
        <v>259</v>
      </c>
      <c r="E152" s="458" t="s">
        <v>730</v>
      </c>
      <c r="F152" s="459" t="s">
        <v>731</v>
      </c>
      <c r="G152" s="460" t="s">
        <v>536</v>
      </c>
      <c r="H152" s="461">
        <v>421</v>
      </c>
      <c r="I152" s="330">
        <v>0</v>
      </c>
      <c r="J152" s="462">
        <f t="shared" si="0"/>
        <v>0</v>
      </c>
      <c r="K152" s="463"/>
      <c r="L152" s="464"/>
      <c r="M152" s="465" t="s">
        <v>171</v>
      </c>
      <c r="N152" s="466" t="s">
        <v>185</v>
      </c>
      <c r="O152" s="453">
        <v>0</v>
      </c>
      <c r="P152" s="453">
        <f t="shared" si="1"/>
        <v>0</v>
      </c>
      <c r="Q152" s="453">
        <v>1E-3</v>
      </c>
      <c r="R152" s="453">
        <f t="shared" si="2"/>
        <v>0.42099999999999999</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732</v>
      </c>
    </row>
    <row r="153" spans="2:65" s="365" customFormat="1" ht="24.2" customHeight="1" x14ac:dyDescent="0.25">
      <c r="B153" s="364"/>
      <c r="C153" s="445" t="s">
        <v>238</v>
      </c>
      <c r="D153" s="445" t="s">
        <v>218</v>
      </c>
      <c r="E153" s="446" t="s">
        <v>988</v>
      </c>
      <c r="F153" s="447" t="s">
        <v>989</v>
      </c>
      <c r="G153" s="448" t="s">
        <v>111</v>
      </c>
      <c r="H153" s="449">
        <v>421</v>
      </c>
      <c r="I153" s="329">
        <v>0</v>
      </c>
      <c r="J153" s="450">
        <f t="shared" si="0"/>
        <v>0</v>
      </c>
      <c r="K153" s="451"/>
      <c r="L153" s="364"/>
      <c r="M153" s="452" t="s">
        <v>171</v>
      </c>
      <c r="N153" s="415" t="s">
        <v>185</v>
      </c>
      <c r="O153" s="453">
        <v>0.20699999999999999</v>
      </c>
      <c r="P153" s="453">
        <f t="shared" si="1"/>
        <v>87.146999999999991</v>
      </c>
      <c r="Q153" s="453">
        <v>0</v>
      </c>
      <c r="R153" s="453">
        <f t="shared" si="2"/>
        <v>0</v>
      </c>
      <c r="S153" s="453">
        <v>0</v>
      </c>
      <c r="T153" s="454">
        <f t="shared" si="3"/>
        <v>0</v>
      </c>
      <c r="AR153" s="455" t="s">
        <v>110</v>
      </c>
      <c r="AT153" s="455" t="s">
        <v>218</v>
      </c>
      <c r="AU153" s="455" t="s">
        <v>108</v>
      </c>
      <c r="AY153" s="357" t="s">
        <v>217</v>
      </c>
      <c r="BE153" s="456">
        <f t="shared" si="4"/>
        <v>0</v>
      </c>
      <c r="BF153" s="456">
        <f t="shared" si="5"/>
        <v>0</v>
      </c>
      <c r="BG153" s="456">
        <f t="shared" si="6"/>
        <v>0</v>
      </c>
      <c r="BH153" s="456">
        <f t="shared" si="7"/>
        <v>0</v>
      </c>
      <c r="BI153" s="456">
        <f t="shared" si="8"/>
        <v>0</v>
      </c>
      <c r="BJ153" s="357" t="s">
        <v>108</v>
      </c>
      <c r="BK153" s="456">
        <f t="shared" si="9"/>
        <v>0</v>
      </c>
      <c r="BL153" s="357" t="s">
        <v>110</v>
      </c>
      <c r="BM153" s="455" t="s">
        <v>1105</v>
      </c>
    </row>
    <row r="154" spans="2:65" s="365" customFormat="1" ht="16.5" customHeight="1" x14ac:dyDescent="0.25">
      <c r="B154" s="364"/>
      <c r="C154" s="457" t="s">
        <v>239</v>
      </c>
      <c r="D154" s="457" t="s">
        <v>259</v>
      </c>
      <c r="E154" s="458" t="s">
        <v>736</v>
      </c>
      <c r="F154" s="459" t="s">
        <v>737</v>
      </c>
      <c r="G154" s="460" t="s">
        <v>112</v>
      </c>
      <c r="H154" s="461">
        <v>117</v>
      </c>
      <c r="I154" s="330">
        <v>0</v>
      </c>
      <c r="J154" s="462">
        <f t="shared" si="0"/>
        <v>0</v>
      </c>
      <c r="K154" s="463"/>
      <c r="L154" s="464"/>
      <c r="M154" s="465" t="s">
        <v>171</v>
      </c>
      <c r="N154" s="466" t="s">
        <v>185</v>
      </c>
      <c r="O154" s="453">
        <v>0</v>
      </c>
      <c r="P154" s="453">
        <f t="shared" si="1"/>
        <v>0</v>
      </c>
      <c r="Q154" s="453">
        <v>1</v>
      </c>
      <c r="R154" s="453">
        <f t="shared" si="2"/>
        <v>117</v>
      </c>
      <c r="S154" s="453">
        <v>0</v>
      </c>
      <c r="T154" s="454">
        <f t="shared" si="3"/>
        <v>0</v>
      </c>
      <c r="AR154" s="455" t="s">
        <v>115</v>
      </c>
      <c r="AT154" s="455" t="s">
        <v>259</v>
      </c>
      <c r="AU154" s="455" t="s">
        <v>108</v>
      </c>
      <c r="AY154" s="357" t="s">
        <v>217</v>
      </c>
      <c r="BE154" s="456">
        <f t="shared" si="4"/>
        <v>0</v>
      </c>
      <c r="BF154" s="456">
        <f t="shared" si="5"/>
        <v>0</v>
      </c>
      <c r="BG154" s="456">
        <f t="shared" si="6"/>
        <v>0</v>
      </c>
      <c r="BH154" s="456">
        <f t="shared" si="7"/>
        <v>0</v>
      </c>
      <c r="BI154" s="456">
        <f t="shared" si="8"/>
        <v>0</v>
      </c>
      <c r="BJ154" s="357" t="s">
        <v>108</v>
      </c>
      <c r="BK154" s="456">
        <f t="shared" si="9"/>
        <v>0</v>
      </c>
      <c r="BL154" s="357" t="s">
        <v>110</v>
      </c>
      <c r="BM154" s="455" t="s">
        <v>738</v>
      </c>
    </row>
    <row r="155" spans="2:65" s="434" customFormat="1" ht="22.9" customHeight="1" x14ac:dyDescent="0.2">
      <c r="B155" s="433"/>
      <c r="D155" s="435" t="s">
        <v>216</v>
      </c>
      <c r="E155" s="443" t="s">
        <v>110</v>
      </c>
      <c r="F155" s="443" t="s">
        <v>991</v>
      </c>
      <c r="I155" s="331"/>
      <c r="J155" s="444">
        <f>BK155</f>
        <v>0</v>
      </c>
      <c r="L155" s="433"/>
      <c r="M155" s="438"/>
      <c r="P155" s="439">
        <f>P156</f>
        <v>0</v>
      </c>
      <c r="R155" s="439">
        <f>R156</f>
        <v>0</v>
      </c>
      <c r="T155" s="440">
        <f>T156</f>
        <v>0</v>
      </c>
      <c r="AR155" s="435" t="s">
        <v>109</v>
      </c>
      <c r="AT155" s="441" t="s">
        <v>216</v>
      </c>
      <c r="AU155" s="441" t="s">
        <v>109</v>
      </c>
      <c r="AY155" s="435" t="s">
        <v>217</v>
      </c>
      <c r="BK155" s="442">
        <f>BK156</f>
        <v>0</v>
      </c>
    </row>
    <row r="156" spans="2:65" s="365" customFormat="1" ht="24.2" customHeight="1" x14ac:dyDescent="0.25">
      <c r="B156" s="364"/>
      <c r="C156" s="445" t="s">
        <v>240</v>
      </c>
      <c r="D156" s="445" t="s">
        <v>218</v>
      </c>
      <c r="E156" s="446" t="s">
        <v>992</v>
      </c>
      <c r="F156" s="447" t="s">
        <v>993</v>
      </c>
      <c r="G156" s="448" t="s">
        <v>114</v>
      </c>
      <c r="H156" s="449">
        <v>4</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1106</v>
      </c>
    </row>
    <row r="157" spans="2:65" s="434" customFormat="1" ht="22.9" customHeight="1" x14ac:dyDescent="0.2">
      <c r="B157" s="433"/>
      <c r="D157" s="435" t="s">
        <v>216</v>
      </c>
      <c r="E157" s="443" t="s">
        <v>118</v>
      </c>
      <c r="F157" s="443" t="s">
        <v>739</v>
      </c>
      <c r="I157" s="331"/>
      <c r="J157" s="444">
        <f>BK157</f>
        <v>0</v>
      </c>
      <c r="L157" s="433"/>
      <c r="M157" s="438"/>
      <c r="P157" s="439">
        <f>SUM(P158:P188)</f>
        <v>1130.92398</v>
      </c>
      <c r="R157" s="439">
        <f>SUM(R158:R188)</f>
        <v>2433.5310108300009</v>
      </c>
      <c r="T157" s="440">
        <f>SUM(T158:T188)</f>
        <v>0</v>
      </c>
      <c r="AR157" s="435" t="s">
        <v>109</v>
      </c>
      <c r="AT157" s="441" t="s">
        <v>216</v>
      </c>
      <c r="AU157" s="441" t="s">
        <v>109</v>
      </c>
      <c r="AY157" s="435" t="s">
        <v>217</v>
      </c>
      <c r="BK157" s="442">
        <f>SUM(BK158:BK188)</f>
        <v>0</v>
      </c>
    </row>
    <row r="158" spans="2:65" s="365" customFormat="1" ht="37.9" customHeight="1" x14ac:dyDescent="0.25">
      <c r="B158" s="364"/>
      <c r="C158" s="445" t="s">
        <v>241</v>
      </c>
      <c r="D158" s="445" t="s">
        <v>218</v>
      </c>
      <c r="E158" s="446" t="s">
        <v>740</v>
      </c>
      <c r="F158" s="447" t="s">
        <v>741</v>
      </c>
      <c r="G158" s="448" t="s">
        <v>111</v>
      </c>
      <c r="H158" s="449">
        <v>2407</v>
      </c>
      <c r="I158" s="329">
        <v>0</v>
      </c>
      <c r="J158" s="450">
        <f t="shared" ref="J158:J188" si="10">ROUND(I158*H158,2)</f>
        <v>0</v>
      </c>
      <c r="K158" s="451"/>
      <c r="L158" s="364"/>
      <c r="M158" s="452" t="s">
        <v>171</v>
      </c>
      <c r="N158" s="415" t="s">
        <v>185</v>
      </c>
      <c r="O158" s="453">
        <v>2.972E-2</v>
      </c>
      <c r="P158" s="453">
        <f t="shared" ref="P158:P188" si="11">O158*H158</f>
        <v>71.53604</v>
      </c>
      <c r="Q158" s="453">
        <v>0</v>
      </c>
      <c r="R158" s="453">
        <f t="shared" ref="R158:R188" si="12">Q158*H158</f>
        <v>0</v>
      </c>
      <c r="S158" s="453">
        <v>0</v>
      </c>
      <c r="T158" s="454">
        <f t="shared" ref="T158:T188" si="13">S158*H158</f>
        <v>0</v>
      </c>
      <c r="AR158" s="455" t="s">
        <v>110</v>
      </c>
      <c r="AT158" s="455" t="s">
        <v>218</v>
      </c>
      <c r="AU158" s="455" t="s">
        <v>108</v>
      </c>
      <c r="AY158" s="357" t="s">
        <v>217</v>
      </c>
      <c r="BE158" s="456">
        <f t="shared" ref="BE158:BE188" si="14">IF(N158="základná",J158,0)</f>
        <v>0</v>
      </c>
      <c r="BF158" s="456">
        <f t="shared" ref="BF158:BF188" si="15">IF(N158="znížená",J158,0)</f>
        <v>0</v>
      </c>
      <c r="BG158" s="456">
        <f t="shared" ref="BG158:BG188" si="16">IF(N158="zákl. prenesená",J158,0)</f>
        <v>0</v>
      </c>
      <c r="BH158" s="456">
        <f t="shared" ref="BH158:BH188" si="17">IF(N158="zníž. prenesená",J158,0)</f>
        <v>0</v>
      </c>
      <c r="BI158" s="456">
        <f t="shared" ref="BI158:BI188" si="18">IF(N158="nulová",J158,0)</f>
        <v>0</v>
      </c>
      <c r="BJ158" s="357" t="s">
        <v>108</v>
      </c>
      <c r="BK158" s="456">
        <f t="shared" ref="BK158:BK188" si="19">ROUND(I158*H158,2)</f>
        <v>0</v>
      </c>
      <c r="BL158" s="357" t="s">
        <v>110</v>
      </c>
      <c r="BM158" s="455" t="s">
        <v>1107</v>
      </c>
    </row>
    <row r="159" spans="2:65" s="365" customFormat="1" ht="24.2" customHeight="1" x14ac:dyDescent="0.25">
      <c r="B159" s="364"/>
      <c r="C159" s="457" t="s">
        <v>242</v>
      </c>
      <c r="D159" s="457" t="s">
        <v>259</v>
      </c>
      <c r="E159" s="458" t="s">
        <v>743</v>
      </c>
      <c r="F159" s="459" t="s">
        <v>744</v>
      </c>
      <c r="G159" s="460" t="s">
        <v>112</v>
      </c>
      <c r="H159" s="461">
        <v>63.834000000000003</v>
      </c>
      <c r="I159" s="330">
        <v>0</v>
      </c>
      <c r="J159" s="462">
        <f t="shared" si="10"/>
        <v>0</v>
      </c>
      <c r="K159" s="463"/>
      <c r="L159" s="464"/>
      <c r="M159" s="465" t="s">
        <v>171</v>
      </c>
      <c r="N159" s="466" t="s">
        <v>185</v>
      </c>
      <c r="O159" s="453">
        <v>0</v>
      </c>
      <c r="P159" s="453">
        <f t="shared" si="11"/>
        <v>0</v>
      </c>
      <c r="Q159" s="453">
        <v>1</v>
      </c>
      <c r="R159" s="453">
        <f t="shared" si="12"/>
        <v>63.834000000000003</v>
      </c>
      <c r="S159" s="453">
        <v>0</v>
      </c>
      <c r="T159" s="454">
        <f t="shared" si="13"/>
        <v>0</v>
      </c>
      <c r="AR159" s="455" t="s">
        <v>115</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1108</v>
      </c>
    </row>
    <row r="160" spans="2:65" s="365" customFormat="1" ht="24.2" customHeight="1" x14ac:dyDescent="0.25">
      <c r="B160" s="364"/>
      <c r="C160" s="457" t="s">
        <v>243</v>
      </c>
      <c r="D160" s="457" t="s">
        <v>259</v>
      </c>
      <c r="E160" s="458" t="s">
        <v>746</v>
      </c>
      <c r="F160" s="459" t="s">
        <v>747</v>
      </c>
      <c r="G160" s="460" t="s">
        <v>112</v>
      </c>
      <c r="H160" s="461">
        <v>38.271000000000001</v>
      </c>
      <c r="I160" s="330">
        <v>0</v>
      </c>
      <c r="J160" s="462">
        <f t="shared" si="10"/>
        <v>0</v>
      </c>
      <c r="K160" s="463"/>
      <c r="L160" s="464"/>
      <c r="M160" s="465" t="s">
        <v>171</v>
      </c>
      <c r="N160" s="466" t="s">
        <v>185</v>
      </c>
      <c r="O160" s="453">
        <v>0</v>
      </c>
      <c r="P160" s="453">
        <f t="shared" si="11"/>
        <v>0</v>
      </c>
      <c r="Q160" s="453">
        <v>1</v>
      </c>
      <c r="R160" s="453">
        <f t="shared" si="12"/>
        <v>38.271000000000001</v>
      </c>
      <c r="S160" s="453">
        <v>0</v>
      </c>
      <c r="T160" s="454">
        <f t="shared" si="13"/>
        <v>0</v>
      </c>
      <c r="AR160" s="455" t="s">
        <v>115</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1109</v>
      </c>
    </row>
    <row r="161" spans="2:65" s="365" customFormat="1" ht="24.2" customHeight="1" x14ac:dyDescent="0.25">
      <c r="B161" s="364"/>
      <c r="C161" s="457" t="s">
        <v>244</v>
      </c>
      <c r="D161" s="457" t="s">
        <v>259</v>
      </c>
      <c r="E161" s="458" t="s">
        <v>749</v>
      </c>
      <c r="F161" s="459" t="s">
        <v>750</v>
      </c>
      <c r="G161" s="460" t="s">
        <v>112</v>
      </c>
      <c r="H161" s="461">
        <v>63.834000000000003</v>
      </c>
      <c r="I161" s="330">
        <v>0</v>
      </c>
      <c r="J161" s="462">
        <f t="shared" si="10"/>
        <v>0</v>
      </c>
      <c r="K161" s="463"/>
      <c r="L161" s="464"/>
      <c r="M161" s="465" t="s">
        <v>171</v>
      </c>
      <c r="N161" s="466" t="s">
        <v>185</v>
      </c>
      <c r="O161" s="453">
        <v>0</v>
      </c>
      <c r="P161" s="453">
        <f t="shared" si="11"/>
        <v>0</v>
      </c>
      <c r="Q161" s="453">
        <v>1</v>
      </c>
      <c r="R161" s="453">
        <f t="shared" si="12"/>
        <v>63.834000000000003</v>
      </c>
      <c r="S161" s="453">
        <v>0</v>
      </c>
      <c r="T161" s="454">
        <f t="shared" si="13"/>
        <v>0</v>
      </c>
      <c r="AR161" s="455" t="s">
        <v>115</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1110</v>
      </c>
    </row>
    <row r="162" spans="2:65" s="365" customFormat="1" ht="16.5" customHeight="1" x14ac:dyDescent="0.25">
      <c r="B162" s="364"/>
      <c r="C162" s="457" t="s">
        <v>245</v>
      </c>
      <c r="D162" s="457" t="s">
        <v>259</v>
      </c>
      <c r="E162" s="458" t="s">
        <v>752</v>
      </c>
      <c r="F162" s="459" t="s">
        <v>753</v>
      </c>
      <c r="G162" s="460" t="s">
        <v>112</v>
      </c>
      <c r="H162" s="461">
        <v>63.834000000000003</v>
      </c>
      <c r="I162" s="330">
        <v>0</v>
      </c>
      <c r="J162" s="462">
        <f t="shared" si="10"/>
        <v>0</v>
      </c>
      <c r="K162" s="463"/>
      <c r="L162" s="464"/>
      <c r="M162" s="465" t="s">
        <v>171</v>
      </c>
      <c r="N162" s="466" t="s">
        <v>185</v>
      </c>
      <c r="O162" s="453">
        <v>0</v>
      </c>
      <c r="P162" s="453">
        <f t="shared" si="11"/>
        <v>0</v>
      </c>
      <c r="Q162" s="453">
        <v>1</v>
      </c>
      <c r="R162" s="453">
        <f t="shared" si="12"/>
        <v>63.834000000000003</v>
      </c>
      <c r="S162" s="453">
        <v>0</v>
      </c>
      <c r="T162" s="454">
        <f t="shared" si="13"/>
        <v>0</v>
      </c>
      <c r="AR162" s="455" t="s">
        <v>115</v>
      </c>
      <c r="AT162" s="455" t="s">
        <v>259</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1111</v>
      </c>
    </row>
    <row r="163" spans="2:65" s="365" customFormat="1" ht="44.25" customHeight="1" x14ac:dyDescent="0.25">
      <c r="B163" s="364"/>
      <c r="C163" s="445" t="s">
        <v>246</v>
      </c>
      <c r="D163" s="445" t="s">
        <v>218</v>
      </c>
      <c r="E163" s="446" t="s">
        <v>1001</v>
      </c>
      <c r="F163" s="447" t="s">
        <v>1002</v>
      </c>
      <c r="G163" s="448" t="s">
        <v>111</v>
      </c>
      <c r="H163" s="449">
        <v>80</v>
      </c>
      <c r="I163" s="329">
        <v>0</v>
      </c>
      <c r="J163" s="450">
        <f t="shared" si="10"/>
        <v>0</v>
      </c>
      <c r="K163" s="451"/>
      <c r="L163" s="364"/>
      <c r="M163" s="452" t="s">
        <v>171</v>
      </c>
      <c r="N163" s="415" t="s">
        <v>185</v>
      </c>
      <c r="O163" s="453">
        <v>6.3E-2</v>
      </c>
      <c r="P163" s="453">
        <f t="shared" si="11"/>
        <v>5.04</v>
      </c>
      <c r="Q163" s="453">
        <v>0.7102368</v>
      </c>
      <c r="R163" s="453">
        <f t="shared" si="12"/>
        <v>56.818944000000002</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1112</v>
      </c>
    </row>
    <row r="164" spans="2:65" s="365" customFormat="1" ht="24.2" customHeight="1" x14ac:dyDescent="0.25">
      <c r="B164" s="364"/>
      <c r="C164" s="445" t="s">
        <v>247</v>
      </c>
      <c r="D164" s="445" t="s">
        <v>218</v>
      </c>
      <c r="E164" s="446" t="s">
        <v>761</v>
      </c>
      <c r="F164" s="447" t="s">
        <v>1113</v>
      </c>
      <c r="G164" s="448" t="s">
        <v>111</v>
      </c>
      <c r="H164" s="449">
        <v>258</v>
      </c>
      <c r="I164" s="329">
        <v>0</v>
      </c>
      <c r="J164" s="450">
        <f t="shared" si="10"/>
        <v>0</v>
      </c>
      <c r="K164" s="451"/>
      <c r="L164" s="364"/>
      <c r="M164" s="452" t="s">
        <v>171</v>
      </c>
      <c r="N164" s="415" t="s">
        <v>185</v>
      </c>
      <c r="O164" s="453">
        <v>8.5000000000000006E-2</v>
      </c>
      <c r="P164" s="453">
        <f t="shared" si="11"/>
        <v>21.930000000000003</v>
      </c>
      <c r="Q164" s="453">
        <v>0.18462999999999999</v>
      </c>
      <c r="R164" s="453">
        <f t="shared" si="12"/>
        <v>47.634539999999994</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1114</v>
      </c>
    </row>
    <row r="165" spans="2:65" s="365" customFormat="1" ht="37.9" customHeight="1" x14ac:dyDescent="0.25">
      <c r="B165" s="364"/>
      <c r="C165" s="445" t="s">
        <v>248</v>
      </c>
      <c r="D165" s="445" t="s">
        <v>218</v>
      </c>
      <c r="E165" s="446" t="s">
        <v>755</v>
      </c>
      <c r="F165" s="447" t="s">
        <v>1115</v>
      </c>
      <c r="G165" s="448" t="s">
        <v>111</v>
      </c>
      <c r="H165" s="449">
        <v>1398</v>
      </c>
      <c r="I165" s="329">
        <v>0</v>
      </c>
      <c r="J165" s="450">
        <f t="shared" si="10"/>
        <v>0</v>
      </c>
      <c r="K165" s="451"/>
      <c r="L165" s="364"/>
      <c r="M165" s="452" t="s">
        <v>171</v>
      </c>
      <c r="N165" s="415" t="s">
        <v>185</v>
      </c>
      <c r="O165" s="453">
        <v>4.8000000000000001E-2</v>
      </c>
      <c r="P165" s="453">
        <f t="shared" si="11"/>
        <v>67.103999999999999</v>
      </c>
      <c r="Q165" s="453">
        <v>5.8100000000000001E-3</v>
      </c>
      <c r="R165" s="453">
        <f t="shared" si="12"/>
        <v>8.1223799999999997</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1116</v>
      </c>
    </row>
    <row r="166" spans="2:65" s="365" customFormat="1" ht="37.9" customHeight="1" x14ac:dyDescent="0.25">
      <c r="B166" s="364"/>
      <c r="C166" s="445" t="s">
        <v>249</v>
      </c>
      <c r="D166" s="445" t="s">
        <v>218</v>
      </c>
      <c r="E166" s="446" t="s">
        <v>758</v>
      </c>
      <c r="F166" s="447" t="s">
        <v>1117</v>
      </c>
      <c r="G166" s="448" t="s">
        <v>111</v>
      </c>
      <c r="H166" s="449">
        <v>2343</v>
      </c>
      <c r="I166" s="329">
        <v>0</v>
      </c>
      <c r="J166" s="450">
        <f t="shared" si="10"/>
        <v>0</v>
      </c>
      <c r="K166" s="451"/>
      <c r="L166" s="364"/>
      <c r="M166" s="452" t="s">
        <v>171</v>
      </c>
      <c r="N166" s="415" t="s">
        <v>185</v>
      </c>
      <c r="O166" s="453">
        <v>7.0999999999999994E-2</v>
      </c>
      <c r="P166" s="453">
        <f t="shared" si="11"/>
        <v>166.35299999999998</v>
      </c>
      <c r="Q166" s="453">
        <v>0.12966</v>
      </c>
      <c r="R166" s="453">
        <f t="shared" si="12"/>
        <v>303.79338000000001</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760</v>
      </c>
    </row>
    <row r="167" spans="2:65" s="365" customFormat="1" ht="37.9" customHeight="1" x14ac:dyDescent="0.25">
      <c r="B167" s="364"/>
      <c r="C167" s="445" t="s">
        <v>250</v>
      </c>
      <c r="D167" s="445" t="s">
        <v>218</v>
      </c>
      <c r="E167" s="446" t="s">
        <v>764</v>
      </c>
      <c r="F167" s="447" t="s">
        <v>1118</v>
      </c>
      <c r="G167" s="448" t="s">
        <v>111</v>
      </c>
      <c r="H167" s="449">
        <v>237</v>
      </c>
      <c r="I167" s="329">
        <v>0</v>
      </c>
      <c r="J167" s="450">
        <f t="shared" si="10"/>
        <v>0</v>
      </c>
      <c r="K167" s="451"/>
      <c r="L167" s="364"/>
      <c r="M167" s="452" t="s">
        <v>171</v>
      </c>
      <c r="N167" s="415" t="s">
        <v>185</v>
      </c>
      <c r="O167" s="453">
        <v>2.5100000000000001E-2</v>
      </c>
      <c r="P167" s="453">
        <f t="shared" si="11"/>
        <v>5.9487000000000005</v>
      </c>
      <c r="Q167" s="453">
        <v>0.43096599000000002</v>
      </c>
      <c r="R167" s="453">
        <f t="shared" si="12"/>
        <v>102.13893963000001</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766</v>
      </c>
    </row>
    <row r="168" spans="2:65" s="365" customFormat="1" ht="33" customHeight="1" x14ac:dyDescent="0.25">
      <c r="B168" s="364"/>
      <c r="C168" s="445" t="s">
        <v>251</v>
      </c>
      <c r="D168" s="445" t="s">
        <v>218</v>
      </c>
      <c r="E168" s="446" t="s">
        <v>767</v>
      </c>
      <c r="F168" s="447" t="s">
        <v>1119</v>
      </c>
      <c r="G168" s="448" t="s">
        <v>111</v>
      </c>
      <c r="H168" s="449">
        <v>1902</v>
      </c>
      <c r="I168" s="329">
        <v>0</v>
      </c>
      <c r="J168" s="450">
        <f t="shared" si="10"/>
        <v>0</v>
      </c>
      <c r="K168" s="451"/>
      <c r="L168" s="364"/>
      <c r="M168" s="452" t="s">
        <v>171</v>
      </c>
      <c r="N168" s="415" t="s">
        <v>185</v>
      </c>
      <c r="O168" s="453">
        <v>3.6119999999999999E-2</v>
      </c>
      <c r="P168" s="453">
        <f t="shared" si="11"/>
        <v>68.700239999999994</v>
      </c>
      <c r="Q168" s="453">
        <v>0.46</v>
      </c>
      <c r="R168" s="453">
        <f t="shared" si="12"/>
        <v>874.92000000000007</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769</v>
      </c>
    </row>
    <row r="169" spans="2:65" s="365" customFormat="1" ht="37.9" customHeight="1" x14ac:dyDescent="0.25">
      <c r="B169" s="364"/>
      <c r="C169" s="445" t="s">
        <v>252</v>
      </c>
      <c r="D169" s="445" t="s">
        <v>218</v>
      </c>
      <c r="E169" s="446" t="s">
        <v>770</v>
      </c>
      <c r="F169" s="447" t="s">
        <v>1120</v>
      </c>
      <c r="G169" s="448" t="s">
        <v>111</v>
      </c>
      <c r="H169" s="449">
        <v>3780</v>
      </c>
      <c r="I169" s="329">
        <v>0</v>
      </c>
      <c r="J169" s="450">
        <f t="shared" si="10"/>
        <v>0</v>
      </c>
      <c r="K169" s="451"/>
      <c r="L169" s="364"/>
      <c r="M169" s="452" t="s">
        <v>171</v>
      </c>
      <c r="N169" s="415" t="s">
        <v>185</v>
      </c>
      <c r="O169" s="453">
        <v>2.3999999999999998E-3</v>
      </c>
      <c r="P169" s="453">
        <f t="shared" si="11"/>
        <v>9.0719999999999992</v>
      </c>
      <c r="Q169" s="453">
        <v>5.1000000000000004E-4</v>
      </c>
      <c r="R169" s="453">
        <f t="shared" si="12"/>
        <v>1.9278000000000002</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772</v>
      </c>
    </row>
    <row r="170" spans="2:65" s="365" customFormat="1" ht="33" customHeight="1" x14ac:dyDescent="0.25">
      <c r="B170" s="364"/>
      <c r="C170" s="445" t="s">
        <v>253</v>
      </c>
      <c r="D170" s="445" t="s">
        <v>218</v>
      </c>
      <c r="E170" s="446" t="s">
        <v>773</v>
      </c>
      <c r="F170" s="447" t="s">
        <v>774</v>
      </c>
      <c r="G170" s="448" t="s">
        <v>111</v>
      </c>
      <c r="H170" s="449">
        <v>1440</v>
      </c>
      <c r="I170" s="329">
        <v>0</v>
      </c>
      <c r="J170" s="450">
        <f t="shared" si="10"/>
        <v>0</v>
      </c>
      <c r="K170" s="451"/>
      <c r="L170" s="364"/>
      <c r="M170" s="452" t="s">
        <v>171</v>
      </c>
      <c r="N170" s="415" t="s">
        <v>185</v>
      </c>
      <c r="O170" s="453">
        <v>6.6000000000000003E-2</v>
      </c>
      <c r="P170" s="453">
        <f t="shared" si="11"/>
        <v>95.04</v>
      </c>
      <c r="Q170" s="453">
        <v>0.10373</v>
      </c>
      <c r="R170" s="453">
        <f t="shared" si="12"/>
        <v>149.37120000000002</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775</v>
      </c>
    </row>
    <row r="171" spans="2:65" s="365" customFormat="1" ht="33" customHeight="1" x14ac:dyDescent="0.25">
      <c r="B171" s="364"/>
      <c r="C171" s="445" t="s">
        <v>254</v>
      </c>
      <c r="D171" s="445" t="s">
        <v>218</v>
      </c>
      <c r="E171" s="446" t="s">
        <v>776</v>
      </c>
      <c r="F171" s="447" t="s">
        <v>1012</v>
      </c>
      <c r="G171" s="448" t="s">
        <v>111</v>
      </c>
      <c r="H171" s="449">
        <v>1440</v>
      </c>
      <c r="I171" s="329">
        <v>0</v>
      </c>
      <c r="J171" s="450">
        <f t="shared" si="10"/>
        <v>0</v>
      </c>
      <c r="K171" s="451"/>
      <c r="L171" s="364"/>
      <c r="M171" s="452" t="s">
        <v>171</v>
      </c>
      <c r="N171" s="415" t="s">
        <v>185</v>
      </c>
      <c r="O171" s="453">
        <v>0.107</v>
      </c>
      <c r="P171" s="453">
        <f t="shared" si="11"/>
        <v>154.07999999999998</v>
      </c>
      <c r="Q171" s="453">
        <v>0.26375999999999999</v>
      </c>
      <c r="R171" s="453">
        <f t="shared" si="12"/>
        <v>379.81439999999998</v>
      </c>
      <c r="S171" s="453">
        <v>0</v>
      </c>
      <c r="T171" s="454">
        <f t="shared" si="13"/>
        <v>0</v>
      </c>
      <c r="AR171" s="455" t="s">
        <v>110</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778</v>
      </c>
    </row>
    <row r="172" spans="2:65" s="365" customFormat="1" ht="33" customHeight="1" x14ac:dyDescent="0.25">
      <c r="B172" s="364"/>
      <c r="C172" s="445" t="s">
        <v>255</v>
      </c>
      <c r="D172" s="445" t="s">
        <v>218</v>
      </c>
      <c r="E172" s="446" t="s">
        <v>782</v>
      </c>
      <c r="F172" s="447" t="s">
        <v>1121</v>
      </c>
      <c r="G172" s="448" t="s">
        <v>111</v>
      </c>
      <c r="H172" s="449">
        <v>2166</v>
      </c>
      <c r="I172" s="329">
        <v>0</v>
      </c>
      <c r="J172" s="450">
        <f t="shared" si="10"/>
        <v>0</v>
      </c>
      <c r="K172" s="451"/>
      <c r="L172" s="364"/>
      <c r="M172" s="452" t="s">
        <v>171</v>
      </c>
      <c r="N172" s="415" t="s">
        <v>185</v>
      </c>
      <c r="O172" s="453">
        <v>2.9000000000000001E-2</v>
      </c>
      <c r="P172" s="453">
        <f t="shared" si="11"/>
        <v>62.814</v>
      </c>
      <c r="Q172" s="453">
        <v>3.3000000000000003E-5</v>
      </c>
      <c r="R172" s="453">
        <f t="shared" si="12"/>
        <v>7.1478E-2</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784</v>
      </c>
    </row>
    <row r="173" spans="2:65" s="365" customFormat="1" ht="24.2" customHeight="1" x14ac:dyDescent="0.25">
      <c r="B173" s="364"/>
      <c r="C173" s="445" t="s">
        <v>256</v>
      </c>
      <c r="D173" s="445" t="s">
        <v>218</v>
      </c>
      <c r="E173" s="446" t="s">
        <v>788</v>
      </c>
      <c r="F173" s="447" t="s">
        <v>1122</v>
      </c>
      <c r="G173" s="448" t="s">
        <v>111</v>
      </c>
      <c r="H173" s="449">
        <v>239</v>
      </c>
      <c r="I173" s="329">
        <v>0</v>
      </c>
      <c r="J173" s="450">
        <f t="shared" si="10"/>
        <v>0</v>
      </c>
      <c r="K173" s="451"/>
      <c r="L173" s="364"/>
      <c r="M173" s="452" t="s">
        <v>171</v>
      </c>
      <c r="N173" s="415" t="s">
        <v>185</v>
      </c>
      <c r="O173" s="453">
        <v>0.40500000000000003</v>
      </c>
      <c r="P173" s="453">
        <f t="shared" si="11"/>
        <v>96.795000000000002</v>
      </c>
      <c r="Q173" s="453">
        <v>0.1837</v>
      </c>
      <c r="R173" s="453">
        <f t="shared" si="12"/>
        <v>43.904299999999999</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790</v>
      </c>
    </row>
    <row r="174" spans="2:65" s="365" customFormat="1" ht="16.5" customHeight="1" x14ac:dyDescent="0.25">
      <c r="B174" s="364"/>
      <c r="C174" s="457" t="s">
        <v>257</v>
      </c>
      <c r="D174" s="457" t="s">
        <v>259</v>
      </c>
      <c r="E174" s="458" t="s">
        <v>791</v>
      </c>
      <c r="F174" s="459" t="s">
        <v>792</v>
      </c>
      <c r="G174" s="460" t="s">
        <v>111</v>
      </c>
      <c r="H174" s="461">
        <v>209</v>
      </c>
      <c r="I174" s="330">
        <v>0</v>
      </c>
      <c r="J174" s="462">
        <f t="shared" si="10"/>
        <v>0</v>
      </c>
      <c r="K174" s="463"/>
      <c r="L174" s="464"/>
      <c r="M174" s="465" t="s">
        <v>171</v>
      </c>
      <c r="N174" s="466" t="s">
        <v>185</v>
      </c>
      <c r="O174" s="453">
        <v>0</v>
      </c>
      <c r="P174" s="453">
        <f t="shared" si="11"/>
        <v>0</v>
      </c>
      <c r="Q174" s="453">
        <v>0.184</v>
      </c>
      <c r="R174" s="453">
        <f t="shared" si="12"/>
        <v>38.455999999999996</v>
      </c>
      <c r="S174" s="453">
        <v>0</v>
      </c>
      <c r="T174" s="454">
        <f t="shared" si="13"/>
        <v>0</v>
      </c>
      <c r="AR174" s="455" t="s">
        <v>115</v>
      </c>
      <c r="AT174" s="455" t="s">
        <v>259</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793</v>
      </c>
    </row>
    <row r="175" spans="2:65" s="365" customFormat="1" ht="16.5" customHeight="1" x14ac:dyDescent="0.25">
      <c r="B175" s="364"/>
      <c r="C175" s="457" t="s">
        <v>258</v>
      </c>
      <c r="D175" s="457" t="s">
        <v>259</v>
      </c>
      <c r="E175" s="458" t="s">
        <v>794</v>
      </c>
      <c r="F175" s="459" t="s">
        <v>795</v>
      </c>
      <c r="G175" s="460" t="s">
        <v>111</v>
      </c>
      <c r="H175" s="461">
        <v>32</v>
      </c>
      <c r="I175" s="330">
        <v>0</v>
      </c>
      <c r="J175" s="462">
        <f t="shared" si="10"/>
        <v>0</v>
      </c>
      <c r="K175" s="463"/>
      <c r="L175" s="464"/>
      <c r="M175" s="465" t="s">
        <v>171</v>
      </c>
      <c r="N175" s="466" t="s">
        <v>185</v>
      </c>
      <c r="O175" s="453">
        <v>0</v>
      </c>
      <c r="P175" s="453">
        <f t="shared" si="11"/>
        <v>0</v>
      </c>
      <c r="Q175" s="453">
        <v>0.13</v>
      </c>
      <c r="R175" s="453">
        <f t="shared" si="12"/>
        <v>4.16</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796</v>
      </c>
    </row>
    <row r="176" spans="2:65" s="365" customFormat="1" ht="37.9" customHeight="1" x14ac:dyDescent="0.25">
      <c r="B176" s="364"/>
      <c r="C176" s="445" t="s">
        <v>260</v>
      </c>
      <c r="D176" s="445" t="s">
        <v>218</v>
      </c>
      <c r="E176" s="446" t="s">
        <v>797</v>
      </c>
      <c r="F176" s="447" t="s">
        <v>798</v>
      </c>
      <c r="G176" s="448" t="s">
        <v>111</v>
      </c>
      <c r="H176" s="449">
        <v>198</v>
      </c>
      <c r="I176" s="329">
        <v>0</v>
      </c>
      <c r="J176" s="450">
        <f t="shared" si="10"/>
        <v>0</v>
      </c>
      <c r="K176" s="451"/>
      <c r="L176" s="364"/>
      <c r="M176" s="452" t="s">
        <v>171</v>
      </c>
      <c r="N176" s="415" t="s">
        <v>185</v>
      </c>
      <c r="O176" s="453">
        <v>2.4E-2</v>
      </c>
      <c r="P176" s="453">
        <f t="shared" si="11"/>
        <v>4.7519999999999998</v>
      </c>
      <c r="Q176" s="453">
        <v>0.28731000000000001</v>
      </c>
      <c r="R176" s="453">
        <f t="shared" si="12"/>
        <v>56.88738</v>
      </c>
      <c r="S176" s="453">
        <v>0</v>
      </c>
      <c r="T176" s="454">
        <f t="shared" si="13"/>
        <v>0</v>
      </c>
      <c r="AR176" s="455" t="s">
        <v>110</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799</v>
      </c>
    </row>
    <row r="177" spans="2:65" s="365" customFormat="1" ht="24.2" customHeight="1" x14ac:dyDescent="0.25">
      <c r="B177" s="364"/>
      <c r="C177" s="457" t="s">
        <v>262</v>
      </c>
      <c r="D177" s="457" t="s">
        <v>259</v>
      </c>
      <c r="E177" s="458" t="s">
        <v>785</v>
      </c>
      <c r="F177" s="459" t="s">
        <v>995</v>
      </c>
      <c r="G177" s="460" t="s">
        <v>111</v>
      </c>
      <c r="H177" s="461">
        <v>2508</v>
      </c>
      <c r="I177" s="330">
        <v>0</v>
      </c>
      <c r="J177" s="462">
        <f t="shared" si="10"/>
        <v>0</v>
      </c>
      <c r="K177" s="463"/>
      <c r="L177" s="464"/>
      <c r="M177" s="465" t="s">
        <v>171</v>
      </c>
      <c r="N177" s="466" t="s">
        <v>185</v>
      </c>
      <c r="O177" s="453">
        <v>0</v>
      </c>
      <c r="P177" s="453">
        <f t="shared" si="11"/>
        <v>0</v>
      </c>
      <c r="Q177" s="453">
        <v>8.8999999999999995E-4</v>
      </c>
      <c r="R177" s="453">
        <f t="shared" si="12"/>
        <v>2.2321199999999997</v>
      </c>
      <c r="S177" s="453">
        <v>0</v>
      </c>
      <c r="T177" s="454">
        <f t="shared" si="13"/>
        <v>0</v>
      </c>
      <c r="AR177" s="455" t="s">
        <v>115</v>
      </c>
      <c r="AT177" s="455" t="s">
        <v>259</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1123</v>
      </c>
    </row>
    <row r="178" spans="2:65" s="365" customFormat="1" ht="24.2" customHeight="1" x14ac:dyDescent="0.25">
      <c r="B178" s="364"/>
      <c r="C178" s="445" t="s">
        <v>263</v>
      </c>
      <c r="D178" s="445" t="s">
        <v>218</v>
      </c>
      <c r="E178" s="446" t="s">
        <v>1124</v>
      </c>
      <c r="F178" s="447" t="s">
        <v>1014</v>
      </c>
      <c r="G178" s="448" t="s">
        <v>111</v>
      </c>
      <c r="H178" s="449">
        <v>11</v>
      </c>
      <c r="I178" s="329">
        <v>0</v>
      </c>
      <c r="J178" s="450">
        <f t="shared" si="10"/>
        <v>0</v>
      </c>
      <c r="K178" s="451"/>
      <c r="L178" s="364"/>
      <c r="M178" s="452" t="s">
        <v>171</v>
      </c>
      <c r="N178" s="415" t="s">
        <v>185</v>
      </c>
      <c r="O178" s="453">
        <v>0.40500000000000003</v>
      </c>
      <c r="P178" s="453">
        <f t="shared" si="11"/>
        <v>4.4550000000000001</v>
      </c>
      <c r="Q178" s="453">
        <v>0.1837</v>
      </c>
      <c r="R178" s="453">
        <f t="shared" si="12"/>
        <v>2.0207000000000002</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1125</v>
      </c>
    </row>
    <row r="179" spans="2:65" s="365" customFormat="1" ht="16.5" customHeight="1" x14ac:dyDescent="0.25">
      <c r="B179" s="364"/>
      <c r="C179" s="457" t="s">
        <v>264</v>
      </c>
      <c r="D179" s="457" t="s">
        <v>259</v>
      </c>
      <c r="E179" s="458" t="s">
        <v>791</v>
      </c>
      <c r="F179" s="459" t="s">
        <v>792</v>
      </c>
      <c r="G179" s="460" t="s">
        <v>111</v>
      </c>
      <c r="H179" s="461">
        <v>12</v>
      </c>
      <c r="I179" s="330">
        <v>0</v>
      </c>
      <c r="J179" s="462">
        <f t="shared" si="10"/>
        <v>0</v>
      </c>
      <c r="K179" s="463"/>
      <c r="L179" s="464"/>
      <c r="M179" s="465" t="s">
        <v>171</v>
      </c>
      <c r="N179" s="466" t="s">
        <v>185</v>
      </c>
      <c r="O179" s="453">
        <v>0</v>
      </c>
      <c r="P179" s="453">
        <f t="shared" si="11"/>
        <v>0</v>
      </c>
      <c r="Q179" s="453">
        <v>0.184</v>
      </c>
      <c r="R179" s="453">
        <f t="shared" si="12"/>
        <v>2.2080000000000002</v>
      </c>
      <c r="S179" s="453">
        <v>0</v>
      </c>
      <c r="T179" s="454">
        <f t="shared" si="13"/>
        <v>0</v>
      </c>
      <c r="AR179" s="455" t="s">
        <v>115</v>
      </c>
      <c r="AT179" s="455" t="s">
        <v>259</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110</v>
      </c>
      <c r="BM179" s="455" t="s">
        <v>1126</v>
      </c>
    </row>
    <row r="180" spans="2:65" s="365" customFormat="1" ht="16.5" customHeight="1" x14ac:dyDescent="0.25">
      <c r="B180" s="364"/>
      <c r="C180" s="445" t="s">
        <v>265</v>
      </c>
      <c r="D180" s="445" t="s">
        <v>218</v>
      </c>
      <c r="E180" s="446" t="s">
        <v>1127</v>
      </c>
      <c r="F180" s="447" t="s">
        <v>1128</v>
      </c>
      <c r="G180" s="448" t="s">
        <v>123</v>
      </c>
      <c r="H180" s="449">
        <v>6</v>
      </c>
      <c r="I180" s="329">
        <v>0</v>
      </c>
      <c r="J180" s="450">
        <f t="shared" si="10"/>
        <v>0</v>
      </c>
      <c r="K180" s="451"/>
      <c r="L180" s="364"/>
      <c r="M180" s="452" t="s">
        <v>171</v>
      </c>
      <c r="N180" s="415" t="s">
        <v>185</v>
      </c>
      <c r="O180" s="453">
        <v>0.42</v>
      </c>
      <c r="P180" s="453">
        <f t="shared" si="11"/>
        <v>2.52</v>
      </c>
      <c r="Q180" s="453">
        <v>0.119575</v>
      </c>
      <c r="R180" s="453">
        <f t="shared" si="12"/>
        <v>0.71745000000000003</v>
      </c>
      <c r="S180" s="453">
        <v>0</v>
      </c>
      <c r="T180" s="454">
        <f t="shared" si="13"/>
        <v>0</v>
      </c>
      <c r="AR180" s="455" t="s">
        <v>110</v>
      </c>
      <c r="AT180" s="455" t="s">
        <v>218</v>
      </c>
      <c r="AU180" s="455" t="s">
        <v>108</v>
      </c>
      <c r="AY180" s="357" t="s">
        <v>217</v>
      </c>
      <c r="BE180" s="456">
        <f t="shared" si="14"/>
        <v>0</v>
      </c>
      <c r="BF180" s="456">
        <f t="shared" si="15"/>
        <v>0</v>
      </c>
      <c r="BG180" s="456">
        <f t="shared" si="16"/>
        <v>0</v>
      </c>
      <c r="BH180" s="456">
        <f t="shared" si="17"/>
        <v>0</v>
      </c>
      <c r="BI180" s="456">
        <f t="shared" si="18"/>
        <v>0</v>
      </c>
      <c r="BJ180" s="357" t="s">
        <v>108</v>
      </c>
      <c r="BK180" s="456">
        <f t="shared" si="19"/>
        <v>0</v>
      </c>
      <c r="BL180" s="357" t="s">
        <v>110</v>
      </c>
      <c r="BM180" s="455" t="s">
        <v>1129</v>
      </c>
    </row>
    <row r="181" spans="2:65" s="365" customFormat="1" ht="16.5" customHeight="1" x14ac:dyDescent="0.25">
      <c r="B181" s="364"/>
      <c r="C181" s="457" t="s">
        <v>266</v>
      </c>
      <c r="D181" s="457" t="s">
        <v>259</v>
      </c>
      <c r="E181" s="458" t="s">
        <v>1130</v>
      </c>
      <c r="F181" s="459" t="s">
        <v>1131</v>
      </c>
      <c r="G181" s="460" t="s">
        <v>123</v>
      </c>
      <c r="H181" s="461">
        <v>6</v>
      </c>
      <c r="I181" s="330">
        <v>0</v>
      </c>
      <c r="J181" s="462">
        <f t="shared" si="10"/>
        <v>0</v>
      </c>
      <c r="K181" s="463"/>
      <c r="L181" s="464"/>
      <c r="M181" s="465" t="s">
        <v>171</v>
      </c>
      <c r="N181" s="466" t="s">
        <v>185</v>
      </c>
      <c r="O181" s="453">
        <v>0</v>
      </c>
      <c r="P181" s="453">
        <f t="shared" si="11"/>
        <v>0</v>
      </c>
      <c r="Q181" s="453">
        <v>1.5699999999999999E-2</v>
      </c>
      <c r="R181" s="453">
        <f t="shared" si="12"/>
        <v>9.4199999999999992E-2</v>
      </c>
      <c r="S181" s="453">
        <v>0</v>
      </c>
      <c r="T181" s="454">
        <f t="shared" si="13"/>
        <v>0</v>
      </c>
      <c r="AR181" s="455" t="s">
        <v>115</v>
      </c>
      <c r="AT181" s="455" t="s">
        <v>259</v>
      </c>
      <c r="AU181" s="455" t="s">
        <v>108</v>
      </c>
      <c r="AY181" s="357" t="s">
        <v>217</v>
      </c>
      <c r="BE181" s="456">
        <f t="shared" si="14"/>
        <v>0</v>
      </c>
      <c r="BF181" s="456">
        <f t="shared" si="15"/>
        <v>0</v>
      </c>
      <c r="BG181" s="456">
        <f t="shared" si="16"/>
        <v>0</v>
      </c>
      <c r="BH181" s="456">
        <f t="shared" si="17"/>
        <v>0</v>
      </c>
      <c r="BI181" s="456">
        <f t="shared" si="18"/>
        <v>0</v>
      </c>
      <c r="BJ181" s="357" t="s">
        <v>108</v>
      </c>
      <c r="BK181" s="456">
        <f t="shared" si="19"/>
        <v>0</v>
      </c>
      <c r="BL181" s="357" t="s">
        <v>110</v>
      </c>
      <c r="BM181" s="455" t="s">
        <v>1132</v>
      </c>
    </row>
    <row r="182" spans="2:65" s="365" customFormat="1" ht="33" customHeight="1" x14ac:dyDescent="0.25">
      <c r="B182" s="364"/>
      <c r="C182" s="445" t="s">
        <v>573</v>
      </c>
      <c r="D182" s="445" t="s">
        <v>218</v>
      </c>
      <c r="E182" s="446" t="s">
        <v>800</v>
      </c>
      <c r="F182" s="447" t="s">
        <v>801</v>
      </c>
      <c r="G182" s="448" t="s">
        <v>113</v>
      </c>
      <c r="H182" s="449">
        <v>627</v>
      </c>
      <c r="I182" s="329">
        <v>0</v>
      </c>
      <c r="J182" s="450">
        <f t="shared" si="10"/>
        <v>0</v>
      </c>
      <c r="K182" s="451"/>
      <c r="L182" s="364"/>
      <c r="M182" s="452" t="s">
        <v>171</v>
      </c>
      <c r="N182" s="415" t="s">
        <v>185</v>
      </c>
      <c r="O182" s="453">
        <v>0.192</v>
      </c>
      <c r="P182" s="453">
        <f t="shared" si="11"/>
        <v>120.384</v>
      </c>
      <c r="Q182" s="453">
        <v>9.8529599999999995E-2</v>
      </c>
      <c r="R182" s="453">
        <f t="shared" si="12"/>
        <v>61.778059199999994</v>
      </c>
      <c r="S182" s="453">
        <v>0</v>
      </c>
      <c r="T182" s="454">
        <f t="shared" si="13"/>
        <v>0</v>
      </c>
      <c r="AR182" s="455" t="s">
        <v>110</v>
      </c>
      <c r="AT182" s="455" t="s">
        <v>218</v>
      </c>
      <c r="AU182" s="455" t="s">
        <v>108</v>
      </c>
      <c r="AY182" s="357" t="s">
        <v>217</v>
      </c>
      <c r="BE182" s="456">
        <f t="shared" si="14"/>
        <v>0</v>
      </c>
      <c r="BF182" s="456">
        <f t="shared" si="15"/>
        <v>0</v>
      </c>
      <c r="BG182" s="456">
        <f t="shared" si="16"/>
        <v>0</v>
      </c>
      <c r="BH182" s="456">
        <f t="shared" si="17"/>
        <v>0</v>
      </c>
      <c r="BI182" s="456">
        <f t="shared" si="18"/>
        <v>0</v>
      </c>
      <c r="BJ182" s="357" t="s">
        <v>108</v>
      </c>
      <c r="BK182" s="456">
        <f t="shared" si="19"/>
        <v>0</v>
      </c>
      <c r="BL182" s="357" t="s">
        <v>110</v>
      </c>
      <c r="BM182" s="455" t="s">
        <v>802</v>
      </c>
    </row>
    <row r="183" spans="2:65" s="365" customFormat="1" ht="16.5" customHeight="1" x14ac:dyDescent="0.25">
      <c r="B183" s="364"/>
      <c r="C183" s="457" t="s">
        <v>577</v>
      </c>
      <c r="D183" s="457" t="s">
        <v>259</v>
      </c>
      <c r="E183" s="458" t="s">
        <v>803</v>
      </c>
      <c r="F183" s="459" t="s">
        <v>804</v>
      </c>
      <c r="G183" s="460" t="s">
        <v>123</v>
      </c>
      <c r="H183" s="461">
        <v>634.78499999999997</v>
      </c>
      <c r="I183" s="330">
        <v>0</v>
      </c>
      <c r="J183" s="462">
        <f t="shared" si="10"/>
        <v>0</v>
      </c>
      <c r="K183" s="463"/>
      <c r="L183" s="464"/>
      <c r="M183" s="465" t="s">
        <v>171</v>
      </c>
      <c r="N183" s="466" t="s">
        <v>185</v>
      </c>
      <c r="O183" s="453">
        <v>0</v>
      </c>
      <c r="P183" s="453">
        <f t="shared" si="11"/>
        <v>0</v>
      </c>
      <c r="Q183" s="453">
        <v>4.8000000000000001E-2</v>
      </c>
      <c r="R183" s="453">
        <f t="shared" si="12"/>
        <v>30.46968</v>
      </c>
      <c r="S183" s="453">
        <v>0</v>
      </c>
      <c r="T183" s="454">
        <f t="shared" si="13"/>
        <v>0</v>
      </c>
      <c r="AR183" s="455" t="s">
        <v>115</v>
      </c>
      <c r="AT183" s="455" t="s">
        <v>259</v>
      </c>
      <c r="AU183" s="455" t="s">
        <v>108</v>
      </c>
      <c r="AY183" s="357" t="s">
        <v>217</v>
      </c>
      <c r="BE183" s="456">
        <f t="shared" si="14"/>
        <v>0</v>
      </c>
      <c r="BF183" s="456">
        <f t="shared" si="15"/>
        <v>0</v>
      </c>
      <c r="BG183" s="456">
        <f t="shared" si="16"/>
        <v>0</v>
      </c>
      <c r="BH183" s="456">
        <f t="shared" si="17"/>
        <v>0</v>
      </c>
      <c r="BI183" s="456">
        <f t="shared" si="18"/>
        <v>0</v>
      </c>
      <c r="BJ183" s="357" t="s">
        <v>108</v>
      </c>
      <c r="BK183" s="456">
        <f t="shared" si="19"/>
        <v>0</v>
      </c>
      <c r="BL183" s="357" t="s">
        <v>110</v>
      </c>
      <c r="BM183" s="455" t="s">
        <v>805</v>
      </c>
    </row>
    <row r="184" spans="2:65" s="365" customFormat="1" ht="16.5" customHeight="1" x14ac:dyDescent="0.25">
      <c r="B184" s="364"/>
      <c r="C184" s="457" t="s">
        <v>581</v>
      </c>
      <c r="D184" s="457" t="s">
        <v>259</v>
      </c>
      <c r="E184" s="458" t="s">
        <v>806</v>
      </c>
      <c r="F184" s="459" t="s">
        <v>807</v>
      </c>
      <c r="G184" s="460" t="s">
        <v>123</v>
      </c>
      <c r="H184" s="461">
        <v>295</v>
      </c>
      <c r="I184" s="330">
        <v>0</v>
      </c>
      <c r="J184" s="462">
        <f t="shared" si="10"/>
        <v>0</v>
      </c>
      <c r="K184" s="463"/>
      <c r="L184" s="464"/>
      <c r="M184" s="465" t="s">
        <v>171</v>
      </c>
      <c r="N184" s="466" t="s">
        <v>185</v>
      </c>
      <c r="O184" s="453">
        <v>0</v>
      </c>
      <c r="P184" s="453">
        <f t="shared" si="11"/>
        <v>0</v>
      </c>
      <c r="Q184" s="453">
        <v>8.5000000000000006E-2</v>
      </c>
      <c r="R184" s="453">
        <f t="shared" si="12"/>
        <v>25.075000000000003</v>
      </c>
      <c r="S184" s="453">
        <v>0</v>
      </c>
      <c r="T184" s="454">
        <f t="shared" si="13"/>
        <v>0</v>
      </c>
      <c r="AR184" s="455" t="s">
        <v>115</v>
      </c>
      <c r="AT184" s="455" t="s">
        <v>259</v>
      </c>
      <c r="AU184" s="455" t="s">
        <v>108</v>
      </c>
      <c r="AY184" s="357" t="s">
        <v>217</v>
      </c>
      <c r="BE184" s="456">
        <f t="shared" si="14"/>
        <v>0</v>
      </c>
      <c r="BF184" s="456">
        <f t="shared" si="15"/>
        <v>0</v>
      </c>
      <c r="BG184" s="456">
        <f t="shared" si="16"/>
        <v>0</v>
      </c>
      <c r="BH184" s="456">
        <f t="shared" si="17"/>
        <v>0</v>
      </c>
      <c r="BI184" s="456">
        <f t="shared" si="18"/>
        <v>0</v>
      </c>
      <c r="BJ184" s="357" t="s">
        <v>108</v>
      </c>
      <c r="BK184" s="456">
        <f t="shared" si="19"/>
        <v>0</v>
      </c>
      <c r="BL184" s="357" t="s">
        <v>110</v>
      </c>
      <c r="BM184" s="455" t="s">
        <v>808</v>
      </c>
    </row>
    <row r="185" spans="2:65" s="365" customFormat="1" ht="16.5" customHeight="1" x14ac:dyDescent="0.25">
      <c r="B185" s="364"/>
      <c r="C185" s="457" t="s">
        <v>585</v>
      </c>
      <c r="D185" s="457" t="s">
        <v>259</v>
      </c>
      <c r="E185" s="458" t="s">
        <v>1133</v>
      </c>
      <c r="F185" s="459" t="s">
        <v>1134</v>
      </c>
      <c r="G185" s="460" t="s">
        <v>123</v>
      </c>
      <c r="H185" s="461">
        <v>215</v>
      </c>
      <c r="I185" s="330">
        <v>0</v>
      </c>
      <c r="J185" s="462">
        <f t="shared" si="10"/>
        <v>0</v>
      </c>
      <c r="K185" s="463"/>
      <c r="L185" s="464"/>
      <c r="M185" s="465" t="s">
        <v>171</v>
      </c>
      <c r="N185" s="466" t="s">
        <v>185</v>
      </c>
      <c r="O185" s="453">
        <v>0</v>
      </c>
      <c r="P185" s="453">
        <f t="shared" si="11"/>
        <v>0</v>
      </c>
      <c r="Q185" s="453">
        <v>4.8000000000000001E-2</v>
      </c>
      <c r="R185" s="453">
        <f t="shared" si="12"/>
        <v>10.32</v>
      </c>
      <c r="S185" s="453">
        <v>0</v>
      </c>
      <c r="T185" s="454">
        <f t="shared" si="13"/>
        <v>0</v>
      </c>
      <c r="AR185" s="455" t="s">
        <v>115</v>
      </c>
      <c r="AT185" s="455" t="s">
        <v>259</v>
      </c>
      <c r="AU185" s="455" t="s">
        <v>108</v>
      </c>
      <c r="AY185" s="357" t="s">
        <v>217</v>
      </c>
      <c r="BE185" s="456">
        <f t="shared" si="14"/>
        <v>0</v>
      </c>
      <c r="BF185" s="456">
        <f t="shared" si="15"/>
        <v>0</v>
      </c>
      <c r="BG185" s="456">
        <f t="shared" si="16"/>
        <v>0</v>
      </c>
      <c r="BH185" s="456">
        <f t="shared" si="17"/>
        <v>0</v>
      </c>
      <c r="BI185" s="456">
        <f t="shared" si="18"/>
        <v>0</v>
      </c>
      <c r="BJ185" s="357" t="s">
        <v>108</v>
      </c>
      <c r="BK185" s="456">
        <f t="shared" si="19"/>
        <v>0</v>
      </c>
      <c r="BL185" s="357" t="s">
        <v>110</v>
      </c>
      <c r="BM185" s="455" t="s">
        <v>1135</v>
      </c>
    </row>
    <row r="186" spans="2:65" s="365" customFormat="1" ht="24.2" customHeight="1" x14ac:dyDescent="0.25">
      <c r="B186" s="364"/>
      <c r="C186" s="457" t="s">
        <v>589</v>
      </c>
      <c r="D186" s="457" t="s">
        <v>259</v>
      </c>
      <c r="E186" s="458" t="s">
        <v>1136</v>
      </c>
      <c r="F186" s="459" t="s">
        <v>1137</v>
      </c>
      <c r="G186" s="460" t="s">
        <v>123</v>
      </c>
      <c r="H186" s="461">
        <v>12</v>
      </c>
      <c r="I186" s="330">
        <v>0</v>
      </c>
      <c r="J186" s="462">
        <f t="shared" si="10"/>
        <v>0</v>
      </c>
      <c r="K186" s="463"/>
      <c r="L186" s="464"/>
      <c r="M186" s="465" t="s">
        <v>171</v>
      </c>
      <c r="N186" s="466" t="s">
        <v>185</v>
      </c>
      <c r="O186" s="453">
        <v>0</v>
      </c>
      <c r="P186" s="453">
        <f t="shared" si="11"/>
        <v>0</v>
      </c>
      <c r="Q186" s="453">
        <v>6.5000000000000002E-2</v>
      </c>
      <c r="R186" s="453">
        <f t="shared" si="12"/>
        <v>0.78</v>
      </c>
      <c r="S186" s="453">
        <v>0</v>
      </c>
      <c r="T186" s="454">
        <f t="shared" si="13"/>
        <v>0</v>
      </c>
      <c r="AR186" s="455" t="s">
        <v>115</v>
      </c>
      <c r="AT186" s="455" t="s">
        <v>259</v>
      </c>
      <c r="AU186" s="455" t="s">
        <v>108</v>
      </c>
      <c r="AY186" s="357" t="s">
        <v>217</v>
      </c>
      <c r="BE186" s="456">
        <f t="shared" si="14"/>
        <v>0</v>
      </c>
      <c r="BF186" s="456">
        <f t="shared" si="15"/>
        <v>0</v>
      </c>
      <c r="BG186" s="456">
        <f t="shared" si="16"/>
        <v>0</v>
      </c>
      <c r="BH186" s="456">
        <f t="shared" si="17"/>
        <v>0</v>
      </c>
      <c r="BI186" s="456">
        <f t="shared" si="18"/>
        <v>0</v>
      </c>
      <c r="BJ186" s="357" t="s">
        <v>108</v>
      </c>
      <c r="BK186" s="456">
        <f t="shared" si="19"/>
        <v>0</v>
      </c>
      <c r="BL186" s="357" t="s">
        <v>110</v>
      </c>
      <c r="BM186" s="455" t="s">
        <v>1138</v>
      </c>
    </row>
    <row r="187" spans="2:65" s="365" customFormat="1" ht="24.2" customHeight="1" x14ac:dyDescent="0.25">
      <c r="B187" s="364"/>
      <c r="C187" s="445" t="s">
        <v>593</v>
      </c>
      <c r="D187" s="445" t="s">
        <v>218</v>
      </c>
      <c r="E187" s="446" t="s">
        <v>1020</v>
      </c>
      <c r="F187" s="447" t="s">
        <v>1021</v>
      </c>
      <c r="G187" s="448" t="s">
        <v>113</v>
      </c>
      <c r="H187" s="449">
        <v>500</v>
      </c>
      <c r="I187" s="329">
        <v>0</v>
      </c>
      <c r="J187" s="450">
        <f t="shared" si="10"/>
        <v>0</v>
      </c>
      <c r="K187" s="451"/>
      <c r="L187" s="364"/>
      <c r="M187" s="452" t="s">
        <v>171</v>
      </c>
      <c r="N187" s="415" t="s">
        <v>185</v>
      </c>
      <c r="O187" s="453">
        <v>0.32800000000000001</v>
      </c>
      <c r="P187" s="453">
        <f t="shared" si="11"/>
        <v>164</v>
      </c>
      <c r="Q187" s="453">
        <v>0</v>
      </c>
      <c r="R187" s="453">
        <f t="shared" si="12"/>
        <v>0</v>
      </c>
      <c r="S187" s="453">
        <v>0</v>
      </c>
      <c r="T187" s="454">
        <f t="shared" si="13"/>
        <v>0</v>
      </c>
      <c r="AR187" s="455" t="s">
        <v>110</v>
      </c>
      <c r="AT187" s="455" t="s">
        <v>218</v>
      </c>
      <c r="AU187" s="455" t="s">
        <v>108</v>
      </c>
      <c r="AY187" s="357" t="s">
        <v>217</v>
      </c>
      <c r="BE187" s="456">
        <f t="shared" si="14"/>
        <v>0</v>
      </c>
      <c r="BF187" s="456">
        <f t="shared" si="15"/>
        <v>0</v>
      </c>
      <c r="BG187" s="456">
        <f t="shared" si="16"/>
        <v>0</v>
      </c>
      <c r="BH187" s="456">
        <f t="shared" si="17"/>
        <v>0</v>
      </c>
      <c r="BI187" s="456">
        <f t="shared" si="18"/>
        <v>0</v>
      </c>
      <c r="BJ187" s="357" t="s">
        <v>108</v>
      </c>
      <c r="BK187" s="456">
        <f t="shared" si="19"/>
        <v>0</v>
      </c>
      <c r="BL187" s="357" t="s">
        <v>110</v>
      </c>
      <c r="BM187" s="455" t="s">
        <v>1022</v>
      </c>
    </row>
    <row r="188" spans="2:65" s="365" customFormat="1" ht="24.2" customHeight="1" x14ac:dyDescent="0.25">
      <c r="B188" s="364"/>
      <c r="C188" s="445" t="s">
        <v>597</v>
      </c>
      <c r="D188" s="445" t="s">
        <v>218</v>
      </c>
      <c r="E188" s="446" t="s">
        <v>812</v>
      </c>
      <c r="F188" s="447" t="s">
        <v>813</v>
      </c>
      <c r="G188" s="448" t="s">
        <v>113</v>
      </c>
      <c r="H188" s="449">
        <v>100</v>
      </c>
      <c r="I188" s="329">
        <v>0</v>
      </c>
      <c r="J188" s="450">
        <f t="shared" si="10"/>
        <v>0</v>
      </c>
      <c r="K188" s="451"/>
      <c r="L188" s="364"/>
      <c r="M188" s="452" t="s">
        <v>171</v>
      </c>
      <c r="N188" s="415" t="s">
        <v>185</v>
      </c>
      <c r="O188" s="453">
        <v>0.104</v>
      </c>
      <c r="P188" s="453">
        <f t="shared" si="11"/>
        <v>10.4</v>
      </c>
      <c r="Q188" s="453">
        <v>4.2059999999999998E-4</v>
      </c>
      <c r="R188" s="453">
        <f t="shared" si="12"/>
        <v>4.206E-2</v>
      </c>
      <c r="S188" s="453">
        <v>0</v>
      </c>
      <c r="T188" s="454">
        <f t="shared" si="13"/>
        <v>0</v>
      </c>
      <c r="AR188" s="455" t="s">
        <v>110</v>
      </c>
      <c r="AT188" s="455" t="s">
        <v>218</v>
      </c>
      <c r="AU188" s="455" t="s">
        <v>108</v>
      </c>
      <c r="AY188" s="357" t="s">
        <v>217</v>
      </c>
      <c r="BE188" s="456">
        <f t="shared" si="14"/>
        <v>0</v>
      </c>
      <c r="BF188" s="456">
        <f t="shared" si="15"/>
        <v>0</v>
      </c>
      <c r="BG188" s="456">
        <f t="shared" si="16"/>
        <v>0</v>
      </c>
      <c r="BH188" s="456">
        <f t="shared" si="17"/>
        <v>0</v>
      </c>
      <c r="BI188" s="456">
        <f t="shared" si="18"/>
        <v>0</v>
      </c>
      <c r="BJ188" s="357" t="s">
        <v>108</v>
      </c>
      <c r="BK188" s="456">
        <f t="shared" si="19"/>
        <v>0</v>
      </c>
      <c r="BL188" s="357" t="s">
        <v>110</v>
      </c>
      <c r="BM188" s="455" t="s">
        <v>814</v>
      </c>
    </row>
    <row r="189" spans="2:65" s="434" customFormat="1" ht="22.9" customHeight="1" x14ac:dyDescent="0.2">
      <c r="B189" s="433"/>
      <c r="D189" s="435" t="s">
        <v>216</v>
      </c>
      <c r="E189" s="443" t="s">
        <v>115</v>
      </c>
      <c r="F189" s="443" t="s">
        <v>1023</v>
      </c>
      <c r="I189" s="331"/>
      <c r="J189" s="444">
        <f>BK189</f>
        <v>0</v>
      </c>
      <c r="L189" s="433"/>
      <c r="M189" s="438"/>
      <c r="P189" s="439">
        <f>SUM(P190:P191)</f>
        <v>0</v>
      </c>
      <c r="R189" s="439">
        <f>SUM(R190:R191)</f>
        <v>0.13440000000000002</v>
      </c>
      <c r="T189" s="440">
        <f>SUM(T190:T191)</f>
        <v>0</v>
      </c>
      <c r="AR189" s="435" t="s">
        <v>109</v>
      </c>
      <c r="AT189" s="441" t="s">
        <v>216</v>
      </c>
      <c r="AU189" s="441" t="s">
        <v>109</v>
      </c>
      <c r="AY189" s="435" t="s">
        <v>217</v>
      </c>
      <c r="BK189" s="442">
        <f>SUM(BK190:BK191)</f>
        <v>0</v>
      </c>
    </row>
    <row r="190" spans="2:65" s="365" customFormat="1" ht="33" customHeight="1" x14ac:dyDescent="0.25">
      <c r="B190" s="364"/>
      <c r="C190" s="445" t="s">
        <v>601</v>
      </c>
      <c r="D190" s="445" t="s">
        <v>218</v>
      </c>
      <c r="E190" s="446" t="s">
        <v>1024</v>
      </c>
      <c r="F190" s="447" t="s">
        <v>1025</v>
      </c>
      <c r="G190" s="448" t="s">
        <v>113</v>
      </c>
      <c r="H190" s="449">
        <v>160</v>
      </c>
      <c r="I190" s="329">
        <v>0</v>
      </c>
      <c r="J190" s="450">
        <f>ROUND(I190*H190,2)</f>
        <v>0</v>
      </c>
      <c r="K190" s="451"/>
      <c r="L190" s="364"/>
      <c r="M190" s="452" t="s">
        <v>171</v>
      </c>
      <c r="N190" s="415" t="s">
        <v>185</v>
      </c>
      <c r="O190" s="453">
        <v>0</v>
      </c>
      <c r="P190" s="453">
        <f>O190*H190</f>
        <v>0</v>
      </c>
      <c r="Q190" s="453">
        <v>0</v>
      </c>
      <c r="R190" s="453">
        <f>Q190*H190</f>
        <v>0</v>
      </c>
      <c r="S190" s="453">
        <v>0</v>
      </c>
      <c r="T190" s="454">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1139</v>
      </c>
    </row>
    <row r="191" spans="2:65" s="365" customFormat="1" ht="24.2" customHeight="1" x14ac:dyDescent="0.25">
      <c r="B191" s="364"/>
      <c r="C191" s="457" t="s">
        <v>605</v>
      </c>
      <c r="D191" s="457" t="s">
        <v>259</v>
      </c>
      <c r="E191" s="458" t="s">
        <v>1027</v>
      </c>
      <c r="F191" s="459" t="s">
        <v>1028</v>
      </c>
      <c r="G191" s="460" t="s">
        <v>113</v>
      </c>
      <c r="H191" s="461">
        <v>160</v>
      </c>
      <c r="I191" s="330">
        <v>0</v>
      </c>
      <c r="J191" s="462">
        <f>ROUND(I191*H191,2)</f>
        <v>0</v>
      </c>
      <c r="K191" s="463"/>
      <c r="L191" s="464"/>
      <c r="M191" s="465" t="s">
        <v>171</v>
      </c>
      <c r="N191" s="466" t="s">
        <v>185</v>
      </c>
      <c r="O191" s="453">
        <v>0</v>
      </c>
      <c r="P191" s="453">
        <f>O191*H191</f>
        <v>0</v>
      </c>
      <c r="Q191" s="453">
        <v>8.4000000000000003E-4</v>
      </c>
      <c r="R191" s="453">
        <f>Q191*H191</f>
        <v>0.13440000000000002</v>
      </c>
      <c r="S191" s="453">
        <v>0</v>
      </c>
      <c r="T191" s="454">
        <f>S191*H191</f>
        <v>0</v>
      </c>
      <c r="AR191" s="455" t="s">
        <v>115</v>
      </c>
      <c r="AT191" s="455" t="s">
        <v>259</v>
      </c>
      <c r="AU191" s="455" t="s">
        <v>108</v>
      </c>
      <c r="AY191" s="357" t="s">
        <v>217</v>
      </c>
      <c r="BE191" s="456">
        <f>IF(N191="základná",J191,0)</f>
        <v>0</v>
      </c>
      <c r="BF191" s="456">
        <f>IF(N191="znížená",J191,0)</f>
        <v>0</v>
      </c>
      <c r="BG191" s="456">
        <f>IF(N191="zákl. prenesená",J191,0)</f>
        <v>0</v>
      </c>
      <c r="BH191" s="456">
        <f>IF(N191="zníž. prenesená",J191,0)</f>
        <v>0</v>
      </c>
      <c r="BI191" s="456">
        <f>IF(N191="nulová",J191,0)</f>
        <v>0</v>
      </c>
      <c r="BJ191" s="357" t="s">
        <v>108</v>
      </c>
      <c r="BK191" s="456">
        <f>ROUND(I191*H191,2)</f>
        <v>0</v>
      </c>
      <c r="BL191" s="357" t="s">
        <v>110</v>
      </c>
      <c r="BM191" s="455" t="s">
        <v>1140</v>
      </c>
    </row>
    <row r="192" spans="2:65" s="434" customFormat="1" ht="22.9" customHeight="1" x14ac:dyDescent="0.2">
      <c r="B192" s="433"/>
      <c r="D192" s="435" t="s">
        <v>216</v>
      </c>
      <c r="E192" s="443" t="s">
        <v>162</v>
      </c>
      <c r="F192" s="443" t="s">
        <v>633</v>
      </c>
      <c r="I192" s="331"/>
      <c r="J192" s="444">
        <f>BK192</f>
        <v>0</v>
      </c>
      <c r="L192" s="433"/>
      <c r="M192" s="438"/>
      <c r="P192" s="439">
        <f>SUM(P193:P235)</f>
        <v>737.01745799999992</v>
      </c>
      <c r="R192" s="439">
        <f>SUM(R193:R235)</f>
        <v>741.11765738000008</v>
      </c>
      <c r="T192" s="440">
        <f>SUM(T193:T235)</f>
        <v>0.42000000000000004</v>
      </c>
      <c r="AR192" s="435" t="s">
        <v>109</v>
      </c>
      <c r="AT192" s="441" t="s">
        <v>216</v>
      </c>
      <c r="AU192" s="441" t="s">
        <v>109</v>
      </c>
      <c r="AY192" s="435" t="s">
        <v>217</v>
      </c>
      <c r="BK192" s="442">
        <f>SUM(BK193:BK235)</f>
        <v>0</v>
      </c>
    </row>
    <row r="193" spans="2:65" s="365" customFormat="1" ht="37.9" customHeight="1" x14ac:dyDescent="0.25">
      <c r="B193" s="364"/>
      <c r="C193" s="445" t="s">
        <v>609</v>
      </c>
      <c r="D193" s="445" t="s">
        <v>218</v>
      </c>
      <c r="E193" s="446" t="s">
        <v>822</v>
      </c>
      <c r="F193" s="447" t="s">
        <v>823</v>
      </c>
      <c r="G193" s="448" t="s">
        <v>113</v>
      </c>
      <c r="H193" s="449">
        <v>23</v>
      </c>
      <c r="I193" s="329">
        <v>0</v>
      </c>
      <c r="J193" s="450">
        <f t="shared" ref="J193:J235" si="20">ROUND(I193*H193,2)</f>
        <v>0</v>
      </c>
      <c r="K193" s="451"/>
      <c r="L193" s="364"/>
      <c r="M193" s="452" t="s">
        <v>171</v>
      </c>
      <c r="N193" s="415" t="s">
        <v>185</v>
      </c>
      <c r="O193" s="453">
        <v>0.37</v>
      </c>
      <c r="P193" s="453">
        <f t="shared" ref="P193:P235" si="21">O193*H193</f>
        <v>8.51</v>
      </c>
      <c r="Q193" s="453">
        <v>0</v>
      </c>
      <c r="R193" s="453">
        <f t="shared" ref="R193:R235" si="22">Q193*H193</f>
        <v>0</v>
      </c>
      <c r="S193" s="453">
        <v>0</v>
      </c>
      <c r="T193" s="454">
        <f t="shared" ref="T193:T235" si="23">S193*H193</f>
        <v>0</v>
      </c>
      <c r="AR193" s="455" t="s">
        <v>110</v>
      </c>
      <c r="AT193" s="455" t="s">
        <v>218</v>
      </c>
      <c r="AU193" s="455" t="s">
        <v>108</v>
      </c>
      <c r="AY193" s="357" t="s">
        <v>217</v>
      </c>
      <c r="BE193" s="456">
        <f t="shared" ref="BE193:BE235" si="24">IF(N193="základná",J193,0)</f>
        <v>0</v>
      </c>
      <c r="BF193" s="456">
        <f t="shared" ref="BF193:BF235" si="25">IF(N193="znížená",J193,0)</f>
        <v>0</v>
      </c>
      <c r="BG193" s="456">
        <f t="shared" ref="BG193:BG235" si="26">IF(N193="zákl. prenesená",J193,0)</f>
        <v>0</v>
      </c>
      <c r="BH193" s="456">
        <f t="shared" ref="BH193:BH235" si="27">IF(N193="zníž. prenesená",J193,0)</f>
        <v>0</v>
      </c>
      <c r="BI193" s="456">
        <f t="shared" ref="BI193:BI235" si="28">IF(N193="nulová",J193,0)</f>
        <v>0</v>
      </c>
      <c r="BJ193" s="357" t="s">
        <v>108</v>
      </c>
      <c r="BK193" s="456">
        <f t="shared" ref="BK193:BK235" si="29">ROUND(I193*H193,2)</f>
        <v>0</v>
      </c>
      <c r="BL193" s="357" t="s">
        <v>110</v>
      </c>
      <c r="BM193" s="455" t="s">
        <v>1141</v>
      </c>
    </row>
    <row r="194" spans="2:65" s="365" customFormat="1" ht="37.9" customHeight="1" x14ac:dyDescent="0.25">
      <c r="B194" s="364"/>
      <c r="C194" s="457" t="s">
        <v>613</v>
      </c>
      <c r="D194" s="457" t="s">
        <v>259</v>
      </c>
      <c r="E194" s="458" t="s">
        <v>825</v>
      </c>
      <c r="F194" s="459" t="s">
        <v>1142</v>
      </c>
      <c r="G194" s="460" t="s">
        <v>113</v>
      </c>
      <c r="H194" s="461">
        <v>23</v>
      </c>
      <c r="I194" s="330">
        <v>0</v>
      </c>
      <c r="J194" s="462">
        <f t="shared" si="20"/>
        <v>0</v>
      </c>
      <c r="K194" s="463"/>
      <c r="L194" s="464"/>
      <c r="M194" s="465" t="s">
        <v>171</v>
      </c>
      <c r="N194" s="466" t="s">
        <v>185</v>
      </c>
      <c r="O194" s="453">
        <v>0</v>
      </c>
      <c r="P194" s="453">
        <f t="shared" si="21"/>
        <v>0</v>
      </c>
      <c r="Q194" s="453">
        <v>1.2500000000000001E-2</v>
      </c>
      <c r="R194" s="453">
        <f t="shared" si="22"/>
        <v>0.28750000000000003</v>
      </c>
      <c r="S194" s="453">
        <v>0</v>
      </c>
      <c r="T194" s="454">
        <f t="shared" si="23"/>
        <v>0</v>
      </c>
      <c r="AR194" s="455" t="s">
        <v>115</v>
      </c>
      <c r="AT194" s="455" t="s">
        <v>259</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1143</v>
      </c>
    </row>
    <row r="195" spans="2:65" s="365" customFormat="1" ht="16.5" customHeight="1" x14ac:dyDescent="0.25">
      <c r="B195" s="364"/>
      <c r="C195" s="445" t="s">
        <v>617</v>
      </c>
      <c r="D195" s="445" t="s">
        <v>218</v>
      </c>
      <c r="E195" s="446" t="s">
        <v>828</v>
      </c>
      <c r="F195" s="447" t="s">
        <v>1144</v>
      </c>
      <c r="G195" s="448" t="s">
        <v>123</v>
      </c>
      <c r="H195" s="449">
        <v>8</v>
      </c>
      <c r="I195" s="329">
        <v>0</v>
      </c>
      <c r="J195" s="450">
        <f t="shared" si="20"/>
        <v>0</v>
      </c>
      <c r="K195" s="451"/>
      <c r="L195" s="364"/>
      <c r="M195" s="452" t="s">
        <v>171</v>
      </c>
      <c r="N195" s="415" t="s">
        <v>185</v>
      </c>
      <c r="O195" s="453">
        <v>7.0000000000000007E-2</v>
      </c>
      <c r="P195" s="453">
        <f t="shared" si="21"/>
        <v>0.56000000000000005</v>
      </c>
      <c r="Q195" s="453">
        <v>1.7997999999999999E-4</v>
      </c>
      <c r="R195" s="453">
        <f t="shared" si="22"/>
        <v>1.43984E-3</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1145</v>
      </c>
    </row>
    <row r="196" spans="2:65" s="365" customFormat="1" ht="24.2" customHeight="1" x14ac:dyDescent="0.25">
      <c r="B196" s="364"/>
      <c r="C196" s="457" t="s">
        <v>621</v>
      </c>
      <c r="D196" s="457" t="s">
        <v>259</v>
      </c>
      <c r="E196" s="458" t="s">
        <v>831</v>
      </c>
      <c r="F196" s="459" t="s">
        <v>1146</v>
      </c>
      <c r="G196" s="460" t="s">
        <v>123</v>
      </c>
      <c r="H196" s="461">
        <v>8</v>
      </c>
      <c r="I196" s="330">
        <v>0</v>
      </c>
      <c r="J196" s="462">
        <f t="shared" si="20"/>
        <v>0</v>
      </c>
      <c r="K196" s="463"/>
      <c r="L196" s="464"/>
      <c r="M196" s="465" t="s">
        <v>171</v>
      </c>
      <c r="N196" s="466" t="s">
        <v>185</v>
      </c>
      <c r="O196" s="453">
        <v>0</v>
      </c>
      <c r="P196" s="453">
        <f t="shared" si="21"/>
        <v>0</v>
      </c>
      <c r="Q196" s="453">
        <v>2.9999999999999997E-4</v>
      </c>
      <c r="R196" s="453">
        <f t="shared" si="22"/>
        <v>2.3999999999999998E-3</v>
      </c>
      <c r="S196" s="453">
        <v>0</v>
      </c>
      <c r="T196" s="454">
        <f t="shared" si="23"/>
        <v>0</v>
      </c>
      <c r="AR196" s="455" t="s">
        <v>115</v>
      </c>
      <c r="AT196" s="455" t="s">
        <v>259</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1147</v>
      </c>
    </row>
    <row r="197" spans="2:65" s="365" customFormat="1" ht="37.9" customHeight="1" x14ac:dyDescent="0.25">
      <c r="B197" s="364"/>
      <c r="C197" s="445" t="s">
        <v>625</v>
      </c>
      <c r="D197" s="445" t="s">
        <v>218</v>
      </c>
      <c r="E197" s="446" t="s">
        <v>1148</v>
      </c>
      <c r="F197" s="447" t="s">
        <v>1149</v>
      </c>
      <c r="G197" s="448" t="s">
        <v>123</v>
      </c>
      <c r="H197" s="449">
        <v>1</v>
      </c>
      <c r="I197" s="329">
        <v>0</v>
      </c>
      <c r="J197" s="450">
        <f t="shared" si="20"/>
        <v>0</v>
      </c>
      <c r="K197" s="451"/>
      <c r="L197" s="364"/>
      <c r="M197" s="452" t="s">
        <v>171</v>
      </c>
      <c r="N197" s="415" t="s">
        <v>185</v>
      </c>
      <c r="O197" s="453">
        <v>3.55</v>
      </c>
      <c r="P197" s="453">
        <f t="shared" si="21"/>
        <v>3.55</v>
      </c>
      <c r="Q197" s="453">
        <v>8.9125000000000001E-4</v>
      </c>
      <c r="R197" s="453">
        <f t="shared" si="22"/>
        <v>8.9125000000000001E-4</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1150</v>
      </c>
    </row>
    <row r="198" spans="2:65" s="365" customFormat="1" ht="16.5" customHeight="1" x14ac:dyDescent="0.25">
      <c r="B198" s="364"/>
      <c r="C198" s="457" t="s">
        <v>629</v>
      </c>
      <c r="D198" s="457" t="s">
        <v>259</v>
      </c>
      <c r="E198" s="458" t="s">
        <v>1151</v>
      </c>
      <c r="F198" s="459" t="s">
        <v>1152</v>
      </c>
      <c r="G198" s="460" t="s">
        <v>123</v>
      </c>
      <c r="H198" s="461">
        <v>1</v>
      </c>
      <c r="I198" s="330">
        <v>0</v>
      </c>
      <c r="J198" s="462">
        <f t="shared" si="20"/>
        <v>0</v>
      </c>
      <c r="K198" s="463"/>
      <c r="L198" s="464"/>
      <c r="M198" s="465" t="s">
        <v>171</v>
      </c>
      <c r="N198" s="466" t="s">
        <v>185</v>
      </c>
      <c r="O198" s="453">
        <v>0</v>
      </c>
      <c r="P198" s="453">
        <f t="shared" si="21"/>
        <v>0</v>
      </c>
      <c r="Q198" s="453">
        <v>7.9000000000000001E-2</v>
      </c>
      <c r="R198" s="453">
        <f t="shared" si="22"/>
        <v>7.9000000000000001E-2</v>
      </c>
      <c r="S198" s="453">
        <v>0</v>
      </c>
      <c r="T198" s="454">
        <f t="shared" si="23"/>
        <v>0</v>
      </c>
      <c r="AR198" s="455" t="s">
        <v>115</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1153</v>
      </c>
    </row>
    <row r="199" spans="2:65" s="365" customFormat="1" ht="24.2" customHeight="1" x14ac:dyDescent="0.25">
      <c r="B199" s="364"/>
      <c r="C199" s="445" t="s">
        <v>634</v>
      </c>
      <c r="D199" s="445" t="s">
        <v>218</v>
      </c>
      <c r="E199" s="446" t="s">
        <v>1154</v>
      </c>
      <c r="F199" s="447" t="s">
        <v>1155</v>
      </c>
      <c r="G199" s="448" t="s">
        <v>123</v>
      </c>
      <c r="H199" s="449">
        <v>1</v>
      </c>
      <c r="I199" s="329">
        <v>0</v>
      </c>
      <c r="J199" s="450">
        <f t="shared" si="20"/>
        <v>0</v>
      </c>
      <c r="K199" s="451"/>
      <c r="L199" s="364"/>
      <c r="M199" s="452" t="s">
        <v>171</v>
      </c>
      <c r="N199" s="415" t="s">
        <v>185</v>
      </c>
      <c r="O199" s="453">
        <v>1.05</v>
      </c>
      <c r="P199" s="453">
        <f t="shared" si="21"/>
        <v>1.05</v>
      </c>
      <c r="Q199" s="453">
        <v>0.46371184999999998</v>
      </c>
      <c r="R199" s="453">
        <f t="shared" si="22"/>
        <v>0.46371184999999998</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1156</v>
      </c>
    </row>
    <row r="200" spans="2:65" s="365" customFormat="1" ht="16.5" customHeight="1" x14ac:dyDescent="0.25">
      <c r="B200" s="364"/>
      <c r="C200" s="457" t="s">
        <v>637</v>
      </c>
      <c r="D200" s="457" t="s">
        <v>259</v>
      </c>
      <c r="E200" s="458" t="s">
        <v>1157</v>
      </c>
      <c r="F200" s="459" t="s">
        <v>1158</v>
      </c>
      <c r="G200" s="460" t="s">
        <v>123</v>
      </c>
      <c r="H200" s="461">
        <v>1</v>
      </c>
      <c r="I200" s="330">
        <v>0</v>
      </c>
      <c r="J200" s="462">
        <f t="shared" si="20"/>
        <v>0</v>
      </c>
      <c r="K200" s="463"/>
      <c r="L200" s="464"/>
      <c r="M200" s="465" t="s">
        <v>171</v>
      </c>
      <c r="N200" s="466" t="s">
        <v>185</v>
      </c>
      <c r="O200" s="453">
        <v>0</v>
      </c>
      <c r="P200" s="453">
        <f t="shared" si="21"/>
        <v>0</v>
      </c>
      <c r="Q200" s="453">
        <v>2.93E-2</v>
      </c>
      <c r="R200" s="453">
        <f t="shared" si="22"/>
        <v>2.93E-2</v>
      </c>
      <c r="S200" s="453">
        <v>0</v>
      </c>
      <c r="T200" s="454">
        <f t="shared" si="23"/>
        <v>0</v>
      </c>
      <c r="AR200" s="455" t="s">
        <v>115</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1159</v>
      </c>
    </row>
    <row r="201" spans="2:65" s="365" customFormat="1" ht="24.2" customHeight="1" x14ac:dyDescent="0.25">
      <c r="B201" s="364"/>
      <c r="C201" s="445" t="s">
        <v>640</v>
      </c>
      <c r="D201" s="445" t="s">
        <v>218</v>
      </c>
      <c r="E201" s="446" t="s">
        <v>834</v>
      </c>
      <c r="F201" s="447" t="s">
        <v>1160</v>
      </c>
      <c r="G201" s="448" t="s">
        <v>123</v>
      </c>
      <c r="H201" s="449">
        <v>10</v>
      </c>
      <c r="I201" s="329">
        <v>0</v>
      </c>
      <c r="J201" s="450">
        <f t="shared" si="20"/>
        <v>0</v>
      </c>
      <c r="K201" s="451"/>
      <c r="L201" s="364"/>
      <c r="M201" s="452" t="s">
        <v>171</v>
      </c>
      <c r="N201" s="415" t="s">
        <v>185</v>
      </c>
      <c r="O201" s="453">
        <v>0.42</v>
      </c>
      <c r="P201" s="453">
        <f t="shared" si="21"/>
        <v>4.2</v>
      </c>
      <c r="Q201" s="453">
        <v>0.119575</v>
      </c>
      <c r="R201" s="453">
        <f t="shared" si="22"/>
        <v>1.1957500000000001</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836</v>
      </c>
    </row>
    <row r="202" spans="2:65" s="365" customFormat="1" ht="16.5" customHeight="1" x14ac:dyDescent="0.25">
      <c r="B202" s="364"/>
      <c r="C202" s="457" t="s">
        <v>644</v>
      </c>
      <c r="D202" s="457" t="s">
        <v>259</v>
      </c>
      <c r="E202" s="458" t="s">
        <v>268</v>
      </c>
      <c r="F202" s="459" t="s">
        <v>840</v>
      </c>
      <c r="G202" s="460" t="s">
        <v>123</v>
      </c>
      <c r="H202" s="461">
        <v>10</v>
      </c>
      <c r="I202" s="330">
        <v>0</v>
      </c>
      <c r="J202" s="462">
        <f t="shared" si="20"/>
        <v>0</v>
      </c>
      <c r="K202" s="463"/>
      <c r="L202" s="464"/>
      <c r="M202" s="465" t="s">
        <v>171</v>
      </c>
      <c r="N202" s="466" t="s">
        <v>185</v>
      </c>
      <c r="O202" s="453">
        <v>0</v>
      </c>
      <c r="P202" s="453">
        <f t="shared" si="21"/>
        <v>0</v>
      </c>
      <c r="Q202" s="453">
        <v>1.4E-3</v>
      </c>
      <c r="R202" s="453">
        <f t="shared" si="22"/>
        <v>1.4E-2</v>
      </c>
      <c r="S202" s="453">
        <v>0</v>
      </c>
      <c r="T202" s="454">
        <f t="shared" si="23"/>
        <v>0</v>
      </c>
      <c r="AR202" s="455" t="s">
        <v>115</v>
      </c>
      <c r="AT202" s="455" t="s">
        <v>259</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841</v>
      </c>
    </row>
    <row r="203" spans="2:65" s="365" customFormat="1" ht="24.2" customHeight="1" x14ac:dyDescent="0.25">
      <c r="B203" s="364"/>
      <c r="C203" s="457" t="s">
        <v>645</v>
      </c>
      <c r="D203" s="457" t="s">
        <v>259</v>
      </c>
      <c r="E203" s="458" t="s">
        <v>842</v>
      </c>
      <c r="F203" s="459" t="s">
        <v>843</v>
      </c>
      <c r="G203" s="460" t="s">
        <v>123</v>
      </c>
      <c r="H203" s="461">
        <v>10</v>
      </c>
      <c r="I203" s="330">
        <v>0</v>
      </c>
      <c r="J203" s="462">
        <f t="shared" si="20"/>
        <v>0</v>
      </c>
      <c r="K203" s="463"/>
      <c r="L203" s="464"/>
      <c r="M203" s="465" t="s">
        <v>171</v>
      </c>
      <c r="N203" s="466" t="s">
        <v>185</v>
      </c>
      <c r="O203" s="453">
        <v>0</v>
      </c>
      <c r="P203" s="453">
        <f t="shared" si="21"/>
        <v>0</v>
      </c>
      <c r="Q203" s="453">
        <v>9.3000000000000005E-4</v>
      </c>
      <c r="R203" s="453">
        <f t="shared" si="22"/>
        <v>9.300000000000001E-3</v>
      </c>
      <c r="S203" s="453">
        <v>0</v>
      </c>
      <c r="T203" s="454">
        <f t="shared" si="23"/>
        <v>0</v>
      </c>
      <c r="AR203" s="455" t="s">
        <v>115</v>
      </c>
      <c r="AT203" s="455" t="s">
        <v>259</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844</v>
      </c>
    </row>
    <row r="204" spans="2:65" s="365" customFormat="1" ht="16.5" customHeight="1" x14ac:dyDescent="0.25">
      <c r="B204" s="364"/>
      <c r="C204" s="445" t="s">
        <v>651</v>
      </c>
      <c r="D204" s="445" t="s">
        <v>218</v>
      </c>
      <c r="E204" s="446" t="s">
        <v>845</v>
      </c>
      <c r="F204" s="447" t="s">
        <v>846</v>
      </c>
      <c r="G204" s="448" t="s">
        <v>123</v>
      </c>
      <c r="H204" s="449">
        <v>2</v>
      </c>
      <c r="I204" s="329">
        <v>0</v>
      </c>
      <c r="J204" s="450">
        <f t="shared" si="20"/>
        <v>0</v>
      </c>
      <c r="K204" s="451"/>
      <c r="L204" s="364"/>
      <c r="M204" s="452" t="s">
        <v>171</v>
      </c>
      <c r="N204" s="415" t="s">
        <v>185</v>
      </c>
      <c r="O204" s="453">
        <v>1.1759999999999999</v>
      </c>
      <c r="P204" s="453">
        <f t="shared" si="21"/>
        <v>2.3519999999999999</v>
      </c>
      <c r="Q204" s="453">
        <v>0</v>
      </c>
      <c r="R204" s="453">
        <f t="shared" si="22"/>
        <v>0</v>
      </c>
      <c r="S204" s="453">
        <v>0</v>
      </c>
      <c r="T204" s="454">
        <f t="shared" si="23"/>
        <v>0</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1161</v>
      </c>
    </row>
    <row r="205" spans="2:65" s="365" customFormat="1" ht="24.2" customHeight="1" x14ac:dyDescent="0.25">
      <c r="B205" s="364"/>
      <c r="C205" s="445" t="s">
        <v>655</v>
      </c>
      <c r="D205" s="445" t="s">
        <v>218</v>
      </c>
      <c r="E205" s="446" t="s">
        <v>848</v>
      </c>
      <c r="F205" s="447" t="s">
        <v>849</v>
      </c>
      <c r="G205" s="448" t="s">
        <v>123</v>
      </c>
      <c r="H205" s="449">
        <v>125</v>
      </c>
      <c r="I205" s="329">
        <v>0</v>
      </c>
      <c r="J205" s="450">
        <f t="shared" si="20"/>
        <v>0</v>
      </c>
      <c r="K205" s="451"/>
      <c r="L205" s="364"/>
      <c r="M205" s="452" t="s">
        <v>171</v>
      </c>
      <c r="N205" s="415" t="s">
        <v>185</v>
      </c>
      <c r="O205" s="453">
        <v>0.06</v>
      </c>
      <c r="P205" s="453">
        <f t="shared" si="21"/>
        <v>7.5</v>
      </c>
      <c r="Q205" s="453">
        <v>0</v>
      </c>
      <c r="R205" s="453">
        <f t="shared" si="22"/>
        <v>0</v>
      </c>
      <c r="S205" s="453">
        <v>0</v>
      </c>
      <c r="T205" s="454">
        <f t="shared" si="23"/>
        <v>0</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1162</v>
      </c>
    </row>
    <row r="206" spans="2:65" s="365" customFormat="1" ht="33" customHeight="1" x14ac:dyDescent="0.25">
      <c r="B206" s="364"/>
      <c r="C206" s="457" t="s">
        <v>659</v>
      </c>
      <c r="D206" s="457" t="s">
        <v>259</v>
      </c>
      <c r="E206" s="458" t="s">
        <v>851</v>
      </c>
      <c r="F206" s="459" t="s">
        <v>1163</v>
      </c>
      <c r="G206" s="460" t="s">
        <v>123</v>
      </c>
      <c r="H206" s="461">
        <v>7500</v>
      </c>
      <c r="I206" s="330">
        <v>0</v>
      </c>
      <c r="J206" s="462">
        <f t="shared" si="20"/>
        <v>0</v>
      </c>
      <c r="K206" s="463"/>
      <c r="L206" s="464"/>
      <c r="M206" s="465" t="s">
        <v>171</v>
      </c>
      <c r="N206" s="466" t="s">
        <v>185</v>
      </c>
      <c r="O206" s="453">
        <v>0</v>
      </c>
      <c r="P206" s="453">
        <f t="shared" si="21"/>
        <v>0</v>
      </c>
      <c r="Q206" s="453">
        <v>1.14E-2</v>
      </c>
      <c r="R206" s="453">
        <f t="shared" si="22"/>
        <v>85.5</v>
      </c>
      <c r="S206" s="453">
        <v>0</v>
      </c>
      <c r="T206" s="454">
        <f t="shared" si="23"/>
        <v>0</v>
      </c>
      <c r="AR206" s="455" t="s">
        <v>115</v>
      </c>
      <c r="AT206" s="455" t="s">
        <v>259</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1164</v>
      </c>
    </row>
    <row r="207" spans="2:65" s="365" customFormat="1" ht="37.9" customHeight="1" x14ac:dyDescent="0.25">
      <c r="B207" s="364"/>
      <c r="C207" s="445" t="s">
        <v>664</v>
      </c>
      <c r="D207" s="445" t="s">
        <v>218</v>
      </c>
      <c r="E207" s="446" t="s">
        <v>1165</v>
      </c>
      <c r="F207" s="447" t="s">
        <v>1166</v>
      </c>
      <c r="G207" s="448" t="s">
        <v>113</v>
      </c>
      <c r="H207" s="449">
        <v>410</v>
      </c>
      <c r="I207" s="329">
        <v>0</v>
      </c>
      <c r="J207" s="450">
        <f t="shared" si="20"/>
        <v>0</v>
      </c>
      <c r="K207" s="451"/>
      <c r="L207" s="364"/>
      <c r="M207" s="452" t="s">
        <v>171</v>
      </c>
      <c r="N207" s="415" t="s">
        <v>185</v>
      </c>
      <c r="O207" s="453">
        <v>2.1999999999999999E-2</v>
      </c>
      <c r="P207" s="453">
        <f t="shared" si="21"/>
        <v>9.02</v>
      </c>
      <c r="Q207" s="453">
        <v>3.0299999999999999E-4</v>
      </c>
      <c r="R207" s="453">
        <f t="shared" si="22"/>
        <v>0.12422999999999999</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1167</v>
      </c>
    </row>
    <row r="208" spans="2:65" s="365" customFormat="1" ht="37.9" customHeight="1" x14ac:dyDescent="0.25">
      <c r="B208" s="364"/>
      <c r="C208" s="445" t="s">
        <v>670</v>
      </c>
      <c r="D208" s="445" t="s">
        <v>218</v>
      </c>
      <c r="E208" s="446" t="s">
        <v>1045</v>
      </c>
      <c r="F208" s="447" t="s">
        <v>1046</v>
      </c>
      <c r="G208" s="448" t="s">
        <v>113</v>
      </c>
      <c r="H208" s="449">
        <v>32</v>
      </c>
      <c r="I208" s="329">
        <v>0</v>
      </c>
      <c r="J208" s="450">
        <f t="shared" si="20"/>
        <v>0</v>
      </c>
      <c r="K208" s="451"/>
      <c r="L208" s="364"/>
      <c r="M208" s="452" t="s">
        <v>171</v>
      </c>
      <c r="N208" s="415" t="s">
        <v>185</v>
      </c>
      <c r="O208" s="453">
        <v>3.7999999999999999E-2</v>
      </c>
      <c r="P208" s="453">
        <f t="shared" si="21"/>
        <v>1.216</v>
      </c>
      <c r="Q208" s="453">
        <v>7.3125000000000002E-4</v>
      </c>
      <c r="R208" s="453">
        <f t="shared" si="22"/>
        <v>2.3400000000000001E-2</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1168</v>
      </c>
    </row>
    <row r="209" spans="2:65" s="365" customFormat="1" ht="44.25" customHeight="1" x14ac:dyDescent="0.25">
      <c r="B209" s="364"/>
      <c r="C209" s="445" t="s">
        <v>674</v>
      </c>
      <c r="D209" s="445" t="s">
        <v>218</v>
      </c>
      <c r="E209" s="446" t="s">
        <v>854</v>
      </c>
      <c r="F209" s="447" t="s">
        <v>1169</v>
      </c>
      <c r="G209" s="448" t="s">
        <v>113</v>
      </c>
      <c r="H209" s="449">
        <v>1153</v>
      </c>
      <c r="I209" s="329">
        <v>0</v>
      </c>
      <c r="J209" s="450">
        <f t="shared" si="20"/>
        <v>0</v>
      </c>
      <c r="K209" s="451"/>
      <c r="L209" s="364"/>
      <c r="M209" s="452" t="s">
        <v>171</v>
      </c>
      <c r="N209" s="415" t="s">
        <v>185</v>
      </c>
      <c r="O209" s="453">
        <v>2.1999999999999999E-2</v>
      </c>
      <c r="P209" s="453">
        <f t="shared" si="21"/>
        <v>25.366</v>
      </c>
      <c r="Q209" s="453">
        <v>1.0119999999999999E-4</v>
      </c>
      <c r="R209" s="453">
        <f t="shared" si="22"/>
        <v>0.1166836</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1170</v>
      </c>
    </row>
    <row r="210" spans="2:65" s="365" customFormat="1" ht="37.9" customHeight="1" x14ac:dyDescent="0.25">
      <c r="B210" s="364"/>
      <c r="C210" s="445" t="s">
        <v>678</v>
      </c>
      <c r="D210" s="445" t="s">
        <v>218</v>
      </c>
      <c r="E210" s="446" t="s">
        <v>863</v>
      </c>
      <c r="F210" s="447" t="s">
        <v>1171</v>
      </c>
      <c r="G210" s="448" t="s">
        <v>113</v>
      </c>
      <c r="H210" s="449">
        <v>128</v>
      </c>
      <c r="I210" s="329">
        <v>0</v>
      </c>
      <c r="J210" s="450">
        <f t="shared" si="20"/>
        <v>0</v>
      </c>
      <c r="K210" s="451"/>
      <c r="L210" s="364"/>
      <c r="M210" s="452" t="s">
        <v>171</v>
      </c>
      <c r="N210" s="415" t="s">
        <v>185</v>
      </c>
      <c r="O210" s="453">
        <v>2.8000000000000001E-2</v>
      </c>
      <c r="P210" s="453">
        <f t="shared" si="21"/>
        <v>3.5840000000000001</v>
      </c>
      <c r="Q210" s="453">
        <v>2.4509E-4</v>
      </c>
      <c r="R210" s="453">
        <f t="shared" si="22"/>
        <v>3.137152E-2</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1172</v>
      </c>
    </row>
    <row r="211" spans="2:65" s="365" customFormat="1" ht="37.9" customHeight="1" x14ac:dyDescent="0.25">
      <c r="B211" s="364"/>
      <c r="C211" s="445" t="s">
        <v>903</v>
      </c>
      <c r="D211" s="445" t="s">
        <v>218</v>
      </c>
      <c r="E211" s="446" t="s">
        <v>1173</v>
      </c>
      <c r="F211" s="447" t="s">
        <v>1174</v>
      </c>
      <c r="G211" s="448" t="s">
        <v>111</v>
      </c>
      <c r="H211" s="449">
        <v>65</v>
      </c>
      <c r="I211" s="329">
        <v>0</v>
      </c>
      <c r="J211" s="450">
        <f t="shared" si="20"/>
        <v>0</v>
      </c>
      <c r="K211" s="451"/>
      <c r="L211" s="364"/>
      <c r="M211" s="452" t="s">
        <v>171</v>
      </c>
      <c r="N211" s="415" t="s">
        <v>185</v>
      </c>
      <c r="O211" s="453">
        <v>0.43</v>
      </c>
      <c r="P211" s="453">
        <f t="shared" si="21"/>
        <v>27.95</v>
      </c>
      <c r="Q211" s="453">
        <v>2.5249999999999999E-3</v>
      </c>
      <c r="R211" s="453">
        <f t="shared" si="22"/>
        <v>0.16412499999999999</v>
      </c>
      <c r="S211" s="453">
        <v>0</v>
      </c>
      <c r="T211" s="454">
        <f t="shared" si="23"/>
        <v>0</v>
      </c>
      <c r="AR211" s="455" t="s">
        <v>110</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110</v>
      </c>
      <c r="BM211" s="455" t="s">
        <v>1175</v>
      </c>
    </row>
    <row r="212" spans="2:65" s="365" customFormat="1" ht="37.9" customHeight="1" x14ac:dyDescent="0.25">
      <c r="B212" s="364"/>
      <c r="C212" s="445" t="s">
        <v>907</v>
      </c>
      <c r="D212" s="445" t="s">
        <v>218</v>
      </c>
      <c r="E212" s="446" t="s">
        <v>869</v>
      </c>
      <c r="F212" s="447" t="s">
        <v>1176</v>
      </c>
      <c r="G212" s="448" t="s">
        <v>113</v>
      </c>
      <c r="H212" s="449">
        <v>1723</v>
      </c>
      <c r="I212" s="329">
        <v>0</v>
      </c>
      <c r="J212" s="450">
        <f t="shared" si="20"/>
        <v>0</v>
      </c>
      <c r="K212" s="451"/>
      <c r="L212" s="364"/>
      <c r="M212" s="452" t="s">
        <v>171</v>
      </c>
      <c r="N212" s="415" t="s">
        <v>185</v>
      </c>
      <c r="O212" s="453">
        <v>1.4999999999999999E-2</v>
      </c>
      <c r="P212" s="453">
        <f t="shared" si="21"/>
        <v>25.844999999999999</v>
      </c>
      <c r="Q212" s="453">
        <v>3.7500000000000001E-6</v>
      </c>
      <c r="R212" s="453">
        <f t="shared" si="22"/>
        <v>6.46125E-3</v>
      </c>
      <c r="S212" s="453">
        <v>0</v>
      </c>
      <c r="T212" s="454">
        <f t="shared" si="23"/>
        <v>0</v>
      </c>
      <c r="AR212" s="455" t="s">
        <v>110</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110</v>
      </c>
      <c r="BM212" s="455" t="s">
        <v>1177</v>
      </c>
    </row>
    <row r="213" spans="2:65" s="365" customFormat="1" ht="24.2" customHeight="1" x14ac:dyDescent="0.25">
      <c r="B213" s="364"/>
      <c r="C213" s="445" t="s">
        <v>911</v>
      </c>
      <c r="D213" s="445" t="s">
        <v>218</v>
      </c>
      <c r="E213" s="446" t="s">
        <v>871</v>
      </c>
      <c r="F213" s="447" t="s">
        <v>872</v>
      </c>
      <c r="G213" s="448" t="s">
        <v>111</v>
      </c>
      <c r="H213" s="449">
        <v>65</v>
      </c>
      <c r="I213" s="329">
        <v>0</v>
      </c>
      <c r="J213" s="450">
        <f t="shared" si="20"/>
        <v>0</v>
      </c>
      <c r="K213" s="451"/>
      <c r="L213" s="364"/>
      <c r="M213" s="452" t="s">
        <v>171</v>
      </c>
      <c r="N213" s="415" t="s">
        <v>185</v>
      </c>
      <c r="O213" s="453">
        <v>0.11899999999999999</v>
      </c>
      <c r="P213" s="453">
        <f t="shared" si="21"/>
        <v>7.7349999999999994</v>
      </c>
      <c r="Q213" s="453">
        <v>9.3999999999999998E-6</v>
      </c>
      <c r="R213" s="453">
        <f t="shared" si="22"/>
        <v>6.11E-4</v>
      </c>
      <c r="S213" s="453">
        <v>0</v>
      </c>
      <c r="T213" s="454">
        <f t="shared" si="23"/>
        <v>0</v>
      </c>
      <c r="AR213" s="455" t="s">
        <v>110</v>
      </c>
      <c r="AT213" s="455" t="s">
        <v>218</v>
      </c>
      <c r="AU213" s="455" t="s">
        <v>108</v>
      </c>
      <c r="AY213" s="357" t="s">
        <v>217</v>
      </c>
      <c r="BE213" s="456">
        <f t="shared" si="24"/>
        <v>0</v>
      </c>
      <c r="BF213" s="456">
        <f t="shared" si="25"/>
        <v>0</v>
      </c>
      <c r="BG213" s="456">
        <f t="shared" si="26"/>
        <v>0</v>
      </c>
      <c r="BH213" s="456">
        <f t="shared" si="27"/>
        <v>0</v>
      </c>
      <c r="BI213" s="456">
        <f t="shared" si="28"/>
        <v>0</v>
      </c>
      <c r="BJ213" s="357" t="s">
        <v>108</v>
      </c>
      <c r="BK213" s="456">
        <f t="shared" si="29"/>
        <v>0</v>
      </c>
      <c r="BL213" s="357" t="s">
        <v>110</v>
      </c>
      <c r="BM213" s="455" t="s">
        <v>1178</v>
      </c>
    </row>
    <row r="214" spans="2:65" s="365" customFormat="1" ht="16.5" customHeight="1" x14ac:dyDescent="0.25">
      <c r="B214" s="364"/>
      <c r="C214" s="445" t="s">
        <v>915</v>
      </c>
      <c r="D214" s="445" t="s">
        <v>218</v>
      </c>
      <c r="E214" s="446" t="s">
        <v>1058</v>
      </c>
      <c r="F214" s="447" t="s">
        <v>1059</v>
      </c>
      <c r="G214" s="448" t="s">
        <v>123</v>
      </c>
      <c r="H214" s="449">
        <v>9</v>
      </c>
      <c r="I214" s="329">
        <v>0</v>
      </c>
      <c r="J214" s="450">
        <f t="shared" si="20"/>
        <v>0</v>
      </c>
      <c r="K214" s="451"/>
      <c r="L214" s="364"/>
      <c r="M214" s="452" t="s">
        <v>171</v>
      </c>
      <c r="N214" s="415" t="s">
        <v>185</v>
      </c>
      <c r="O214" s="453">
        <v>0.23</v>
      </c>
      <c r="P214" s="453">
        <f t="shared" si="21"/>
        <v>2.0700000000000003</v>
      </c>
      <c r="Q214" s="453">
        <v>5.2960000000000001E-5</v>
      </c>
      <c r="R214" s="453">
        <f t="shared" si="22"/>
        <v>4.7664000000000002E-4</v>
      </c>
      <c r="S214" s="453">
        <v>0</v>
      </c>
      <c r="T214" s="454">
        <f t="shared" si="23"/>
        <v>0</v>
      </c>
      <c r="AR214" s="455" t="s">
        <v>110</v>
      </c>
      <c r="AT214" s="455" t="s">
        <v>218</v>
      </c>
      <c r="AU214" s="455" t="s">
        <v>108</v>
      </c>
      <c r="AY214" s="357" t="s">
        <v>217</v>
      </c>
      <c r="BE214" s="456">
        <f t="shared" si="24"/>
        <v>0</v>
      </c>
      <c r="BF214" s="456">
        <f t="shared" si="25"/>
        <v>0</v>
      </c>
      <c r="BG214" s="456">
        <f t="shared" si="26"/>
        <v>0</v>
      </c>
      <c r="BH214" s="456">
        <f t="shared" si="27"/>
        <v>0</v>
      </c>
      <c r="BI214" s="456">
        <f t="shared" si="28"/>
        <v>0</v>
      </c>
      <c r="BJ214" s="357" t="s">
        <v>108</v>
      </c>
      <c r="BK214" s="456">
        <f t="shared" si="29"/>
        <v>0</v>
      </c>
      <c r="BL214" s="357" t="s">
        <v>110</v>
      </c>
      <c r="BM214" s="455" t="s">
        <v>1179</v>
      </c>
    </row>
    <row r="215" spans="2:65" s="365" customFormat="1" ht="21.75" customHeight="1" x14ac:dyDescent="0.25">
      <c r="B215" s="364"/>
      <c r="C215" s="457" t="s">
        <v>919</v>
      </c>
      <c r="D215" s="457" t="s">
        <v>259</v>
      </c>
      <c r="E215" s="458" t="s">
        <v>1061</v>
      </c>
      <c r="F215" s="459" t="s">
        <v>1062</v>
      </c>
      <c r="G215" s="460" t="s">
        <v>123</v>
      </c>
      <c r="H215" s="461">
        <v>9</v>
      </c>
      <c r="I215" s="330">
        <v>0</v>
      </c>
      <c r="J215" s="462">
        <f t="shared" si="20"/>
        <v>0</v>
      </c>
      <c r="K215" s="463"/>
      <c r="L215" s="464"/>
      <c r="M215" s="465" t="s">
        <v>171</v>
      </c>
      <c r="N215" s="466" t="s">
        <v>185</v>
      </c>
      <c r="O215" s="453">
        <v>0</v>
      </c>
      <c r="P215" s="453">
        <f t="shared" si="21"/>
        <v>0</v>
      </c>
      <c r="Q215" s="453">
        <v>6.0000000000000001E-3</v>
      </c>
      <c r="R215" s="453">
        <f t="shared" si="22"/>
        <v>5.3999999999999999E-2</v>
      </c>
      <c r="S215" s="453">
        <v>0</v>
      </c>
      <c r="T215" s="454">
        <f t="shared" si="23"/>
        <v>0</v>
      </c>
      <c r="AR215" s="455" t="s">
        <v>115</v>
      </c>
      <c r="AT215" s="455" t="s">
        <v>259</v>
      </c>
      <c r="AU215" s="455" t="s">
        <v>108</v>
      </c>
      <c r="AY215" s="357" t="s">
        <v>217</v>
      </c>
      <c r="BE215" s="456">
        <f t="shared" si="24"/>
        <v>0</v>
      </c>
      <c r="BF215" s="456">
        <f t="shared" si="25"/>
        <v>0</v>
      </c>
      <c r="BG215" s="456">
        <f t="shared" si="26"/>
        <v>0</v>
      </c>
      <c r="BH215" s="456">
        <f t="shared" si="27"/>
        <v>0</v>
      </c>
      <c r="BI215" s="456">
        <f t="shared" si="28"/>
        <v>0</v>
      </c>
      <c r="BJ215" s="357" t="s">
        <v>108</v>
      </c>
      <c r="BK215" s="456">
        <f t="shared" si="29"/>
        <v>0</v>
      </c>
      <c r="BL215" s="357" t="s">
        <v>110</v>
      </c>
      <c r="BM215" s="455" t="s">
        <v>1180</v>
      </c>
    </row>
    <row r="216" spans="2:65" s="365" customFormat="1" ht="37.9" customHeight="1" x14ac:dyDescent="0.25">
      <c r="B216" s="364"/>
      <c r="C216" s="445" t="s">
        <v>923</v>
      </c>
      <c r="D216" s="445" t="s">
        <v>218</v>
      </c>
      <c r="E216" s="446" t="s">
        <v>1181</v>
      </c>
      <c r="F216" s="447" t="s">
        <v>1182</v>
      </c>
      <c r="G216" s="448" t="s">
        <v>113</v>
      </c>
      <c r="H216" s="449">
        <v>517</v>
      </c>
      <c r="I216" s="329">
        <v>0</v>
      </c>
      <c r="J216" s="450">
        <f t="shared" si="20"/>
        <v>0</v>
      </c>
      <c r="K216" s="451"/>
      <c r="L216" s="364"/>
      <c r="M216" s="452" t="s">
        <v>171</v>
      </c>
      <c r="N216" s="415" t="s">
        <v>185</v>
      </c>
      <c r="O216" s="453">
        <v>0.35</v>
      </c>
      <c r="P216" s="453">
        <f t="shared" si="21"/>
        <v>180.95</v>
      </c>
      <c r="Q216" s="453">
        <v>0.15113035</v>
      </c>
      <c r="R216" s="453">
        <f t="shared" si="22"/>
        <v>78.134390949999997</v>
      </c>
      <c r="S216" s="453">
        <v>0</v>
      </c>
      <c r="T216" s="454">
        <f t="shared" si="23"/>
        <v>0</v>
      </c>
      <c r="AR216" s="455" t="s">
        <v>110</v>
      </c>
      <c r="AT216" s="455" t="s">
        <v>218</v>
      </c>
      <c r="AU216" s="455" t="s">
        <v>108</v>
      </c>
      <c r="AY216" s="357" t="s">
        <v>217</v>
      </c>
      <c r="BE216" s="456">
        <f t="shared" si="24"/>
        <v>0</v>
      </c>
      <c r="BF216" s="456">
        <f t="shared" si="25"/>
        <v>0</v>
      </c>
      <c r="BG216" s="456">
        <f t="shared" si="26"/>
        <v>0</v>
      </c>
      <c r="BH216" s="456">
        <f t="shared" si="27"/>
        <v>0</v>
      </c>
      <c r="BI216" s="456">
        <f t="shared" si="28"/>
        <v>0</v>
      </c>
      <c r="BJ216" s="357" t="s">
        <v>108</v>
      </c>
      <c r="BK216" s="456">
        <f t="shared" si="29"/>
        <v>0</v>
      </c>
      <c r="BL216" s="357" t="s">
        <v>110</v>
      </c>
      <c r="BM216" s="455" t="s">
        <v>1183</v>
      </c>
    </row>
    <row r="217" spans="2:65" s="365" customFormat="1" ht="33" customHeight="1" x14ac:dyDescent="0.25">
      <c r="B217" s="364"/>
      <c r="C217" s="445" t="s">
        <v>925</v>
      </c>
      <c r="D217" s="445" t="s">
        <v>218</v>
      </c>
      <c r="E217" s="446" t="s">
        <v>877</v>
      </c>
      <c r="F217" s="447" t="s">
        <v>878</v>
      </c>
      <c r="G217" s="448" t="s">
        <v>113</v>
      </c>
      <c r="H217" s="449">
        <v>38</v>
      </c>
      <c r="I217" s="329">
        <v>0</v>
      </c>
      <c r="J217" s="450">
        <f t="shared" si="20"/>
        <v>0</v>
      </c>
      <c r="K217" s="451"/>
      <c r="L217" s="364"/>
      <c r="M217" s="452" t="s">
        <v>171</v>
      </c>
      <c r="N217" s="415" t="s">
        <v>185</v>
      </c>
      <c r="O217" s="453">
        <v>0.35</v>
      </c>
      <c r="P217" s="453">
        <f t="shared" si="21"/>
        <v>13.299999999999999</v>
      </c>
      <c r="Q217" s="453">
        <v>0.15112999999999999</v>
      </c>
      <c r="R217" s="453">
        <f t="shared" si="22"/>
        <v>5.742939999999999</v>
      </c>
      <c r="S217" s="453">
        <v>0</v>
      </c>
      <c r="T217" s="454">
        <f t="shared" si="23"/>
        <v>0</v>
      </c>
      <c r="AR217" s="455" t="s">
        <v>110</v>
      </c>
      <c r="AT217" s="455" t="s">
        <v>218</v>
      </c>
      <c r="AU217" s="455" t="s">
        <v>108</v>
      </c>
      <c r="AY217" s="357" t="s">
        <v>217</v>
      </c>
      <c r="BE217" s="456">
        <f t="shared" si="24"/>
        <v>0</v>
      </c>
      <c r="BF217" s="456">
        <f t="shared" si="25"/>
        <v>0</v>
      </c>
      <c r="BG217" s="456">
        <f t="shared" si="26"/>
        <v>0</v>
      </c>
      <c r="BH217" s="456">
        <f t="shared" si="27"/>
        <v>0</v>
      </c>
      <c r="BI217" s="456">
        <f t="shared" si="28"/>
        <v>0</v>
      </c>
      <c r="BJ217" s="357" t="s">
        <v>108</v>
      </c>
      <c r="BK217" s="456">
        <f t="shared" si="29"/>
        <v>0</v>
      </c>
      <c r="BL217" s="357" t="s">
        <v>110</v>
      </c>
      <c r="BM217" s="455" t="s">
        <v>1184</v>
      </c>
    </row>
    <row r="218" spans="2:65" s="365" customFormat="1" ht="16.5" customHeight="1" x14ac:dyDescent="0.25">
      <c r="B218" s="364"/>
      <c r="C218" s="457" t="s">
        <v>928</v>
      </c>
      <c r="D218" s="457" t="s">
        <v>259</v>
      </c>
      <c r="E218" s="458" t="s">
        <v>880</v>
      </c>
      <c r="F218" s="459" t="s">
        <v>881</v>
      </c>
      <c r="G218" s="460" t="s">
        <v>123</v>
      </c>
      <c r="H218" s="461">
        <v>38.380000000000003</v>
      </c>
      <c r="I218" s="330">
        <v>0</v>
      </c>
      <c r="J218" s="462">
        <f t="shared" si="20"/>
        <v>0</v>
      </c>
      <c r="K218" s="463"/>
      <c r="L218" s="464"/>
      <c r="M218" s="465" t="s">
        <v>171</v>
      </c>
      <c r="N218" s="466" t="s">
        <v>185</v>
      </c>
      <c r="O218" s="453">
        <v>0</v>
      </c>
      <c r="P218" s="453">
        <f t="shared" si="21"/>
        <v>0</v>
      </c>
      <c r="Q218" s="453">
        <v>8.5000000000000006E-2</v>
      </c>
      <c r="R218" s="453">
        <f t="shared" si="22"/>
        <v>3.2623000000000006</v>
      </c>
      <c r="S218" s="453">
        <v>0</v>
      </c>
      <c r="T218" s="454">
        <f t="shared" si="23"/>
        <v>0</v>
      </c>
      <c r="AR218" s="455" t="s">
        <v>115</v>
      </c>
      <c r="AT218" s="455" t="s">
        <v>259</v>
      </c>
      <c r="AU218" s="455" t="s">
        <v>108</v>
      </c>
      <c r="AY218" s="357" t="s">
        <v>217</v>
      </c>
      <c r="BE218" s="456">
        <f t="shared" si="24"/>
        <v>0</v>
      </c>
      <c r="BF218" s="456">
        <f t="shared" si="25"/>
        <v>0</v>
      </c>
      <c r="BG218" s="456">
        <f t="shared" si="26"/>
        <v>0</v>
      </c>
      <c r="BH218" s="456">
        <f t="shared" si="27"/>
        <v>0</v>
      </c>
      <c r="BI218" s="456">
        <f t="shared" si="28"/>
        <v>0</v>
      </c>
      <c r="BJ218" s="357" t="s">
        <v>108</v>
      </c>
      <c r="BK218" s="456">
        <f t="shared" si="29"/>
        <v>0</v>
      </c>
      <c r="BL218" s="357" t="s">
        <v>110</v>
      </c>
      <c r="BM218" s="455" t="s">
        <v>1185</v>
      </c>
    </row>
    <row r="219" spans="2:65" s="365" customFormat="1" ht="33" customHeight="1" x14ac:dyDescent="0.25">
      <c r="B219" s="364"/>
      <c r="C219" s="445" t="s">
        <v>931</v>
      </c>
      <c r="D219" s="445" t="s">
        <v>218</v>
      </c>
      <c r="E219" s="446" t="s">
        <v>883</v>
      </c>
      <c r="F219" s="447" t="s">
        <v>270</v>
      </c>
      <c r="G219" s="448" t="s">
        <v>114</v>
      </c>
      <c r="H219" s="449">
        <v>255</v>
      </c>
      <c r="I219" s="329">
        <v>0</v>
      </c>
      <c r="J219" s="450">
        <f t="shared" si="20"/>
        <v>0</v>
      </c>
      <c r="K219" s="451"/>
      <c r="L219" s="364"/>
      <c r="M219" s="452" t="s">
        <v>171</v>
      </c>
      <c r="N219" s="415" t="s">
        <v>185</v>
      </c>
      <c r="O219" s="453">
        <v>1.363</v>
      </c>
      <c r="P219" s="453">
        <f t="shared" si="21"/>
        <v>347.565</v>
      </c>
      <c r="Q219" s="453">
        <v>2.2151320000000001</v>
      </c>
      <c r="R219" s="453">
        <f t="shared" si="22"/>
        <v>564.85865999999999</v>
      </c>
      <c r="S219" s="453">
        <v>0</v>
      </c>
      <c r="T219" s="454">
        <f t="shared" si="23"/>
        <v>0</v>
      </c>
      <c r="AR219" s="455" t="s">
        <v>110</v>
      </c>
      <c r="AT219" s="455" t="s">
        <v>218</v>
      </c>
      <c r="AU219" s="455" t="s">
        <v>108</v>
      </c>
      <c r="AY219" s="357" t="s">
        <v>217</v>
      </c>
      <c r="BE219" s="456">
        <f t="shared" si="24"/>
        <v>0</v>
      </c>
      <c r="BF219" s="456">
        <f t="shared" si="25"/>
        <v>0</v>
      </c>
      <c r="BG219" s="456">
        <f t="shared" si="26"/>
        <v>0</v>
      </c>
      <c r="BH219" s="456">
        <f t="shared" si="27"/>
        <v>0</v>
      </c>
      <c r="BI219" s="456">
        <f t="shared" si="28"/>
        <v>0</v>
      </c>
      <c r="BJ219" s="357" t="s">
        <v>108</v>
      </c>
      <c r="BK219" s="456">
        <f t="shared" si="29"/>
        <v>0</v>
      </c>
      <c r="BL219" s="357" t="s">
        <v>110</v>
      </c>
      <c r="BM219" s="455" t="s">
        <v>1186</v>
      </c>
    </row>
    <row r="220" spans="2:65" s="365" customFormat="1" ht="16.5" customHeight="1" x14ac:dyDescent="0.25">
      <c r="B220" s="364"/>
      <c r="C220" s="445" t="s">
        <v>933</v>
      </c>
      <c r="D220" s="445" t="s">
        <v>218</v>
      </c>
      <c r="E220" s="446" t="s">
        <v>885</v>
      </c>
      <c r="F220" s="447" t="s">
        <v>886</v>
      </c>
      <c r="G220" s="448" t="s">
        <v>123</v>
      </c>
      <c r="H220" s="449">
        <v>110</v>
      </c>
      <c r="I220" s="329">
        <v>0</v>
      </c>
      <c r="J220" s="450">
        <f t="shared" si="20"/>
        <v>0</v>
      </c>
      <c r="K220" s="451"/>
      <c r="L220" s="364"/>
      <c r="M220" s="452" t="s">
        <v>171</v>
      </c>
      <c r="N220" s="415" t="s">
        <v>185</v>
      </c>
      <c r="O220" s="453">
        <v>8.5000000000000006E-2</v>
      </c>
      <c r="P220" s="453">
        <f t="shared" si="21"/>
        <v>9.3500000000000014</v>
      </c>
      <c r="Q220" s="453">
        <v>2.0200000000000001E-3</v>
      </c>
      <c r="R220" s="453">
        <f t="shared" si="22"/>
        <v>0.22220000000000001</v>
      </c>
      <c r="S220" s="453">
        <v>0</v>
      </c>
      <c r="T220" s="454">
        <f t="shared" si="23"/>
        <v>0</v>
      </c>
      <c r="AR220" s="455" t="s">
        <v>110</v>
      </c>
      <c r="AT220" s="455" t="s">
        <v>218</v>
      </c>
      <c r="AU220" s="455" t="s">
        <v>108</v>
      </c>
      <c r="AY220" s="357" t="s">
        <v>217</v>
      </c>
      <c r="BE220" s="456">
        <f t="shared" si="24"/>
        <v>0</v>
      </c>
      <c r="BF220" s="456">
        <f t="shared" si="25"/>
        <v>0</v>
      </c>
      <c r="BG220" s="456">
        <f t="shared" si="26"/>
        <v>0</v>
      </c>
      <c r="BH220" s="456">
        <f t="shared" si="27"/>
        <v>0</v>
      </c>
      <c r="BI220" s="456">
        <f t="shared" si="28"/>
        <v>0</v>
      </c>
      <c r="BJ220" s="357" t="s">
        <v>108</v>
      </c>
      <c r="BK220" s="456">
        <f t="shared" si="29"/>
        <v>0</v>
      </c>
      <c r="BL220" s="357" t="s">
        <v>110</v>
      </c>
      <c r="BM220" s="455" t="s">
        <v>1187</v>
      </c>
    </row>
    <row r="221" spans="2:65" s="365" customFormat="1" ht="24.2" customHeight="1" x14ac:dyDescent="0.25">
      <c r="B221" s="364"/>
      <c r="C221" s="457" t="s">
        <v>935</v>
      </c>
      <c r="D221" s="457" t="s">
        <v>259</v>
      </c>
      <c r="E221" s="458" t="s">
        <v>888</v>
      </c>
      <c r="F221" s="459" t="s">
        <v>1188</v>
      </c>
      <c r="G221" s="460" t="s">
        <v>113</v>
      </c>
      <c r="H221" s="461">
        <v>46</v>
      </c>
      <c r="I221" s="330">
        <v>0</v>
      </c>
      <c r="J221" s="462">
        <f t="shared" si="20"/>
        <v>0</v>
      </c>
      <c r="K221" s="463"/>
      <c r="L221" s="464"/>
      <c r="M221" s="465" t="s">
        <v>171</v>
      </c>
      <c r="N221" s="466" t="s">
        <v>185</v>
      </c>
      <c r="O221" s="453">
        <v>0</v>
      </c>
      <c r="P221" s="453">
        <f t="shared" si="21"/>
        <v>0</v>
      </c>
      <c r="Q221" s="453">
        <v>1.1999999999999999E-3</v>
      </c>
      <c r="R221" s="453">
        <f t="shared" si="22"/>
        <v>5.5199999999999992E-2</v>
      </c>
      <c r="S221" s="453">
        <v>0</v>
      </c>
      <c r="T221" s="454">
        <f t="shared" si="23"/>
        <v>0</v>
      </c>
      <c r="AR221" s="455" t="s">
        <v>115</v>
      </c>
      <c r="AT221" s="455" t="s">
        <v>259</v>
      </c>
      <c r="AU221" s="455" t="s">
        <v>108</v>
      </c>
      <c r="AY221" s="357" t="s">
        <v>217</v>
      </c>
      <c r="BE221" s="456">
        <f t="shared" si="24"/>
        <v>0</v>
      </c>
      <c r="BF221" s="456">
        <f t="shared" si="25"/>
        <v>0</v>
      </c>
      <c r="BG221" s="456">
        <f t="shared" si="26"/>
        <v>0</v>
      </c>
      <c r="BH221" s="456">
        <f t="shared" si="27"/>
        <v>0</v>
      </c>
      <c r="BI221" s="456">
        <f t="shared" si="28"/>
        <v>0</v>
      </c>
      <c r="BJ221" s="357" t="s">
        <v>108</v>
      </c>
      <c r="BK221" s="456">
        <f t="shared" si="29"/>
        <v>0</v>
      </c>
      <c r="BL221" s="357" t="s">
        <v>110</v>
      </c>
      <c r="BM221" s="455" t="s">
        <v>1189</v>
      </c>
    </row>
    <row r="222" spans="2:65" s="365" customFormat="1" ht="24.2" customHeight="1" x14ac:dyDescent="0.25">
      <c r="B222" s="364"/>
      <c r="C222" s="445" t="s">
        <v>938</v>
      </c>
      <c r="D222" s="445" t="s">
        <v>218</v>
      </c>
      <c r="E222" s="446" t="s">
        <v>894</v>
      </c>
      <c r="F222" s="447" t="s">
        <v>895</v>
      </c>
      <c r="G222" s="448" t="s">
        <v>123</v>
      </c>
      <c r="H222" s="449">
        <v>2</v>
      </c>
      <c r="I222" s="329">
        <v>0</v>
      </c>
      <c r="J222" s="450">
        <f t="shared" si="20"/>
        <v>0</v>
      </c>
      <c r="K222" s="451"/>
      <c r="L222" s="364"/>
      <c r="M222" s="452" t="s">
        <v>171</v>
      </c>
      <c r="N222" s="415" t="s">
        <v>185</v>
      </c>
      <c r="O222" s="453">
        <v>0.70676000000000005</v>
      </c>
      <c r="P222" s="453">
        <f t="shared" si="21"/>
        <v>1.4135200000000001</v>
      </c>
      <c r="Q222" s="453">
        <v>0.23915</v>
      </c>
      <c r="R222" s="453">
        <f t="shared" si="22"/>
        <v>0.4783</v>
      </c>
      <c r="S222" s="453">
        <v>0</v>
      </c>
      <c r="T222" s="454">
        <f t="shared" si="23"/>
        <v>0</v>
      </c>
      <c r="AR222" s="455" t="s">
        <v>110</v>
      </c>
      <c r="AT222" s="455" t="s">
        <v>218</v>
      </c>
      <c r="AU222" s="455" t="s">
        <v>108</v>
      </c>
      <c r="AY222" s="357" t="s">
        <v>217</v>
      </c>
      <c r="BE222" s="456">
        <f t="shared" si="24"/>
        <v>0</v>
      </c>
      <c r="BF222" s="456">
        <f t="shared" si="25"/>
        <v>0</v>
      </c>
      <c r="BG222" s="456">
        <f t="shared" si="26"/>
        <v>0</v>
      </c>
      <c r="BH222" s="456">
        <f t="shared" si="27"/>
        <v>0</v>
      </c>
      <c r="BI222" s="456">
        <f t="shared" si="28"/>
        <v>0</v>
      </c>
      <c r="BJ222" s="357" t="s">
        <v>108</v>
      </c>
      <c r="BK222" s="456">
        <f t="shared" si="29"/>
        <v>0</v>
      </c>
      <c r="BL222" s="357" t="s">
        <v>110</v>
      </c>
      <c r="BM222" s="455" t="s">
        <v>1190</v>
      </c>
    </row>
    <row r="223" spans="2:65" s="365" customFormat="1" ht="24.2" customHeight="1" x14ac:dyDescent="0.25">
      <c r="B223" s="364"/>
      <c r="C223" s="445" t="s">
        <v>941</v>
      </c>
      <c r="D223" s="445" t="s">
        <v>218</v>
      </c>
      <c r="E223" s="446" t="s">
        <v>1191</v>
      </c>
      <c r="F223" s="447" t="s">
        <v>1192</v>
      </c>
      <c r="G223" s="448" t="s">
        <v>123</v>
      </c>
      <c r="H223" s="449">
        <v>2</v>
      </c>
      <c r="I223" s="329">
        <v>0</v>
      </c>
      <c r="J223" s="450">
        <f t="shared" si="20"/>
        <v>0</v>
      </c>
      <c r="K223" s="451"/>
      <c r="L223" s="364"/>
      <c r="M223" s="452" t="s">
        <v>171</v>
      </c>
      <c r="N223" s="415" t="s">
        <v>185</v>
      </c>
      <c r="O223" s="453">
        <v>0.49</v>
      </c>
      <c r="P223" s="453">
        <f t="shared" si="21"/>
        <v>0.98</v>
      </c>
      <c r="Q223" s="453">
        <v>0</v>
      </c>
      <c r="R223" s="453">
        <f t="shared" si="22"/>
        <v>0</v>
      </c>
      <c r="S223" s="453">
        <v>3.4000000000000002E-2</v>
      </c>
      <c r="T223" s="454">
        <f t="shared" si="23"/>
        <v>6.8000000000000005E-2</v>
      </c>
      <c r="AR223" s="455" t="s">
        <v>110</v>
      </c>
      <c r="AT223" s="455" t="s">
        <v>218</v>
      </c>
      <c r="AU223" s="455" t="s">
        <v>108</v>
      </c>
      <c r="AY223" s="357" t="s">
        <v>217</v>
      </c>
      <c r="BE223" s="456">
        <f t="shared" si="24"/>
        <v>0</v>
      </c>
      <c r="BF223" s="456">
        <f t="shared" si="25"/>
        <v>0</v>
      </c>
      <c r="BG223" s="456">
        <f t="shared" si="26"/>
        <v>0</v>
      </c>
      <c r="BH223" s="456">
        <f t="shared" si="27"/>
        <v>0</v>
      </c>
      <c r="BI223" s="456">
        <f t="shared" si="28"/>
        <v>0</v>
      </c>
      <c r="BJ223" s="357" t="s">
        <v>108</v>
      </c>
      <c r="BK223" s="456">
        <f t="shared" si="29"/>
        <v>0</v>
      </c>
      <c r="BL223" s="357" t="s">
        <v>110</v>
      </c>
      <c r="BM223" s="455" t="s">
        <v>1193</v>
      </c>
    </row>
    <row r="224" spans="2:65" s="365" customFormat="1" ht="16.5" customHeight="1" x14ac:dyDescent="0.25">
      <c r="B224" s="364"/>
      <c r="C224" s="445" t="s">
        <v>945</v>
      </c>
      <c r="D224" s="445" t="s">
        <v>218</v>
      </c>
      <c r="E224" s="446" t="s">
        <v>1194</v>
      </c>
      <c r="F224" s="447" t="s">
        <v>1195</v>
      </c>
      <c r="G224" s="448" t="s">
        <v>123</v>
      </c>
      <c r="H224" s="449">
        <v>1</v>
      </c>
      <c r="I224" s="329">
        <v>0</v>
      </c>
      <c r="J224" s="450">
        <f t="shared" si="20"/>
        <v>0</v>
      </c>
      <c r="K224" s="451"/>
      <c r="L224" s="364"/>
      <c r="M224" s="452" t="s">
        <v>171</v>
      </c>
      <c r="N224" s="415" t="s">
        <v>185</v>
      </c>
      <c r="O224" s="453">
        <v>0.53100000000000003</v>
      </c>
      <c r="P224" s="453">
        <f t="shared" si="21"/>
        <v>0.53100000000000003</v>
      </c>
      <c r="Q224" s="453">
        <v>0</v>
      </c>
      <c r="R224" s="453">
        <f t="shared" si="22"/>
        <v>0</v>
      </c>
      <c r="S224" s="453">
        <v>8.2000000000000003E-2</v>
      </c>
      <c r="T224" s="454">
        <f t="shared" si="23"/>
        <v>8.2000000000000003E-2</v>
      </c>
      <c r="AR224" s="455" t="s">
        <v>110</v>
      </c>
      <c r="AT224" s="455" t="s">
        <v>218</v>
      </c>
      <c r="AU224" s="455" t="s">
        <v>108</v>
      </c>
      <c r="AY224" s="357" t="s">
        <v>217</v>
      </c>
      <c r="BE224" s="456">
        <f t="shared" si="24"/>
        <v>0</v>
      </c>
      <c r="BF224" s="456">
        <f t="shared" si="25"/>
        <v>0</v>
      </c>
      <c r="BG224" s="456">
        <f t="shared" si="26"/>
        <v>0</v>
      </c>
      <c r="BH224" s="456">
        <f t="shared" si="27"/>
        <v>0</v>
      </c>
      <c r="BI224" s="456">
        <f t="shared" si="28"/>
        <v>0</v>
      </c>
      <c r="BJ224" s="357" t="s">
        <v>108</v>
      </c>
      <c r="BK224" s="456">
        <f t="shared" si="29"/>
        <v>0</v>
      </c>
      <c r="BL224" s="357" t="s">
        <v>110</v>
      </c>
      <c r="BM224" s="455" t="s">
        <v>1196</v>
      </c>
    </row>
    <row r="225" spans="2:65" s="365" customFormat="1" ht="33" customHeight="1" x14ac:dyDescent="0.25">
      <c r="B225" s="364"/>
      <c r="C225" s="445" t="s">
        <v>948</v>
      </c>
      <c r="D225" s="445" t="s">
        <v>218</v>
      </c>
      <c r="E225" s="446" t="s">
        <v>1197</v>
      </c>
      <c r="F225" s="447" t="s">
        <v>901</v>
      </c>
      <c r="G225" s="448" t="s">
        <v>123</v>
      </c>
      <c r="H225" s="449">
        <v>10</v>
      </c>
      <c r="I225" s="329">
        <v>0</v>
      </c>
      <c r="J225" s="450">
        <f t="shared" si="20"/>
        <v>0</v>
      </c>
      <c r="K225" s="451"/>
      <c r="L225" s="364"/>
      <c r="M225" s="452" t="s">
        <v>171</v>
      </c>
      <c r="N225" s="415" t="s">
        <v>185</v>
      </c>
      <c r="O225" s="453">
        <v>0.16500000000000001</v>
      </c>
      <c r="P225" s="453">
        <f t="shared" si="21"/>
        <v>1.6500000000000001</v>
      </c>
      <c r="Q225" s="453">
        <v>0</v>
      </c>
      <c r="R225" s="453">
        <f t="shared" si="22"/>
        <v>0</v>
      </c>
      <c r="S225" s="453">
        <v>4.0000000000000001E-3</v>
      </c>
      <c r="T225" s="454">
        <f t="shared" si="23"/>
        <v>0.04</v>
      </c>
      <c r="AR225" s="455" t="s">
        <v>110</v>
      </c>
      <c r="AT225" s="455" t="s">
        <v>218</v>
      </c>
      <c r="AU225" s="455" t="s">
        <v>108</v>
      </c>
      <c r="AY225" s="357" t="s">
        <v>217</v>
      </c>
      <c r="BE225" s="456">
        <f t="shared" si="24"/>
        <v>0</v>
      </c>
      <c r="BF225" s="456">
        <f t="shared" si="25"/>
        <v>0</v>
      </c>
      <c r="BG225" s="456">
        <f t="shared" si="26"/>
        <v>0</v>
      </c>
      <c r="BH225" s="456">
        <f t="shared" si="27"/>
        <v>0</v>
      </c>
      <c r="BI225" s="456">
        <f t="shared" si="28"/>
        <v>0</v>
      </c>
      <c r="BJ225" s="357" t="s">
        <v>108</v>
      </c>
      <c r="BK225" s="456">
        <f t="shared" si="29"/>
        <v>0</v>
      </c>
      <c r="BL225" s="357" t="s">
        <v>110</v>
      </c>
      <c r="BM225" s="455" t="s">
        <v>1198</v>
      </c>
    </row>
    <row r="226" spans="2:65" s="365" customFormat="1" ht="24.2" customHeight="1" x14ac:dyDescent="0.25">
      <c r="B226" s="364"/>
      <c r="C226" s="445" t="s">
        <v>1199</v>
      </c>
      <c r="D226" s="445" t="s">
        <v>218</v>
      </c>
      <c r="E226" s="446" t="s">
        <v>908</v>
      </c>
      <c r="F226" s="447" t="s">
        <v>909</v>
      </c>
      <c r="G226" s="448" t="s">
        <v>123</v>
      </c>
      <c r="H226" s="449">
        <v>1</v>
      </c>
      <c r="I226" s="329">
        <v>0</v>
      </c>
      <c r="J226" s="450">
        <f t="shared" si="20"/>
        <v>0</v>
      </c>
      <c r="K226" s="451"/>
      <c r="L226" s="364"/>
      <c r="M226" s="452" t="s">
        <v>171</v>
      </c>
      <c r="N226" s="415" t="s">
        <v>185</v>
      </c>
      <c r="O226" s="453">
        <v>10.205590000000001</v>
      </c>
      <c r="P226" s="453">
        <f t="shared" si="21"/>
        <v>10.205590000000001</v>
      </c>
      <c r="Q226" s="453">
        <v>8.7844800000000008E-3</v>
      </c>
      <c r="R226" s="453">
        <f t="shared" si="22"/>
        <v>8.7844800000000008E-3</v>
      </c>
      <c r="S226" s="453">
        <v>0</v>
      </c>
      <c r="T226" s="454">
        <f t="shared" si="23"/>
        <v>0</v>
      </c>
      <c r="AR226" s="455" t="s">
        <v>110</v>
      </c>
      <c r="AT226" s="455" t="s">
        <v>218</v>
      </c>
      <c r="AU226" s="455" t="s">
        <v>108</v>
      </c>
      <c r="AY226" s="357" t="s">
        <v>217</v>
      </c>
      <c r="BE226" s="456">
        <f t="shared" si="24"/>
        <v>0</v>
      </c>
      <c r="BF226" s="456">
        <f t="shared" si="25"/>
        <v>0</v>
      </c>
      <c r="BG226" s="456">
        <f t="shared" si="26"/>
        <v>0</v>
      </c>
      <c r="BH226" s="456">
        <f t="shared" si="27"/>
        <v>0</v>
      </c>
      <c r="BI226" s="456">
        <f t="shared" si="28"/>
        <v>0</v>
      </c>
      <c r="BJ226" s="357" t="s">
        <v>108</v>
      </c>
      <c r="BK226" s="456">
        <f t="shared" si="29"/>
        <v>0</v>
      </c>
      <c r="BL226" s="357" t="s">
        <v>110</v>
      </c>
      <c r="BM226" s="455" t="s">
        <v>910</v>
      </c>
    </row>
    <row r="227" spans="2:65" s="365" customFormat="1" ht="37.9" customHeight="1" x14ac:dyDescent="0.25">
      <c r="B227" s="364"/>
      <c r="C227" s="457" t="s">
        <v>1200</v>
      </c>
      <c r="D227" s="457" t="s">
        <v>259</v>
      </c>
      <c r="E227" s="458" t="s">
        <v>912</v>
      </c>
      <c r="F227" s="459" t="s">
        <v>1201</v>
      </c>
      <c r="G227" s="460" t="s">
        <v>123</v>
      </c>
      <c r="H227" s="461">
        <v>1</v>
      </c>
      <c r="I227" s="330">
        <v>0</v>
      </c>
      <c r="J227" s="462">
        <f t="shared" si="20"/>
        <v>0</v>
      </c>
      <c r="K227" s="463"/>
      <c r="L227" s="464"/>
      <c r="M227" s="465" t="s">
        <v>171</v>
      </c>
      <c r="N227" s="466" t="s">
        <v>185</v>
      </c>
      <c r="O227" s="453">
        <v>0</v>
      </c>
      <c r="P227" s="453">
        <f t="shared" si="21"/>
        <v>0</v>
      </c>
      <c r="Q227" s="453">
        <v>0.186</v>
      </c>
      <c r="R227" s="453">
        <f t="shared" si="22"/>
        <v>0.186</v>
      </c>
      <c r="S227" s="453">
        <v>0</v>
      </c>
      <c r="T227" s="454">
        <f t="shared" si="23"/>
        <v>0</v>
      </c>
      <c r="AR227" s="455" t="s">
        <v>115</v>
      </c>
      <c r="AT227" s="455" t="s">
        <v>259</v>
      </c>
      <c r="AU227" s="455" t="s">
        <v>108</v>
      </c>
      <c r="AY227" s="357" t="s">
        <v>217</v>
      </c>
      <c r="BE227" s="456">
        <f t="shared" si="24"/>
        <v>0</v>
      </c>
      <c r="BF227" s="456">
        <f t="shared" si="25"/>
        <v>0</v>
      </c>
      <c r="BG227" s="456">
        <f t="shared" si="26"/>
        <v>0</v>
      </c>
      <c r="BH227" s="456">
        <f t="shared" si="27"/>
        <v>0</v>
      </c>
      <c r="BI227" s="456">
        <f t="shared" si="28"/>
        <v>0</v>
      </c>
      <c r="BJ227" s="357" t="s">
        <v>108</v>
      </c>
      <c r="BK227" s="456">
        <f t="shared" si="29"/>
        <v>0</v>
      </c>
      <c r="BL227" s="357" t="s">
        <v>110</v>
      </c>
      <c r="BM227" s="455" t="s">
        <v>914</v>
      </c>
    </row>
    <row r="228" spans="2:65" s="365" customFormat="1" ht="33" customHeight="1" x14ac:dyDescent="0.25">
      <c r="B228" s="364"/>
      <c r="C228" s="457" t="s">
        <v>1202</v>
      </c>
      <c r="D228" s="457" t="s">
        <v>259</v>
      </c>
      <c r="E228" s="458" t="s">
        <v>916</v>
      </c>
      <c r="F228" s="459" t="s">
        <v>917</v>
      </c>
      <c r="G228" s="460" t="s">
        <v>123</v>
      </c>
      <c r="H228" s="461">
        <v>1</v>
      </c>
      <c r="I228" s="330">
        <v>0</v>
      </c>
      <c r="J228" s="462">
        <f t="shared" si="20"/>
        <v>0</v>
      </c>
      <c r="K228" s="463"/>
      <c r="L228" s="464"/>
      <c r="M228" s="465" t="s">
        <v>171</v>
      </c>
      <c r="N228" s="466" t="s">
        <v>185</v>
      </c>
      <c r="O228" s="453">
        <v>0</v>
      </c>
      <c r="P228" s="453">
        <f t="shared" si="21"/>
        <v>0</v>
      </c>
      <c r="Q228" s="453">
        <v>0.01</v>
      </c>
      <c r="R228" s="453">
        <f t="shared" si="22"/>
        <v>0.01</v>
      </c>
      <c r="S228" s="453">
        <v>0</v>
      </c>
      <c r="T228" s="454">
        <f t="shared" si="23"/>
        <v>0</v>
      </c>
      <c r="AR228" s="455" t="s">
        <v>115</v>
      </c>
      <c r="AT228" s="455" t="s">
        <v>259</v>
      </c>
      <c r="AU228" s="455" t="s">
        <v>108</v>
      </c>
      <c r="AY228" s="357" t="s">
        <v>217</v>
      </c>
      <c r="BE228" s="456">
        <f t="shared" si="24"/>
        <v>0</v>
      </c>
      <c r="BF228" s="456">
        <f t="shared" si="25"/>
        <v>0</v>
      </c>
      <c r="BG228" s="456">
        <f t="shared" si="26"/>
        <v>0</v>
      </c>
      <c r="BH228" s="456">
        <f t="shared" si="27"/>
        <v>0</v>
      </c>
      <c r="BI228" s="456">
        <f t="shared" si="28"/>
        <v>0</v>
      </c>
      <c r="BJ228" s="357" t="s">
        <v>108</v>
      </c>
      <c r="BK228" s="456">
        <f t="shared" si="29"/>
        <v>0</v>
      </c>
      <c r="BL228" s="357" t="s">
        <v>110</v>
      </c>
      <c r="BM228" s="455" t="s">
        <v>918</v>
      </c>
    </row>
    <row r="229" spans="2:65" s="365" customFormat="1" ht="24.2" customHeight="1" x14ac:dyDescent="0.25">
      <c r="B229" s="364"/>
      <c r="C229" s="445" t="s">
        <v>1203</v>
      </c>
      <c r="D229" s="445" t="s">
        <v>218</v>
      </c>
      <c r="E229" s="446" t="s">
        <v>904</v>
      </c>
      <c r="F229" s="447" t="s">
        <v>1204</v>
      </c>
      <c r="G229" s="448" t="s">
        <v>113</v>
      </c>
      <c r="H229" s="449">
        <v>12</v>
      </c>
      <c r="I229" s="329">
        <v>0</v>
      </c>
      <c r="J229" s="450">
        <f t="shared" si="20"/>
        <v>0</v>
      </c>
      <c r="K229" s="451"/>
      <c r="L229" s="364"/>
      <c r="M229" s="452" t="s">
        <v>171</v>
      </c>
      <c r="N229" s="415" t="s">
        <v>185</v>
      </c>
      <c r="O229" s="453">
        <v>0.45400000000000001</v>
      </c>
      <c r="P229" s="453">
        <f t="shared" si="21"/>
        <v>5.4480000000000004</v>
      </c>
      <c r="Q229" s="453">
        <v>0</v>
      </c>
      <c r="R229" s="453">
        <f t="shared" si="22"/>
        <v>0</v>
      </c>
      <c r="S229" s="453">
        <v>0.01</v>
      </c>
      <c r="T229" s="454">
        <f t="shared" si="23"/>
        <v>0.12</v>
      </c>
      <c r="AR229" s="455" t="s">
        <v>110</v>
      </c>
      <c r="AT229" s="455" t="s">
        <v>218</v>
      </c>
      <c r="AU229" s="455" t="s">
        <v>108</v>
      </c>
      <c r="AY229" s="357" t="s">
        <v>217</v>
      </c>
      <c r="BE229" s="456">
        <f t="shared" si="24"/>
        <v>0</v>
      </c>
      <c r="BF229" s="456">
        <f t="shared" si="25"/>
        <v>0</v>
      </c>
      <c r="BG229" s="456">
        <f t="shared" si="26"/>
        <v>0</v>
      </c>
      <c r="BH229" s="456">
        <f t="shared" si="27"/>
        <v>0</v>
      </c>
      <c r="BI229" s="456">
        <f t="shared" si="28"/>
        <v>0</v>
      </c>
      <c r="BJ229" s="357" t="s">
        <v>108</v>
      </c>
      <c r="BK229" s="456">
        <f t="shared" si="29"/>
        <v>0</v>
      </c>
      <c r="BL229" s="357" t="s">
        <v>110</v>
      </c>
      <c r="BM229" s="455" t="s">
        <v>1205</v>
      </c>
    </row>
    <row r="230" spans="2:65" s="365" customFormat="1" ht="24.2" customHeight="1" x14ac:dyDescent="0.25">
      <c r="B230" s="364"/>
      <c r="C230" s="445" t="s">
        <v>1206</v>
      </c>
      <c r="D230" s="445" t="s">
        <v>218</v>
      </c>
      <c r="E230" s="446" t="s">
        <v>920</v>
      </c>
      <c r="F230" s="447" t="s">
        <v>921</v>
      </c>
      <c r="G230" s="448" t="s">
        <v>502</v>
      </c>
      <c r="H230" s="449">
        <v>5500</v>
      </c>
      <c r="I230" s="329">
        <v>0</v>
      </c>
      <c r="J230" s="450">
        <f t="shared" si="20"/>
        <v>0</v>
      </c>
      <c r="K230" s="451"/>
      <c r="L230" s="364"/>
      <c r="M230" s="452" t="s">
        <v>171</v>
      </c>
      <c r="N230" s="415" t="s">
        <v>185</v>
      </c>
      <c r="O230" s="453">
        <v>6.0699999999999999E-3</v>
      </c>
      <c r="P230" s="453">
        <f t="shared" si="21"/>
        <v>33.384999999999998</v>
      </c>
      <c r="Q230" s="453">
        <v>9.8600000000000005E-6</v>
      </c>
      <c r="R230" s="453">
        <f t="shared" si="22"/>
        <v>5.423E-2</v>
      </c>
      <c r="S230" s="453">
        <v>2.0000000000000002E-5</v>
      </c>
      <c r="T230" s="454">
        <f t="shared" si="23"/>
        <v>0.11000000000000001</v>
      </c>
      <c r="AR230" s="455" t="s">
        <v>110</v>
      </c>
      <c r="AT230" s="455" t="s">
        <v>218</v>
      </c>
      <c r="AU230" s="455" t="s">
        <v>108</v>
      </c>
      <c r="AY230" s="357" t="s">
        <v>217</v>
      </c>
      <c r="BE230" s="456">
        <f t="shared" si="24"/>
        <v>0</v>
      </c>
      <c r="BF230" s="456">
        <f t="shared" si="25"/>
        <v>0</v>
      </c>
      <c r="BG230" s="456">
        <f t="shared" si="26"/>
        <v>0</v>
      </c>
      <c r="BH230" s="456">
        <f t="shared" si="27"/>
        <v>0</v>
      </c>
      <c r="BI230" s="456">
        <f t="shared" si="28"/>
        <v>0</v>
      </c>
      <c r="BJ230" s="357" t="s">
        <v>108</v>
      </c>
      <c r="BK230" s="456">
        <f t="shared" si="29"/>
        <v>0</v>
      </c>
      <c r="BL230" s="357" t="s">
        <v>110</v>
      </c>
      <c r="BM230" s="455" t="s">
        <v>1207</v>
      </c>
    </row>
    <row r="231" spans="2:65" s="365" customFormat="1" ht="62.65" customHeight="1" x14ac:dyDescent="0.25">
      <c r="B231" s="364"/>
      <c r="C231" s="445" t="s">
        <v>1208</v>
      </c>
      <c r="D231" s="445" t="s">
        <v>218</v>
      </c>
      <c r="E231" s="446" t="s">
        <v>635</v>
      </c>
      <c r="F231" s="447" t="s">
        <v>3088</v>
      </c>
      <c r="G231" s="448" t="s">
        <v>112</v>
      </c>
      <c r="H231" s="449">
        <f>Ponuka!L117</f>
        <v>182.25200000000001</v>
      </c>
      <c r="I231" s="329">
        <v>0</v>
      </c>
      <c r="J231" s="450">
        <f t="shared" si="20"/>
        <v>0</v>
      </c>
      <c r="K231" s="451"/>
      <c r="L231" s="364"/>
      <c r="M231" s="452" t="s">
        <v>171</v>
      </c>
      <c r="N231" s="415" t="s">
        <v>185</v>
      </c>
      <c r="O231" s="453">
        <v>0</v>
      </c>
      <c r="P231" s="453">
        <f t="shared" si="21"/>
        <v>0</v>
      </c>
      <c r="Q231" s="453">
        <v>0</v>
      </c>
      <c r="R231" s="453">
        <f t="shared" si="22"/>
        <v>0</v>
      </c>
      <c r="S231" s="453">
        <v>0</v>
      </c>
      <c r="T231" s="454">
        <f t="shared" si="23"/>
        <v>0</v>
      </c>
      <c r="AR231" s="455" t="s">
        <v>110</v>
      </c>
      <c r="AT231" s="455" t="s">
        <v>218</v>
      </c>
      <c r="AU231" s="455" t="s">
        <v>108</v>
      </c>
      <c r="AY231" s="357" t="s">
        <v>217</v>
      </c>
      <c r="BE231" s="456">
        <f t="shared" si="24"/>
        <v>0</v>
      </c>
      <c r="BF231" s="456">
        <f t="shared" si="25"/>
        <v>0</v>
      </c>
      <c r="BG231" s="456">
        <f t="shared" si="26"/>
        <v>0</v>
      </c>
      <c r="BH231" s="456">
        <f t="shared" si="27"/>
        <v>0</v>
      </c>
      <c r="BI231" s="456">
        <f t="shared" si="28"/>
        <v>0</v>
      </c>
      <c r="BJ231" s="357" t="s">
        <v>108</v>
      </c>
      <c r="BK231" s="456">
        <f t="shared" si="29"/>
        <v>0</v>
      </c>
      <c r="BL231" s="357" t="s">
        <v>110</v>
      </c>
      <c r="BM231" s="455" t="s">
        <v>1209</v>
      </c>
    </row>
    <row r="232" spans="2:65" s="365" customFormat="1" ht="66.75" customHeight="1" x14ac:dyDescent="0.25">
      <c r="B232" s="364"/>
      <c r="C232" s="445" t="s">
        <v>649</v>
      </c>
      <c r="D232" s="445" t="s">
        <v>218</v>
      </c>
      <c r="E232" s="446" t="s">
        <v>926</v>
      </c>
      <c r="F232" s="447" t="s">
        <v>3089</v>
      </c>
      <c r="G232" s="448" t="s">
        <v>112</v>
      </c>
      <c r="H232" s="449">
        <f>Ponuka!N117</f>
        <v>346.5</v>
      </c>
      <c r="I232" s="329">
        <v>0</v>
      </c>
      <c r="J232" s="450">
        <f t="shared" si="20"/>
        <v>0</v>
      </c>
      <c r="K232" s="451"/>
      <c r="L232" s="364"/>
      <c r="M232" s="452" t="s">
        <v>171</v>
      </c>
      <c r="N232" s="415" t="s">
        <v>185</v>
      </c>
      <c r="O232" s="453">
        <v>0</v>
      </c>
      <c r="P232" s="453">
        <f t="shared" si="21"/>
        <v>0</v>
      </c>
      <c r="Q232" s="453">
        <v>0</v>
      </c>
      <c r="R232" s="453">
        <f t="shared" si="22"/>
        <v>0</v>
      </c>
      <c r="S232" s="453">
        <v>0</v>
      </c>
      <c r="T232" s="454">
        <f t="shared" si="23"/>
        <v>0</v>
      </c>
      <c r="AR232" s="455" t="s">
        <v>110</v>
      </c>
      <c r="AT232" s="455" t="s">
        <v>218</v>
      </c>
      <c r="AU232" s="455" t="s">
        <v>108</v>
      </c>
      <c r="AY232" s="357" t="s">
        <v>217</v>
      </c>
      <c r="BE232" s="456">
        <f t="shared" si="24"/>
        <v>0</v>
      </c>
      <c r="BF232" s="456">
        <f t="shared" si="25"/>
        <v>0</v>
      </c>
      <c r="BG232" s="456">
        <f t="shared" si="26"/>
        <v>0</v>
      </c>
      <c r="BH232" s="456">
        <f t="shared" si="27"/>
        <v>0</v>
      </c>
      <c r="BI232" s="456">
        <f t="shared" si="28"/>
        <v>0</v>
      </c>
      <c r="BJ232" s="357" t="s">
        <v>108</v>
      </c>
      <c r="BK232" s="456">
        <f t="shared" si="29"/>
        <v>0</v>
      </c>
      <c r="BL232" s="357" t="s">
        <v>110</v>
      </c>
      <c r="BM232" s="455" t="s">
        <v>1210</v>
      </c>
    </row>
    <row r="233" spans="2:65" s="365" customFormat="1" ht="62.65" customHeight="1" x14ac:dyDescent="0.25">
      <c r="B233" s="364"/>
      <c r="C233" s="445" t="s">
        <v>1211</v>
      </c>
      <c r="D233" s="445" t="s">
        <v>218</v>
      </c>
      <c r="E233" s="446" t="s">
        <v>929</v>
      </c>
      <c r="F233" s="447" t="s">
        <v>3090</v>
      </c>
      <c r="G233" s="448" t="s">
        <v>112</v>
      </c>
      <c r="H233" s="449">
        <f>Ponuka!P117</f>
        <v>144.54999999999998</v>
      </c>
      <c r="I233" s="329">
        <v>0</v>
      </c>
      <c r="J233" s="450">
        <f t="shared" si="20"/>
        <v>0</v>
      </c>
      <c r="K233" s="451"/>
      <c r="L233" s="364"/>
      <c r="M233" s="452" t="s">
        <v>171</v>
      </c>
      <c r="N233" s="415" t="s">
        <v>185</v>
      </c>
      <c r="O233" s="453">
        <v>0</v>
      </c>
      <c r="P233" s="453">
        <f t="shared" si="21"/>
        <v>0</v>
      </c>
      <c r="Q233" s="453">
        <v>0</v>
      </c>
      <c r="R233" s="453">
        <f t="shared" si="22"/>
        <v>0</v>
      </c>
      <c r="S233" s="453">
        <v>0</v>
      </c>
      <c r="T233" s="454">
        <f t="shared" si="23"/>
        <v>0</v>
      </c>
      <c r="AR233" s="455" t="s">
        <v>110</v>
      </c>
      <c r="AT233" s="455" t="s">
        <v>218</v>
      </c>
      <c r="AU233" s="455" t="s">
        <v>108</v>
      </c>
      <c r="AY233" s="357" t="s">
        <v>217</v>
      </c>
      <c r="BE233" s="456">
        <f t="shared" si="24"/>
        <v>0</v>
      </c>
      <c r="BF233" s="456">
        <f t="shared" si="25"/>
        <v>0</v>
      </c>
      <c r="BG233" s="456">
        <f t="shared" si="26"/>
        <v>0</v>
      </c>
      <c r="BH233" s="456">
        <f t="shared" si="27"/>
        <v>0</v>
      </c>
      <c r="BI233" s="456">
        <f t="shared" si="28"/>
        <v>0</v>
      </c>
      <c r="BJ233" s="357" t="s">
        <v>108</v>
      </c>
      <c r="BK233" s="456">
        <f t="shared" si="29"/>
        <v>0</v>
      </c>
      <c r="BL233" s="357" t="s">
        <v>110</v>
      </c>
      <c r="BM233" s="455" t="s">
        <v>1212</v>
      </c>
    </row>
    <row r="234" spans="2:65" s="365" customFormat="1" ht="66.75" customHeight="1" x14ac:dyDescent="0.25">
      <c r="B234" s="364"/>
      <c r="C234" s="445" t="s">
        <v>1213</v>
      </c>
      <c r="D234" s="445" t="s">
        <v>218</v>
      </c>
      <c r="E234" s="446" t="s">
        <v>638</v>
      </c>
      <c r="F234" s="447" t="s">
        <v>3091</v>
      </c>
      <c r="G234" s="448" t="s">
        <v>112</v>
      </c>
      <c r="H234" s="449">
        <f>Ponuka!R117</f>
        <v>650.71299999999997</v>
      </c>
      <c r="I234" s="329">
        <v>0</v>
      </c>
      <c r="J234" s="450">
        <f t="shared" si="20"/>
        <v>0</v>
      </c>
      <c r="K234" s="451"/>
      <c r="L234" s="364"/>
      <c r="M234" s="452" t="s">
        <v>171</v>
      </c>
      <c r="N234" s="415" t="s">
        <v>185</v>
      </c>
      <c r="O234" s="453">
        <v>0</v>
      </c>
      <c r="P234" s="453">
        <f t="shared" si="21"/>
        <v>0</v>
      </c>
      <c r="Q234" s="453">
        <v>0</v>
      </c>
      <c r="R234" s="453">
        <f t="shared" si="22"/>
        <v>0</v>
      </c>
      <c r="S234" s="453">
        <v>0</v>
      </c>
      <c r="T234" s="454">
        <f t="shared" si="23"/>
        <v>0</v>
      </c>
      <c r="AR234" s="455" t="s">
        <v>110</v>
      </c>
      <c r="AT234" s="455" t="s">
        <v>218</v>
      </c>
      <c r="AU234" s="455" t="s">
        <v>108</v>
      </c>
      <c r="AY234" s="357" t="s">
        <v>217</v>
      </c>
      <c r="BE234" s="456">
        <f t="shared" si="24"/>
        <v>0</v>
      </c>
      <c r="BF234" s="456">
        <f t="shared" si="25"/>
        <v>0</v>
      </c>
      <c r="BG234" s="456">
        <f t="shared" si="26"/>
        <v>0</v>
      </c>
      <c r="BH234" s="456">
        <f t="shared" si="27"/>
        <v>0</v>
      </c>
      <c r="BI234" s="456">
        <f t="shared" si="28"/>
        <v>0</v>
      </c>
      <c r="BJ234" s="357" t="s">
        <v>108</v>
      </c>
      <c r="BK234" s="456">
        <f t="shared" si="29"/>
        <v>0</v>
      </c>
      <c r="BL234" s="357" t="s">
        <v>110</v>
      </c>
      <c r="BM234" s="455" t="s">
        <v>1214</v>
      </c>
    </row>
    <row r="235" spans="2:65" s="365" customFormat="1" ht="24.2" customHeight="1" x14ac:dyDescent="0.25">
      <c r="B235" s="364"/>
      <c r="C235" s="445" t="s">
        <v>1215</v>
      </c>
      <c r="D235" s="445" t="s">
        <v>218</v>
      </c>
      <c r="E235" s="446" t="s">
        <v>641</v>
      </c>
      <c r="F235" s="447" t="s">
        <v>642</v>
      </c>
      <c r="G235" s="448" t="s">
        <v>112</v>
      </c>
      <c r="H235" s="449">
        <f>H237</f>
        <v>288.55799999999999</v>
      </c>
      <c r="I235" s="329">
        <v>0</v>
      </c>
      <c r="J235" s="450">
        <f t="shared" si="20"/>
        <v>0</v>
      </c>
      <c r="K235" s="451"/>
      <c r="L235" s="364"/>
      <c r="M235" s="452" t="s">
        <v>171</v>
      </c>
      <c r="N235" s="415" t="s">
        <v>185</v>
      </c>
      <c r="O235" s="453">
        <v>6.0000000000000001E-3</v>
      </c>
      <c r="P235" s="453">
        <f t="shared" si="21"/>
        <v>1.7313479999999999</v>
      </c>
      <c r="Q235" s="453">
        <v>0</v>
      </c>
      <c r="R235" s="453">
        <f t="shared" si="22"/>
        <v>0</v>
      </c>
      <c r="S235" s="453">
        <v>0</v>
      </c>
      <c r="T235" s="454">
        <f t="shared" si="23"/>
        <v>0</v>
      </c>
      <c r="AR235" s="455" t="s">
        <v>110</v>
      </c>
      <c r="AT235" s="455" t="s">
        <v>218</v>
      </c>
      <c r="AU235" s="455" t="s">
        <v>108</v>
      </c>
      <c r="AY235" s="357" t="s">
        <v>217</v>
      </c>
      <c r="BE235" s="456">
        <f t="shared" si="24"/>
        <v>0</v>
      </c>
      <c r="BF235" s="456">
        <f t="shared" si="25"/>
        <v>0</v>
      </c>
      <c r="BG235" s="456">
        <f t="shared" si="26"/>
        <v>0</v>
      </c>
      <c r="BH235" s="456">
        <f t="shared" si="27"/>
        <v>0</v>
      </c>
      <c r="BI235" s="456">
        <f t="shared" si="28"/>
        <v>0</v>
      </c>
      <c r="BJ235" s="357" t="s">
        <v>108</v>
      </c>
      <c r="BK235" s="456">
        <f t="shared" si="29"/>
        <v>0</v>
      </c>
      <c r="BL235" s="357" t="s">
        <v>110</v>
      </c>
      <c r="BM235" s="455" t="s">
        <v>1216</v>
      </c>
    </row>
    <row r="236" spans="2:65" s="434" customFormat="1" ht="22.9" customHeight="1" x14ac:dyDescent="0.2">
      <c r="B236" s="433"/>
      <c r="D236" s="435" t="s">
        <v>216</v>
      </c>
      <c r="E236" s="443" t="s">
        <v>649</v>
      </c>
      <c r="F236" s="443" t="s">
        <v>650</v>
      </c>
      <c r="I236" s="331"/>
      <c r="J236" s="444">
        <f>BK236</f>
        <v>0</v>
      </c>
      <c r="L236" s="433"/>
      <c r="M236" s="438"/>
      <c r="P236" s="439">
        <f>SUM(P237:P241)</f>
        <v>351.01293599999997</v>
      </c>
      <c r="R236" s="439">
        <f>SUM(R237:R241)</f>
        <v>0</v>
      </c>
      <c r="T236" s="440">
        <f>SUM(T237:T241)</f>
        <v>0</v>
      </c>
      <c r="AR236" s="435" t="s">
        <v>109</v>
      </c>
      <c r="AT236" s="441" t="s">
        <v>216</v>
      </c>
      <c r="AU236" s="441" t="s">
        <v>109</v>
      </c>
      <c r="AY236" s="435" t="s">
        <v>217</v>
      </c>
      <c r="BK236" s="442">
        <f>SUM(BK237:BK241)</f>
        <v>0</v>
      </c>
    </row>
    <row r="237" spans="2:65" s="365" customFormat="1" ht="24.2" customHeight="1" x14ac:dyDescent="0.25">
      <c r="B237" s="364"/>
      <c r="C237" s="445" t="s">
        <v>1217</v>
      </c>
      <c r="D237" s="445" t="s">
        <v>218</v>
      </c>
      <c r="E237" s="446" t="s">
        <v>1218</v>
      </c>
      <c r="F237" s="447" t="s">
        <v>3092</v>
      </c>
      <c r="G237" s="448" t="s">
        <v>112</v>
      </c>
      <c r="H237" s="449">
        <f>H240+H241+Ponuka!Q117</f>
        <v>288.55799999999999</v>
      </c>
      <c r="I237" s="329">
        <v>0</v>
      </c>
      <c r="J237" s="450">
        <f>ROUND(I237*H237,2)</f>
        <v>0</v>
      </c>
      <c r="K237" s="451"/>
      <c r="L237" s="364"/>
      <c r="M237" s="452" t="s">
        <v>171</v>
      </c>
      <c r="N237" s="415" t="s">
        <v>185</v>
      </c>
      <c r="O237" s="453">
        <v>0.59799999999999998</v>
      </c>
      <c r="P237" s="453">
        <f>O237*H237</f>
        <v>172.55768399999999</v>
      </c>
      <c r="Q237" s="453">
        <v>0</v>
      </c>
      <c r="R237" s="453">
        <f>Q237*H237</f>
        <v>0</v>
      </c>
      <c r="S237" s="453">
        <v>0</v>
      </c>
      <c r="T237" s="454">
        <f>S237*H237</f>
        <v>0</v>
      </c>
      <c r="AR237" s="455" t="s">
        <v>110</v>
      </c>
      <c r="AT237" s="455" t="s">
        <v>218</v>
      </c>
      <c r="AU237" s="455" t="s">
        <v>108</v>
      </c>
      <c r="AY237" s="357" t="s">
        <v>217</v>
      </c>
      <c r="BE237" s="456">
        <f>IF(N237="základná",J237,0)</f>
        <v>0</v>
      </c>
      <c r="BF237" s="456">
        <f>IF(N237="znížená",J237,0)</f>
        <v>0</v>
      </c>
      <c r="BG237" s="456">
        <f>IF(N237="zákl. prenesená",J237,0)</f>
        <v>0</v>
      </c>
      <c r="BH237" s="456">
        <f>IF(N237="zníž. prenesená",J237,0)</f>
        <v>0</v>
      </c>
      <c r="BI237" s="456">
        <f>IF(N237="nulová",J237,0)</f>
        <v>0</v>
      </c>
      <c r="BJ237" s="357" t="s">
        <v>108</v>
      </c>
      <c r="BK237" s="456">
        <f>ROUND(I237*H237,2)</f>
        <v>0</v>
      </c>
      <c r="BL237" s="357" t="s">
        <v>110</v>
      </c>
      <c r="BM237" s="455" t="s">
        <v>1219</v>
      </c>
    </row>
    <row r="238" spans="2:65" s="365" customFormat="1" ht="24.2" customHeight="1" x14ac:dyDescent="0.25">
      <c r="B238" s="364"/>
      <c r="C238" s="445" t="s">
        <v>1220</v>
      </c>
      <c r="D238" s="445" t="s">
        <v>218</v>
      </c>
      <c r="E238" s="446" t="s">
        <v>656</v>
      </c>
      <c r="F238" s="447" t="s">
        <v>1221</v>
      </c>
      <c r="G238" s="448" t="s">
        <v>112</v>
      </c>
      <c r="H238" s="449">
        <f>H237*22</f>
        <v>6348.2759999999998</v>
      </c>
      <c r="I238" s="329">
        <v>0</v>
      </c>
      <c r="J238" s="450">
        <f>ROUND(I238*H238,2)</f>
        <v>0</v>
      </c>
      <c r="K238" s="451"/>
      <c r="L238" s="364"/>
      <c r="M238" s="452" t="s">
        <v>171</v>
      </c>
      <c r="N238" s="415" t="s">
        <v>185</v>
      </c>
      <c r="O238" s="453">
        <v>7.0000000000000001E-3</v>
      </c>
      <c r="P238" s="453">
        <f>O238*H238</f>
        <v>44.437931999999996</v>
      </c>
      <c r="Q238" s="453">
        <v>0</v>
      </c>
      <c r="R238" s="453">
        <f>Q238*H238</f>
        <v>0</v>
      </c>
      <c r="S238" s="453">
        <v>0</v>
      </c>
      <c r="T238" s="454">
        <f>S238*H238</f>
        <v>0</v>
      </c>
      <c r="AR238" s="455" t="s">
        <v>110</v>
      </c>
      <c r="AT238" s="455" t="s">
        <v>218</v>
      </c>
      <c r="AU238" s="455" t="s">
        <v>108</v>
      </c>
      <c r="AY238" s="357" t="s">
        <v>217</v>
      </c>
      <c r="BE238" s="456">
        <f>IF(N238="základná",J238,0)</f>
        <v>0</v>
      </c>
      <c r="BF238" s="456">
        <f>IF(N238="znížená",J238,0)</f>
        <v>0</v>
      </c>
      <c r="BG238" s="456">
        <f>IF(N238="zákl. prenesená",J238,0)</f>
        <v>0</v>
      </c>
      <c r="BH238" s="456">
        <f>IF(N238="zníž. prenesená",J238,0)</f>
        <v>0</v>
      </c>
      <c r="BI238" s="456">
        <f>IF(N238="nulová",J238,0)</f>
        <v>0</v>
      </c>
      <c r="BJ238" s="357" t="s">
        <v>108</v>
      </c>
      <c r="BK238" s="456">
        <f>ROUND(I238*H238,2)</f>
        <v>0</v>
      </c>
      <c r="BL238" s="357" t="s">
        <v>110</v>
      </c>
      <c r="BM238" s="455" t="s">
        <v>1222</v>
      </c>
    </row>
    <row r="239" spans="2:65" s="365" customFormat="1" ht="24.2" customHeight="1" x14ac:dyDescent="0.25">
      <c r="B239" s="364"/>
      <c r="C239" s="445" t="s">
        <v>1223</v>
      </c>
      <c r="D239" s="445" t="s">
        <v>218</v>
      </c>
      <c r="E239" s="446" t="s">
        <v>665</v>
      </c>
      <c r="F239" s="447" t="s">
        <v>936</v>
      </c>
      <c r="G239" s="448" t="s">
        <v>112</v>
      </c>
      <c r="H239" s="449">
        <v>3350.433</v>
      </c>
      <c r="I239" s="329">
        <v>0</v>
      </c>
      <c r="J239" s="450">
        <f>ROUND(I239*H239,2)</f>
        <v>0</v>
      </c>
      <c r="K239" s="451"/>
      <c r="L239" s="364"/>
      <c r="M239" s="452" t="s">
        <v>171</v>
      </c>
      <c r="N239" s="415" t="s">
        <v>185</v>
      </c>
      <c r="O239" s="453">
        <v>0.04</v>
      </c>
      <c r="P239" s="453">
        <f>O239*H239</f>
        <v>134.01732000000001</v>
      </c>
      <c r="Q239" s="453">
        <v>0</v>
      </c>
      <c r="R239" s="453">
        <f>Q239*H239</f>
        <v>0</v>
      </c>
      <c r="S239" s="453">
        <v>0</v>
      </c>
      <c r="T239" s="454">
        <f>S239*H239</f>
        <v>0</v>
      </c>
      <c r="AR239" s="455" t="s">
        <v>110</v>
      </c>
      <c r="AT239" s="455" t="s">
        <v>218</v>
      </c>
      <c r="AU239" s="455" t="s">
        <v>108</v>
      </c>
      <c r="AY239" s="357" t="s">
        <v>217</v>
      </c>
      <c r="BE239" s="456">
        <f>IF(N239="základná",J239,0)</f>
        <v>0</v>
      </c>
      <c r="BF239" s="456">
        <f>IF(N239="znížená",J239,0)</f>
        <v>0</v>
      </c>
      <c r="BG239" s="456">
        <f>IF(N239="zákl. prenesená",J239,0)</f>
        <v>0</v>
      </c>
      <c r="BH239" s="456">
        <f>IF(N239="zníž. prenesená",J239,0)</f>
        <v>0</v>
      </c>
      <c r="BI239" s="456">
        <f>IF(N239="nulová",J239,0)</f>
        <v>0</v>
      </c>
      <c r="BJ239" s="357" t="s">
        <v>108</v>
      </c>
      <c r="BK239" s="456">
        <f>ROUND(I239*H239,2)</f>
        <v>0</v>
      </c>
      <c r="BL239" s="357" t="s">
        <v>110</v>
      </c>
      <c r="BM239" s="455" t="s">
        <v>937</v>
      </c>
    </row>
    <row r="240" spans="2:65" s="365" customFormat="1" ht="24.2" customHeight="1" x14ac:dyDescent="0.25">
      <c r="B240" s="364"/>
      <c r="C240" s="445" t="s">
        <v>1224</v>
      </c>
      <c r="D240" s="445" t="s">
        <v>218</v>
      </c>
      <c r="E240" s="446" t="s">
        <v>946</v>
      </c>
      <c r="F240" s="447" t="s">
        <v>3093</v>
      </c>
      <c r="G240" s="448" t="s">
        <v>112</v>
      </c>
      <c r="H240" s="449">
        <f>Ponuka!M117</f>
        <v>78.108000000000004</v>
      </c>
      <c r="I240" s="329">
        <v>0</v>
      </c>
      <c r="J240" s="450">
        <f>ROUND(I240*H240,2)</f>
        <v>0</v>
      </c>
      <c r="K240" s="451"/>
      <c r="L240" s="364"/>
      <c r="M240" s="452" t="s">
        <v>171</v>
      </c>
      <c r="N240" s="415" t="s">
        <v>185</v>
      </c>
      <c r="O240" s="453">
        <v>0</v>
      </c>
      <c r="P240" s="453">
        <f>O240*H240</f>
        <v>0</v>
      </c>
      <c r="Q240" s="453">
        <v>0</v>
      </c>
      <c r="R240" s="453">
        <f>Q240*H240</f>
        <v>0</v>
      </c>
      <c r="S240" s="453">
        <v>0</v>
      </c>
      <c r="T240" s="454">
        <f>S240*H240</f>
        <v>0</v>
      </c>
      <c r="AR240" s="455" t="s">
        <v>110</v>
      </c>
      <c r="AT240" s="455" t="s">
        <v>218</v>
      </c>
      <c r="AU240" s="455" t="s">
        <v>108</v>
      </c>
      <c r="AY240" s="357" t="s">
        <v>217</v>
      </c>
      <c r="BE240" s="456">
        <f>IF(N240="základná",J240,0)</f>
        <v>0</v>
      </c>
      <c r="BF240" s="456">
        <f>IF(N240="znížená",J240,0)</f>
        <v>0</v>
      </c>
      <c r="BG240" s="456">
        <f>IF(N240="zákl. prenesená",J240,0)</f>
        <v>0</v>
      </c>
      <c r="BH240" s="456">
        <f>IF(N240="zníž. prenesená",J240,0)</f>
        <v>0</v>
      </c>
      <c r="BI240" s="456">
        <f>IF(N240="nulová",J240,0)</f>
        <v>0</v>
      </c>
      <c r="BJ240" s="357" t="s">
        <v>108</v>
      </c>
      <c r="BK240" s="456">
        <f>ROUND(I240*H240,2)</f>
        <v>0</v>
      </c>
      <c r="BL240" s="357" t="s">
        <v>110</v>
      </c>
      <c r="BM240" s="455" t="s">
        <v>947</v>
      </c>
    </row>
    <row r="241" spans="2:65" s="365" customFormat="1" ht="24.2" customHeight="1" x14ac:dyDescent="0.25">
      <c r="B241" s="364"/>
      <c r="C241" s="445" t="s">
        <v>1225</v>
      </c>
      <c r="D241" s="445" t="s">
        <v>218</v>
      </c>
      <c r="E241" s="446" t="s">
        <v>949</v>
      </c>
      <c r="F241" s="447" t="s">
        <v>3094</v>
      </c>
      <c r="G241" s="448" t="s">
        <v>112</v>
      </c>
      <c r="H241" s="449">
        <f>Ponuka!O117</f>
        <v>148.5</v>
      </c>
      <c r="I241" s="329">
        <v>0</v>
      </c>
      <c r="J241" s="450">
        <f>ROUND(I241*H241,2)</f>
        <v>0</v>
      </c>
      <c r="K241" s="451"/>
      <c r="L241" s="364"/>
      <c r="M241" s="468" t="s">
        <v>171</v>
      </c>
      <c r="N241" s="469" t="s">
        <v>185</v>
      </c>
      <c r="O241" s="470">
        <v>0</v>
      </c>
      <c r="P241" s="470">
        <f>O241*H241</f>
        <v>0</v>
      </c>
      <c r="Q241" s="470">
        <v>0</v>
      </c>
      <c r="R241" s="470">
        <f>Q241*H241</f>
        <v>0</v>
      </c>
      <c r="S241" s="470">
        <v>0</v>
      </c>
      <c r="T241" s="471">
        <f>S241*H241</f>
        <v>0</v>
      </c>
      <c r="AR241" s="455" t="s">
        <v>110</v>
      </c>
      <c r="AT241" s="455" t="s">
        <v>218</v>
      </c>
      <c r="AU241" s="455" t="s">
        <v>108</v>
      </c>
      <c r="AY241" s="357" t="s">
        <v>217</v>
      </c>
      <c r="BE241" s="456">
        <f>IF(N241="základná",J241,0)</f>
        <v>0</v>
      </c>
      <c r="BF241" s="456">
        <f>IF(N241="znížená",J241,0)</f>
        <v>0</v>
      </c>
      <c r="BG241" s="456">
        <f>IF(N241="zákl. prenesená",J241,0)</f>
        <v>0</v>
      </c>
      <c r="BH241" s="456">
        <f>IF(N241="zníž. prenesená",J241,0)</f>
        <v>0</v>
      </c>
      <c r="BI241" s="456">
        <f>IF(N241="nulová",J241,0)</f>
        <v>0</v>
      </c>
      <c r="BJ241" s="357" t="s">
        <v>108</v>
      </c>
      <c r="BK241" s="456">
        <f>ROUND(I241*H241,2)</f>
        <v>0</v>
      </c>
      <c r="BL241" s="357" t="s">
        <v>110</v>
      </c>
      <c r="BM241" s="455" t="s">
        <v>950</v>
      </c>
    </row>
    <row r="242" spans="2:65" s="365" customFormat="1" ht="6.95" customHeight="1" x14ac:dyDescent="0.25">
      <c r="B242" s="397"/>
      <c r="C242" s="398"/>
      <c r="D242" s="398"/>
      <c r="E242" s="398"/>
      <c r="F242" s="398"/>
      <c r="G242" s="398"/>
      <c r="H242" s="398"/>
      <c r="I242" s="398"/>
      <c r="J242" s="398"/>
      <c r="K242" s="398"/>
      <c r="L242" s="364"/>
    </row>
  </sheetData>
  <sheetProtection algorithmName="SHA-512" hashValue="Pp83jp/QmHTEMKnJsVE+RJyh5EVW6PtzItlxZyoTwOihgZw6e6NDytkifCaUFvH6gcXWJvzCQjjdV2AtZp6+5Q==" saltValue="55PNTD9L8cyuNapUsK9VkA==" spinCount="100000" sheet="1" objects="1" scenarios="1"/>
  <autoFilter ref="C126:K241" xr:uid="{00000000-0009-0000-0000-000004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141146-37c4-4738-9ce2-1101c6374827">
      <Terms xmlns="http://schemas.microsoft.com/office/infopath/2007/PartnerControls"/>
    </lcf76f155ced4ddcb4097134ff3c332f>
    <TaxCatchAll xmlns="0195cbbb-6143-479c-95c6-78c6b6a5b0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5B940570E12A47BE63BAEC8C02F83D" ma:contentTypeVersion="11" ma:contentTypeDescription="Create a new document." ma:contentTypeScope="" ma:versionID="52fec395c14673c31ad69445fd7bba75">
  <xsd:schema xmlns:xsd="http://www.w3.org/2001/XMLSchema" xmlns:xs="http://www.w3.org/2001/XMLSchema" xmlns:p="http://schemas.microsoft.com/office/2006/metadata/properties" xmlns:ns2="5d141146-37c4-4738-9ce2-1101c6374827" xmlns:ns3="0195cbbb-6143-479c-95c6-78c6b6a5b08e" targetNamespace="http://schemas.microsoft.com/office/2006/metadata/properties" ma:root="true" ma:fieldsID="ed6f608d626d2ebf9d36b8af8f5659fd" ns2:_="" ns3:_="">
    <xsd:import namespace="5d141146-37c4-4738-9ce2-1101c6374827"/>
    <xsd:import namespace="0195cbbb-6143-479c-95c6-78c6b6a5b0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41146-37c4-4738-9ce2-1101c6374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95cbbb-6143-479c-95c6-78c6b6a5b0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56d810d-14ed-4c02-81f3-b6a3dc0a667c}" ma:internalName="TaxCatchAll" ma:showField="CatchAllData" ma:web="0195cbbb-6143-479c-95c6-78c6b6a5b0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3BD455-CE9E-4AB2-8BBB-ED95591DBF91}">
  <ds:schemaRefs>
    <ds:schemaRef ds:uri="http://purl.org/dc/dcmitype/"/>
    <ds:schemaRef ds:uri="http://purl.org/dc/elements/1.1/"/>
    <ds:schemaRef ds:uri="http://schemas.openxmlformats.org/package/2006/metadata/core-properties"/>
    <ds:schemaRef ds:uri="http://www.w3.org/XML/1998/namespace"/>
    <ds:schemaRef ds:uri="0195cbbb-6143-479c-95c6-78c6b6a5b08e"/>
    <ds:schemaRef ds:uri="http://purl.org/dc/terms/"/>
    <ds:schemaRef ds:uri="http://schemas.microsoft.com/office/2006/documentManagement/types"/>
    <ds:schemaRef ds:uri="http://schemas.microsoft.com/office/2006/metadata/properties"/>
    <ds:schemaRef ds:uri="http://schemas.microsoft.com/office/infopath/2007/PartnerControls"/>
    <ds:schemaRef ds:uri="5d141146-37c4-4738-9ce2-1101c6374827"/>
  </ds:schemaRefs>
</ds:datastoreItem>
</file>

<file path=customXml/itemProps2.xml><?xml version="1.0" encoding="utf-8"?>
<ds:datastoreItem xmlns:ds="http://schemas.openxmlformats.org/officeDocument/2006/customXml" ds:itemID="{EDC4CB48-9111-4F6D-A74A-11533C629498}">
  <ds:schemaRefs>
    <ds:schemaRef ds:uri="http://schemas.microsoft.com/sharepoint/v3/contenttype/forms"/>
  </ds:schemaRefs>
</ds:datastoreItem>
</file>

<file path=customXml/itemProps3.xml><?xml version="1.0" encoding="utf-8"?>
<ds:datastoreItem xmlns:ds="http://schemas.openxmlformats.org/officeDocument/2006/customXml" ds:itemID="{274C88E2-BA48-4DCB-A703-49992BA41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41146-37c4-4738-9ce2-1101c6374827"/>
    <ds:schemaRef ds:uri="0195cbbb-6143-479c-95c6-78c6b6a5b0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70</vt:i4>
      </vt:variant>
    </vt:vector>
  </HeadingPairs>
  <TitlesOfParts>
    <vt:vector size="108" baseType="lpstr">
      <vt:lpstr>Zákl. nastavenie</vt:lpstr>
      <vt:lpstr>Ponuka</vt:lpstr>
      <vt:lpstr>Osobné postavenie</vt:lpstr>
      <vt:lpstr>Koneční užívatelia výhod</vt:lpstr>
      <vt:lpstr>Medzinárodné sankcie</vt:lpstr>
      <vt:lpstr>Rekapitulácia stavby ÚSEK A-D</vt:lpstr>
      <vt:lpstr>100.1 - SO 101.1 Úprava k...</vt:lpstr>
      <vt:lpstr>100.2 - SO 101.2 Úprava k...</vt:lpstr>
      <vt:lpstr>100.3 - SO 101.3 Úprava k...</vt:lpstr>
      <vt:lpstr>100.4 - SO 101.4 Úprava k...</vt:lpstr>
      <vt:lpstr>021 - VRN - úsek A</vt:lpstr>
      <vt:lpstr>024 - VRN - úsek B</vt:lpstr>
      <vt:lpstr>025 - VRN - úsek C</vt:lpstr>
      <vt:lpstr>022 - VRN - úsek D</vt:lpstr>
      <vt:lpstr>102.1 - SO 102.1 OM - úsek A</vt:lpstr>
      <vt:lpstr>102.4 - SO 102.4 OM - úsek D</vt:lpstr>
      <vt:lpstr>103.1 - SO 103.1 Predlzen...</vt:lpstr>
      <vt:lpstr>104.1 - SO 104.1 Oploteni...</vt:lpstr>
      <vt:lpstr>104.2 - SO 104.2 Oploteni...</vt:lpstr>
      <vt:lpstr>105.2 - SO 105.2 Posuvna ...</vt:lpstr>
      <vt:lpstr>105.3 - SO 105.3 Posuvna ...</vt:lpstr>
      <vt:lpstr>106.2 - SO 106.2 Vjazdova...</vt:lpstr>
      <vt:lpstr>2505 - SO 401  Preložka t...</vt:lpstr>
      <vt:lpstr>2506 - SO 402  Preložka t...</vt:lpstr>
      <vt:lpstr>300 - SO 300</vt:lpstr>
      <vt:lpstr>301 - SO 301</vt:lpstr>
      <vt:lpstr>302 - SO 302</vt:lpstr>
      <vt:lpstr>SO 200.A - Verejné osvetl...</vt:lpstr>
      <vt:lpstr>SO 200.B - Verejné osvetl...</vt:lpstr>
      <vt:lpstr>SO 200.C - Verejné osvetl...</vt:lpstr>
      <vt:lpstr>SO 200.D - Verejné osvetl...</vt:lpstr>
      <vt:lpstr>Rekapitulácia stavby - ÚSEK F </vt:lpstr>
      <vt:lpstr>100.5 - SO 101.5 Úprava k...</vt:lpstr>
      <vt:lpstr>023 - VRN - úsek F</vt:lpstr>
      <vt:lpstr>102.5 - SO 102.5 OM - úsek F</vt:lpstr>
      <vt:lpstr>200-SO 200.F - Verejné os...</vt:lpstr>
      <vt:lpstr>401-F - SO 401  Preložka ...</vt:lpstr>
      <vt:lpstr>402-F - SO 402  Preložka ...</vt:lpstr>
      <vt:lpstr>'021 - VRN - úsek A'!Názvy_tlače</vt:lpstr>
      <vt:lpstr>'022 - VRN - úsek D'!Názvy_tlače</vt:lpstr>
      <vt:lpstr>'023 - VRN - úsek F'!Názvy_tlače</vt:lpstr>
      <vt:lpstr>'024 - VRN - úsek B'!Názvy_tlače</vt:lpstr>
      <vt:lpstr>'025 - VRN - úsek C'!Názvy_tlače</vt:lpstr>
      <vt:lpstr>'100.1 - SO 101.1 Úprava k...'!Názvy_tlače</vt:lpstr>
      <vt:lpstr>'100.2 - SO 101.2 Úprava k...'!Názvy_tlače</vt:lpstr>
      <vt:lpstr>'100.3 - SO 101.3 Úprava k...'!Názvy_tlače</vt:lpstr>
      <vt:lpstr>'100.4 - SO 101.4 Úprava k...'!Názvy_tlače</vt:lpstr>
      <vt:lpstr>'100.5 - SO 101.5 Úprava k...'!Názvy_tlače</vt:lpstr>
      <vt:lpstr>'102.1 - SO 102.1 OM - úsek A'!Názvy_tlače</vt:lpstr>
      <vt:lpstr>'102.4 - SO 102.4 OM - úsek D'!Názvy_tlače</vt:lpstr>
      <vt:lpstr>'102.5 - SO 102.5 OM - úsek F'!Názvy_tlače</vt:lpstr>
      <vt:lpstr>'103.1 - SO 103.1 Predlzen...'!Názvy_tlače</vt:lpstr>
      <vt:lpstr>'104.1 - SO 104.1 Oploteni...'!Názvy_tlače</vt:lpstr>
      <vt:lpstr>'104.2 - SO 104.2 Oploteni...'!Názvy_tlače</vt:lpstr>
      <vt:lpstr>'105.2 - SO 105.2 Posuvna ...'!Názvy_tlače</vt:lpstr>
      <vt:lpstr>'105.3 - SO 105.3 Posuvna ...'!Názvy_tlače</vt:lpstr>
      <vt:lpstr>'106.2 - SO 106.2 Vjazdova...'!Názvy_tlače</vt:lpstr>
      <vt:lpstr>'200-SO 200.F - Verejné os...'!Názvy_tlače</vt:lpstr>
      <vt:lpstr>'2505 - SO 401  Preložka t...'!Názvy_tlače</vt:lpstr>
      <vt:lpstr>'2506 - SO 402  Preložka t...'!Názvy_tlače</vt:lpstr>
      <vt:lpstr>'300 - SO 300'!Názvy_tlače</vt:lpstr>
      <vt:lpstr>'301 - SO 301'!Názvy_tlače</vt:lpstr>
      <vt:lpstr>'302 - SO 302'!Názvy_tlače</vt:lpstr>
      <vt:lpstr>'401-F - SO 401  Preložka ...'!Názvy_tlače</vt:lpstr>
      <vt:lpstr>'402-F - SO 402  Preložka ...'!Názvy_tlače</vt:lpstr>
      <vt:lpstr>'Rekapitulácia stavby - ÚSEK F '!Názvy_tlače</vt:lpstr>
      <vt:lpstr>'Rekapitulácia stavby ÚSEK A-D'!Názvy_tlače</vt:lpstr>
      <vt:lpstr>'SO 200.A - Verejné osvetl...'!Názvy_tlače</vt:lpstr>
      <vt:lpstr>'SO 200.B - Verejné osvetl...'!Názvy_tlače</vt:lpstr>
      <vt:lpstr>'SO 200.C - Verejné osvetl...'!Názvy_tlače</vt:lpstr>
      <vt:lpstr>'SO 200.D - Verejné osvetl...'!Názvy_tlače</vt:lpstr>
      <vt:lpstr>'021 - VRN - úsek A'!Oblasť_tlače</vt:lpstr>
      <vt:lpstr>'022 - VRN - úsek D'!Oblasť_tlače</vt:lpstr>
      <vt:lpstr>'023 - VRN - úsek F'!Oblasť_tlače</vt:lpstr>
      <vt:lpstr>'024 - VRN - úsek B'!Oblasť_tlače</vt:lpstr>
      <vt:lpstr>'025 - VRN - úsek C'!Oblasť_tlače</vt:lpstr>
      <vt:lpstr>'100.1 - SO 101.1 Úprava k...'!Oblasť_tlače</vt:lpstr>
      <vt:lpstr>'100.2 - SO 101.2 Úprava k...'!Oblasť_tlače</vt:lpstr>
      <vt:lpstr>'100.3 - SO 101.3 Úprava k...'!Oblasť_tlače</vt:lpstr>
      <vt:lpstr>'100.4 - SO 101.4 Úprava k...'!Oblasť_tlače</vt:lpstr>
      <vt:lpstr>'100.5 - SO 101.5 Úprava k...'!Oblasť_tlače</vt:lpstr>
      <vt:lpstr>'102.1 - SO 102.1 OM - úsek A'!Oblasť_tlače</vt:lpstr>
      <vt:lpstr>'102.4 - SO 102.4 OM - úsek D'!Oblasť_tlače</vt:lpstr>
      <vt:lpstr>'102.5 - SO 102.5 OM - úsek F'!Oblasť_tlače</vt:lpstr>
      <vt:lpstr>'103.1 - SO 103.1 Predlzen...'!Oblasť_tlače</vt:lpstr>
      <vt:lpstr>'104.1 - SO 104.1 Oploteni...'!Oblasť_tlače</vt:lpstr>
      <vt:lpstr>'104.2 - SO 104.2 Oploteni...'!Oblasť_tlače</vt:lpstr>
      <vt:lpstr>'105.2 - SO 105.2 Posuvna ...'!Oblasť_tlače</vt:lpstr>
      <vt:lpstr>'105.3 - SO 105.3 Posuvna ...'!Oblasť_tlače</vt:lpstr>
      <vt:lpstr>'106.2 - SO 106.2 Vjazdova...'!Oblasť_tlače</vt:lpstr>
      <vt:lpstr>'200-SO 200.F - Verejné os...'!Oblasť_tlače</vt:lpstr>
      <vt:lpstr>'2505 - SO 401  Preložka t...'!Oblasť_tlače</vt:lpstr>
      <vt:lpstr>'2506 - SO 402  Preložka t...'!Oblasť_tlače</vt:lpstr>
      <vt:lpstr>'300 - SO 300'!Oblasť_tlače</vt:lpstr>
      <vt:lpstr>'301 - SO 301'!Oblasť_tlače</vt:lpstr>
      <vt:lpstr>'302 - SO 302'!Oblasť_tlače</vt:lpstr>
      <vt:lpstr>'401-F - SO 401  Preložka ...'!Oblasť_tlače</vt:lpstr>
      <vt:lpstr>'402-F - SO 402  Preložka ...'!Oblasť_tlače</vt:lpstr>
      <vt:lpstr>'Koneční užívatelia výhod'!Oblasť_tlače</vt:lpstr>
      <vt:lpstr>'Medzinárodné sankcie'!Oblasť_tlače</vt:lpstr>
      <vt:lpstr>'Osobné postavenie'!Oblasť_tlače</vt:lpstr>
      <vt:lpstr>Ponuka!Oblasť_tlače</vt:lpstr>
      <vt:lpstr>'Rekapitulácia stavby - ÚSEK F '!Oblasť_tlače</vt:lpstr>
      <vt:lpstr>'Rekapitulácia stavby ÚSEK A-D'!Oblasť_tlače</vt:lpstr>
      <vt:lpstr>'SO 200.A - Verejné osvetl...'!Oblasť_tlače</vt:lpstr>
      <vt:lpstr>'SO 200.B - Verejné osvetl...'!Oblasť_tlače</vt:lpstr>
      <vt:lpstr>'SO 200.C - Verejné osvetl...'!Oblasť_tlače</vt:lpstr>
      <vt:lpstr>'SO 200.D - Verejné osvetl...'!Oblasť_tlače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01_Ponuka a vykaz vymer</dc:title>
  <dc:subject/>
  <dc:creator>Horváth Jakub, Mgr.</dc:creator>
  <cp:keywords/>
  <dc:description/>
  <cp:lastModifiedBy>Horváth Jakub, Mgr.</cp:lastModifiedBy>
  <cp:revision/>
  <dcterms:created xsi:type="dcterms:W3CDTF">2022-09-22T09:41:16Z</dcterms:created>
  <dcterms:modified xsi:type="dcterms:W3CDTF">2025-09-30T10:01:23Z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0x010100875B940570E12A47BE63BAEC8C02F83D</vt:lpwstr>
  </property>
  <property fmtid="{D5CDD505-2E9C-101B-9397-08002B2CF9AE}" pid="3" name="MediaServiceImageTags">
    <vt:lpwstr/>
  </property>
</Properties>
</file>