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NDS\4000\40300\__DOVICIC\23_Výmena_ložísk_D1-329_332_SO-206\13_DMS\Pripomienky\pred II.kolom DMS\II. kolo DMS\"/>
    </mc:Choice>
  </mc:AlternateContent>
  <bookViews>
    <workbookView xWindow="-90" yWindow="-90" windowWidth="28995" windowHeight="15795"/>
  </bookViews>
  <sheets>
    <sheet name="2.časť_B.2_Rekapitulácia stavby" sheetId="2" r:id="rId1"/>
    <sheet name="2.časť_B.2_Súpis prác_SO-206" sheetId="3" r:id="rId2"/>
    <sheet name="2.časť_B.2_Časti stavby_SO-206" sheetId="4" r:id="rId3"/>
    <sheet name="2.časť_B.2_Podrobný VV_SO-206" sheetId="8" r:id="rId4"/>
    <sheet name="A.2_Návrh na pl kritéria_2.časť" sheetId="9" r:id="rId5"/>
  </sheets>
  <definedNames>
    <definedName name="_xlnm._FilterDatabase" localSheetId="2" hidden="1">'2.časť_B.2_Časti stavby_SO-206'!$C$6:$C$138</definedName>
    <definedName name="_xlnm._FilterDatabase" localSheetId="3" hidden="1">'2.časť_B.2_Podrobný VV_SO-206'!$C$6:$C$308</definedName>
    <definedName name="_xlnm.Print_Area" localSheetId="4">'A.2_Návrh na pl kritéria_2.časť'!$A$3:$E$33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J9" i="3"/>
  <c r="J10" i="3"/>
  <c r="J11" i="3"/>
  <c r="K11" i="3" s="1"/>
  <c r="J12" i="3"/>
  <c r="J13" i="3"/>
  <c r="J14" i="3"/>
  <c r="J15" i="3"/>
  <c r="J16" i="3"/>
  <c r="K16" i="3" s="1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K29" i="3" s="1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7" i="3"/>
  <c r="H52" i="4" l="1"/>
  <c r="I52" i="4" s="1"/>
  <c r="K31" i="3"/>
  <c r="G207" i="8"/>
  <c r="G148" i="8" l="1"/>
  <c r="H11" i="4" l="1"/>
  <c r="H12" i="4"/>
  <c r="I12" i="4" s="1"/>
  <c r="H42" i="4" l="1"/>
  <c r="H43" i="4"/>
  <c r="H41" i="4"/>
  <c r="H40" i="4"/>
  <c r="H39" i="4"/>
  <c r="H38" i="4"/>
  <c r="H37" i="4"/>
  <c r="I37" i="4" s="1"/>
  <c r="H26" i="4"/>
  <c r="I26" i="4" s="1"/>
  <c r="H27" i="4"/>
  <c r="I27" i="4" s="1"/>
  <c r="H25" i="4"/>
  <c r="I25" i="4" s="1"/>
  <c r="H24" i="4"/>
  <c r="I24" i="4" s="1"/>
  <c r="H24" i="3"/>
  <c r="H15" i="4"/>
  <c r="H14" i="4"/>
  <c r="H57" i="4" l="1"/>
  <c r="I57" i="4" s="1"/>
  <c r="H56" i="4"/>
  <c r="I56" i="4" s="1"/>
  <c r="H55" i="4"/>
  <c r="I55" i="4" s="1"/>
  <c r="H54" i="4"/>
  <c r="I54" i="4" s="1"/>
  <c r="H53" i="4"/>
  <c r="I53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I43" i="4"/>
  <c r="I42" i="4"/>
  <c r="I41" i="4"/>
  <c r="I40" i="4"/>
  <c r="I39" i="4"/>
  <c r="I38" i="4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3" i="4"/>
  <c r="H22" i="4"/>
  <c r="H21" i="4"/>
  <c r="H20" i="4"/>
  <c r="H19" i="4"/>
  <c r="H18" i="4"/>
  <c r="H17" i="4"/>
  <c r="H16" i="4"/>
  <c r="H8" i="4"/>
  <c r="H9" i="4"/>
  <c r="H10" i="4"/>
  <c r="H7" i="4"/>
  <c r="I58" i="4" l="1"/>
  <c r="K48" i="3"/>
  <c r="K54" i="3" l="1"/>
  <c r="K13" i="3"/>
  <c r="K14" i="3"/>
  <c r="K15" i="3"/>
  <c r="K17" i="3"/>
  <c r="K18" i="3"/>
  <c r="K19" i="3"/>
  <c r="K20" i="3"/>
  <c r="K21" i="3"/>
  <c r="K22" i="3"/>
  <c r="K23" i="3"/>
  <c r="K24" i="3"/>
  <c r="K25" i="3"/>
  <c r="K26" i="3"/>
  <c r="K27" i="3"/>
  <c r="K28" i="3"/>
  <c r="K30" i="3"/>
  <c r="K32" i="3"/>
  <c r="K33" i="3"/>
  <c r="K34" i="3"/>
  <c r="K35" i="3"/>
  <c r="K37" i="3"/>
  <c r="K38" i="3"/>
  <c r="K39" i="3"/>
  <c r="K40" i="3"/>
  <c r="K41" i="3"/>
  <c r="K42" i="3"/>
  <c r="K43" i="3"/>
  <c r="K44" i="3"/>
  <c r="K45" i="3"/>
  <c r="K46" i="3"/>
  <c r="K47" i="3"/>
  <c r="K49" i="3"/>
  <c r="K50" i="3"/>
  <c r="K51" i="3"/>
  <c r="K52" i="3"/>
  <c r="K53" i="3"/>
  <c r="G227" i="8" l="1"/>
  <c r="G228" i="8" s="1"/>
  <c r="I226" i="8" s="1"/>
  <c r="G223" i="8"/>
  <c r="G224" i="8" s="1"/>
  <c r="I222" i="8" s="1"/>
  <c r="I221" i="8" s="1"/>
  <c r="G218" i="8"/>
  <c r="G219" i="8" s="1"/>
  <c r="I217" i="8" s="1"/>
  <c r="G214" i="8"/>
  <c r="G215" i="8" s="1"/>
  <c r="I213" i="8" s="1"/>
  <c r="I212" i="8" s="1"/>
  <c r="G210" i="8"/>
  <c r="G211" i="8" s="1"/>
  <c r="I209" i="8" s="1"/>
  <c r="I204" i="8"/>
  <c r="I203" i="8" s="1"/>
  <c r="G200" i="8"/>
  <c r="I198" i="8" s="1"/>
  <c r="G196" i="8"/>
  <c r="I194" i="8" s="1"/>
  <c r="G190" i="8"/>
  <c r="G191" i="8" s="1"/>
  <c r="I189" i="8" s="1"/>
  <c r="G186" i="8"/>
  <c r="G185" i="8"/>
  <c r="G184" i="8"/>
  <c r="G180" i="8"/>
  <c r="G181" i="8" s="1"/>
  <c r="I179" i="8" s="1"/>
  <c r="B179" i="8"/>
  <c r="G175" i="8"/>
  <c r="G176" i="8" s="1"/>
  <c r="I174" i="8" s="1"/>
  <c r="I173" i="8" s="1"/>
  <c r="G168" i="8"/>
  <c r="G169" i="8" s="1"/>
  <c r="I167" i="8" s="1"/>
  <c r="G164" i="8"/>
  <c r="G165" i="8" s="1"/>
  <c r="I163" i="8" s="1"/>
  <c r="I162" i="8" s="1"/>
  <c r="G159" i="8"/>
  <c r="G160" i="8" s="1"/>
  <c r="I158" i="8" s="1"/>
  <c r="G155" i="8"/>
  <c r="G156" i="8" s="1"/>
  <c r="I154" i="8" s="1"/>
  <c r="I153" i="8" s="1"/>
  <c r="G151" i="8"/>
  <c r="G152" i="8" s="1"/>
  <c r="I150" i="8" s="1"/>
  <c r="G147" i="8"/>
  <c r="G143" i="8"/>
  <c r="G144" i="8" s="1"/>
  <c r="I142" i="8" s="1"/>
  <c r="G139" i="8"/>
  <c r="G140" i="8" s="1"/>
  <c r="I138" i="8" s="1"/>
  <c r="I137" i="8" s="1"/>
  <c r="G135" i="8"/>
  <c r="G134" i="8"/>
  <c r="G133" i="8"/>
  <c r="G129" i="8"/>
  <c r="G130" i="8" s="1"/>
  <c r="I128" i="8" s="1"/>
  <c r="G125" i="8"/>
  <c r="G126" i="8" s="1"/>
  <c r="I124" i="8" s="1"/>
  <c r="G121" i="8"/>
  <c r="G122" i="8" s="1"/>
  <c r="I120" i="8" s="1"/>
  <c r="G117" i="8"/>
  <c r="G118" i="8" s="1"/>
  <c r="I116" i="8" s="1"/>
  <c r="G113" i="8"/>
  <c r="G114" i="8" s="1"/>
  <c r="I112" i="8" s="1"/>
  <c r="G109" i="8"/>
  <c r="G110" i="8" s="1"/>
  <c r="I108" i="8" s="1"/>
  <c r="G105" i="8"/>
  <c r="G106" i="8" s="1"/>
  <c r="I104" i="8" s="1"/>
  <c r="G100" i="8"/>
  <c r="G101" i="8" s="1"/>
  <c r="I99" i="8" s="1"/>
  <c r="G95" i="8"/>
  <c r="G96" i="8" s="1"/>
  <c r="I94" i="8" s="1"/>
  <c r="G92" i="8"/>
  <c r="I90" i="8" s="1"/>
  <c r="I89" i="8" s="1"/>
  <c r="G86" i="8"/>
  <c r="G87" i="8" s="1"/>
  <c r="I85" i="8" s="1"/>
  <c r="G82" i="8"/>
  <c r="G83" i="8" s="1"/>
  <c r="I81" i="8" s="1"/>
  <c r="G78" i="8"/>
  <c r="G79" i="8" s="1"/>
  <c r="I77" i="8" s="1"/>
  <c r="G74" i="8"/>
  <c r="G75" i="8" s="1"/>
  <c r="I73" i="8" s="1"/>
  <c r="G69" i="8"/>
  <c r="G68" i="8"/>
  <c r="G64" i="8"/>
  <c r="G63" i="8"/>
  <c r="G62" i="8"/>
  <c r="G61" i="8"/>
  <c r="G60" i="8"/>
  <c r="G56" i="8"/>
  <c r="G57" i="8" s="1"/>
  <c r="I55" i="8" s="1"/>
  <c r="G52" i="8"/>
  <c r="G53" i="8" s="1"/>
  <c r="I50" i="8"/>
  <c r="G48" i="8"/>
  <c r="G49" i="8" s="1"/>
  <c r="I47" i="8" s="1"/>
  <c r="G44" i="8"/>
  <c r="G45" i="8" s="1"/>
  <c r="I43" i="8" s="1"/>
  <c r="G40" i="8"/>
  <c r="G41" i="8" s="1"/>
  <c r="I39" i="8" s="1"/>
  <c r="B39" i="8"/>
  <c r="B43" i="8" s="1"/>
  <c r="G36" i="8"/>
  <c r="G37" i="8" s="1"/>
  <c r="I35" i="8" s="1"/>
  <c r="G17" i="8"/>
  <c r="I14" i="8" s="1"/>
  <c r="I13" i="8" s="1"/>
  <c r="B14" i="8"/>
  <c r="G11" i="8" l="1"/>
  <c r="G136" i="8"/>
  <c r="I132" i="8" s="1"/>
  <c r="G70" i="8"/>
  <c r="I67" i="8" s="1"/>
  <c r="I66" i="8" s="1"/>
  <c r="G65" i="8"/>
  <c r="I59" i="8" s="1"/>
  <c r="I58" i="8" s="1"/>
  <c r="G187" i="8"/>
  <c r="I183" i="8" s="1"/>
  <c r="I182" i="8" s="1"/>
  <c r="G149" i="8"/>
  <c r="I146" i="8" s="1"/>
  <c r="I145" i="8" s="1"/>
  <c r="G10" i="8"/>
  <c r="I93" i="8"/>
  <c r="I72" i="8"/>
  <c r="I208" i="8"/>
  <c r="I131" i="8"/>
  <c r="I111" i="8"/>
  <c r="I157" i="8"/>
  <c r="I54" i="8"/>
  <c r="I80" i="8"/>
  <c r="I84" i="8"/>
  <c r="I119" i="8"/>
  <c r="I127" i="8"/>
  <c r="I103" i="8"/>
  <c r="I107" i="8"/>
  <c r="I178" i="8"/>
  <c r="I115" i="8"/>
  <c r="I34" i="8"/>
  <c r="I141" i="8"/>
  <c r="I188" i="8"/>
  <c r="I216" i="8"/>
  <c r="I76" i="8"/>
  <c r="I38" i="8"/>
  <c r="I193" i="8"/>
  <c r="I166" i="8"/>
  <c r="I197" i="8"/>
  <c r="I42" i="8"/>
  <c r="I46" i="8"/>
  <c r="I225" i="8"/>
  <c r="I98" i="8"/>
  <c r="I123" i="8"/>
  <c r="B47" i="8"/>
  <c r="B20" i="8"/>
  <c r="B23" i="8" s="1"/>
  <c r="B183" i="8"/>
  <c r="G12" i="8" l="1"/>
  <c r="I9" i="8" s="1"/>
  <c r="I8" i="8" s="1"/>
  <c r="B26" i="8"/>
  <c r="B29" i="8" s="1"/>
  <c r="B51" i="8"/>
  <c r="B189" i="8"/>
  <c r="B194" i="8" l="1"/>
  <c r="B198" i="8" s="1"/>
  <c r="B204" i="8" s="1"/>
  <c r="B55" i="8"/>
  <c r="B59" i="8" l="1"/>
  <c r="B67" i="8" s="1"/>
  <c r="B73" i="8" s="1"/>
  <c r="B209" i="8"/>
  <c r="B213" i="8" s="1"/>
  <c r="B77" i="8" l="1"/>
  <c r="B81" i="8" s="1"/>
  <c r="B217" i="8"/>
  <c r="B222" i="8" s="1"/>
  <c r="B85" i="8" l="1"/>
  <c r="B90" i="8" s="1"/>
  <c r="B226" i="8"/>
  <c r="B94" i="8" l="1"/>
  <c r="B99" i="8" l="1"/>
  <c r="B104" i="8" l="1"/>
  <c r="B108" i="8" s="1"/>
  <c r="B112" i="8" s="1"/>
  <c r="B116" i="8" s="1"/>
  <c r="B120" i="8" s="1"/>
  <c r="B124" i="8" s="1"/>
  <c r="B128" i="8" s="1"/>
  <c r="B132" i="8" s="1"/>
  <c r="B138" i="8" s="1"/>
  <c r="B142" i="8" s="1"/>
  <c r="B146" i="8" s="1"/>
  <c r="B150" i="8" s="1"/>
  <c r="B154" i="8" s="1"/>
  <c r="B158" i="8" s="1"/>
  <c r="B163" i="8" s="1"/>
  <c r="B167" i="8" s="1"/>
  <c r="E9" i="2" l="1"/>
  <c r="F9" i="2" l="1"/>
  <c r="G9" i="2" s="1"/>
  <c r="K12" i="3"/>
  <c r="K10" i="3"/>
  <c r="K9" i="3"/>
  <c r="K8" i="3"/>
  <c r="K7" i="3"/>
  <c r="I7" i="4" l="1"/>
  <c r="I8" i="4"/>
  <c r="I9" i="4"/>
  <c r="I10" i="4"/>
  <c r="I11" i="4"/>
  <c r="I13" i="4" l="1"/>
  <c r="E7" i="2" s="1"/>
  <c r="F7" i="2" l="1"/>
  <c r="G7" i="2" s="1"/>
  <c r="I14" i="4"/>
  <c r="G13" i="3"/>
  <c r="I15" i="4"/>
  <c r="I16" i="4" l="1"/>
  <c r="I17" i="4" l="1"/>
  <c r="I18" i="4" l="1"/>
  <c r="I19" i="4" l="1"/>
  <c r="I20" i="4" l="1"/>
  <c r="I21" i="4" l="1"/>
  <c r="I22" i="4" l="1"/>
  <c r="I23" i="4" l="1"/>
  <c r="I59" i="4" s="1"/>
  <c r="I44" i="4" l="1"/>
  <c r="E8" i="2" s="1"/>
  <c r="F8" i="2" l="1"/>
  <c r="G8" i="2" s="1"/>
  <c r="E10" i="2"/>
  <c r="C19" i="9" s="1"/>
  <c r="D19" i="9" s="1"/>
  <c r="E19" i="9" s="1"/>
  <c r="F10" i="2" l="1"/>
  <c r="G10" i="2"/>
</calcChain>
</file>

<file path=xl/sharedStrings.xml><?xml version="1.0" encoding="utf-8"?>
<sst xmlns="http://schemas.openxmlformats.org/spreadsheetml/2006/main" count="908" uniqueCount="334">
  <si>
    <t>Číslo časti stavby</t>
  </si>
  <si>
    <t>Klasifikácia stavieb</t>
  </si>
  <si>
    <t>Názov časti stavby</t>
  </si>
  <si>
    <t>Cena bez DPH</t>
  </si>
  <si>
    <t>Cena s DPH</t>
  </si>
  <si>
    <t xml:space="preserve">000    </t>
  </si>
  <si>
    <t xml:space="preserve">    </t>
  </si>
  <si>
    <t xml:space="preserve">Všeobecné položky v procese obstarávania stavieb    </t>
  </si>
  <si>
    <t>101-00</t>
  </si>
  <si>
    <t xml:space="preserve">Prejazd stredným deliacim pásom </t>
  </si>
  <si>
    <t>Celkový súčet</t>
  </si>
  <si>
    <t>Klasifikácia produkcie</t>
  </si>
  <si>
    <t>Čislo položky</t>
  </si>
  <si>
    <t>Názov položky</t>
  </si>
  <si>
    <t>M.j.</t>
  </si>
  <si>
    <t>Množstvo</t>
  </si>
  <si>
    <t>Jednotková cena</t>
  </si>
  <si>
    <t>Jedn. cena s DPH</t>
  </si>
  <si>
    <t>45.00.00 - Všeobecné položky v procese obstarávania stavieb</t>
  </si>
  <si>
    <t xml:space="preserve">45.00.00  </t>
  </si>
  <si>
    <t>00010401</t>
  </si>
  <si>
    <t>Zmluvné požiadavky poplatky za skládky vybúraných hmôt a sutí</t>
  </si>
  <si>
    <t>T</t>
  </si>
  <si>
    <t>00010402</t>
  </si>
  <si>
    <t>Zmluvné požiadavky poplatky za zemník</t>
  </si>
  <si>
    <t>M3</t>
  </si>
  <si>
    <t>00030331</t>
  </si>
  <si>
    <t>Geodetické práce, vykonávané po výstavbe, zameranie skutočného vyhotovenia stavby</t>
  </si>
  <si>
    <t>KPL</t>
  </si>
  <si>
    <t>00030332</t>
  </si>
  <si>
    <t>Geodetické práce, vykonávané po výstavbe, kontrolné merania zhotoveného objektu</t>
  </si>
  <si>
    <t>00040222</t>
  </si>
  <si>
    <t>Projektové práce, stavebná časť (stavebné objekty vrátane ich technického vybavenia), náklady na dokumentáciu skutočného zhotovenia stavby</t>
  </si>
  <si>
    <t>45.11.11 - Demolačné práce</t>
  </si>
  <si>
    <t xml:space="preserve">45.11.11  </t>
  </si>
  <si>
    <t>05010104</t>
  </si>
  <si>
    <t>Búranie konštrukcií základov, betónových</t>
  </si>
  <si>
    <t>05020904</t>
  </si>
  <si>
    <t>Vybúranie konštrukcií a demontáže, rôznych predmetov betónových</t>
  </si>
  <si>
    <t>KS</t>
  </si>
  <si>
    <t>05030161</t>
  </si>
  <si>
    <t>Odstránenie spevnených plôch vozoviek a doplňujúcich konštrukcií krytov cementobetónových</t>
  </si>
  <si>
    <t>M2</t>
  </si>
  <si>
    <t>05030261</t>
  </si>
  <si>
    <t>Odstránenie spevnených plôch vozoviek a doplňujúcich konštrukcií podkladov z betónu prostého</t>
  </si>
  <si>
    <t>05030264</t>
  </si>
  <si>
    <t>Odstránenie spevnených plôch vozoviek a doplňujúcich konštrukcií podkladov z kameniva hrubého drveného</t>
  </si>
  <si>
    <t>05030407</t>
  </si>
  <si>
    <t>Odstránenie spevnených plôch a vozoviek, zvodidiel, zábradlia,stien, oplotení kovových</t>
  </si>
  <si>
    <t>M</t>
  </si>
  <si>
    <t>05080200</t>
  </si>
  <si>
    <t>Doprava vybúraných hmôt vodorovná</t>
  </si>
  <si>
    <t>05090362</t>
  </si>
  <si>
    <t>Doplňujúce práce, frézovanie bitúmenového krytu, podkladu</t>
  </si>
  <si>
    <t>45.11.20 - Výkopové zemné práce a presun zemín</t>
  </si>
  <si>
    <t xml:space="preserve">45.11.20  </t>
  </si>
  <si>
    <t>01020200</t>
  </si>
  <si>
    <t>Odkopávky a prekopávky nezapažené</t>
  </si>
  <si>
    <t>01030102</t>
  </si>
  <si>
    <t>Hĺbené vykopávky jám nezapažených</t>
  </si>
  <si>
    <t>01060204</t>
  </si>
  <si>
    <t>Premiestnenie  vodorovné nad 3 000 m</t>
  </si>
  <si>
    <t>45.11.20</t>
  </si>
  <si>
    <t>01040402</t>
  </si>
  <si>
    <t>Konštrukcie z hornín - zásypy so zhutnením</t>
  </si>
  <si>
    <t xml:space="preserve">45.23.11 - Všeobecné práce na stavbe diaľkových potrubných vedení </t>
  </si>
  <si>
    <t>45.23.11</t>
  </si>
  <si>
    <t>27030421</t>
  </si>
  <si>
    <t>Kanalizácie, rúry plastové, PE,PP</t>
  </si>
  <si>
    <t>27030214</t>
  </si>
  <si>
    <t>Kanalizácie, ostatné konštrukcie, vpusty kanalizačné</t>
  </si>
  <si>
    <t>45.23.31 - Stavebné práce na výstavbe diaľnic a ciest chodníkov a nekrytých parkovísk</t>
  </si>
  <si>
    <t>45.23.31</t>
  </si>
  <si>
    <t>22250776</t>
  </si>
  <si>
    <t>Doplňujúce konštrukcie,  vodorovné dopravné značenie striekané a náterové</t>
  </si>
  <si>
    <t>45.23.32 - Práce na vrchnej stavbe diaľníc, ciest, ulíc, chodníkov a nekrytých parkovísk</t>
  </si>
  <si>
    <t xml:space="preserve">45.23.32  </t>
  </si>
  <si>
    <t>22020417</t>
  </si>
  <si>
    <t>Podkladné a krycie vrstvy s hydraulickým spojivom, cementobetónové jednovrstvové, beton prostý</t>
  </si>
  <si>
    <t>22030330</t>
  </si>
  <si>
    <t>Podkladné a krycie vrstvy z asfaltových zmesí, bitúmenové postreky, nátery,posypy spojovací postrek</t>
  </si>
  <si>
    <t>22030640</t>
  </si>
  <si>
    <t>Podkladné a krycie vrstvy z asfaltových zmesí, bitúmenové vrstvy, asfaltový betón</t>
  </si>
  <si>
    <t>22030641</t>
  </si>
  <si>
    <t>Podkladné a krycie vrstvy z asfaltových zmesí, bitúmenové vrstvy, asfaltový koberec mastixový</t>
  </si>
  <si>
    <t>45.23.32</t>
  </si>
  <si>
    <t>22030951</t>
  </si>
  <si>
    <t>Podkladné a krycie vrstvy z asfaltových zmesí úprava škár pri opravách, asfaltová zálievka</t>
  </si>
  <si>
    <t>Kryty dláždené,chodníkov komunikácií,rigolov - vyplnenie škár elastickou zálievkou</t>
  </si>
  <si>
    <t>22250363</t>
  </si>
  <si>
    <t>Doplňujúce konštrukcie, zvodidlá obojstranné oceľové</t>
  </si>
  <si>
    <t>22250980</t>
  </si>
  <si>
    <t>Doplňujúce konštrukcie,  obrubníky chodníkové</t>
  </si>
  <si>
    <t>22251083</t>
  </si>
  <si>
    <t>Doplňujúce konštrukcie,  dilatačné škáry rezané</t>
  </si>
  <si>
    <t>22251488</t>
  </si>
  <si>
    <t>Doplňujúce konštrukcie,  pri stavbe krytov komunikácií, oceľová výstuž</t>
  </si>
  <si>
    <t>22251661</t>
  </si>
  <si>
    <t>Doplňujúce konštrukcie, uzavreté žľabové systémy z betónu</t>
  </si>
  <si>
    <t>45.23.33 - Práce na spodnej stavby diaľnic, ciest, ulíc a chodníkov a nekrytých parkovísk</t>
  </si>
  <si>
    <t xml:space="preserve">45.23.33  </t>
  </si>
  <si>
    <t>22010104</t>
  </si>
  <si>
    <t>Podkladné a krycie vrstvy bez spojiva nestmelené, štrkodrva</t>
  </si>
  <si>
    <t>22020210</t>
  </si>
  <si>
    <t>Podkladné a krycie vrstvy s hydraulickým spojivom, stabilizované z miešacieho centra cementom</t>
  </si>
  <si>
    <t>Časť stavby</t>
  </si>
  <si>
    <t>000 - Všeobecné položky v procese obstarávania stavieb</t>
  </si>
  <si>
    <t>Celkom za 000 - Všeobecné položky v procese obstarávania stavieb</t>
  </si>
  <si>
    <t xml:space="preserve">SO 101 00 - Prejazd stredným deliacim pásom </t>
  </si>
  <si>
    <t>45.11.11</t>
  </si>
  <si>
    <t xml:space="preserve">Celkom za 101 00 Prejazd stredným deliacim pásom </t>
  </si>
  <si>
    <t>206-00</t>
  </si>
  <si>
    <t xml:space="preserve">Most ev. č. SO-206 nad cestou III/3427 pri obci Svinia </t>
  </si>
  <si>
    <t xml:space="preserve">206 00 Most ev. č. SO-206 nad cestou III/3427 pri obci Svinia </t>
  </si>
  <si>
    <t>05010505</t>
  </si>
  <si>
    <t>Búranie konštrukcií podláh, podkladov, dlažieb železobetónových</t>
  </si>
  <si>
    <t>05090405</t>
  </si>
  <si>
    <t>Doplňujúce práce, diamantové rezanie betónovej konštrukcie</t>
  </si>
  <si>
    <t xml:space="preserve">45.11.12  </t>
  </si>
  <si>
    <t>01010103</t>
  </si>
  <si>
    <t>Pripravné práce, odstránenie porastov krovín</t>
  </si>
  <si>
    <t xml:space="preserve">45.22.11  </t>
  </si>
  <si>
    <t>21080407</t>
  </si>
  <si>
    <t>Vodorovné nosné konštrukcie, kĺby a ložiská elastomerové a gumené</t>
  </si>
  <si>
    <t>21200241</t>
  </si>
  <si>
    <t>Podkladné a vedľajšie konštrukcie pod mostnými ložiskami, plastbetón</t>
  </si>
  <si>
    <t>21251161</t>
  </si>
  <si>
    <t>Doplňujúce konštrukcie, špeciálne pomocné, ošetrenie betonárskej výstuže</t>
  </si>
  <si>
    <t>21251006</t>
  </si>
  <si>
    <t>Doplňujúce konštrukcie, podperné konštrukcie mostov oceľové</t>
  </si>
  <si>
    <t>22040145</t>
  </si>
  <si>
    <t>Kryty dláždené,chodníkov komunikácií,rigolov, prefabrikované panely cestné</t>
  </si>
  <si>
    <t xml:space="preserve">Celkom za 206 00 Most ev.č. 206 nad cestou III/206 pri obci Svinie </t>
  </si>
  <si>
    <t>45.11.12 - Úprava staveniska a vyčisťovacie práce</t>
  </si>
  <si>
    <t>45.22.11 - Stavebné práce na mostoch</t>
  </si>
  <si>
    <t>TSP</t>
  </si>
  <si>
    <t>Kód položky</t>
  </si>
  <si>
    <t>Všeobecné položky v procese obstarávania stavieb</t>
  </si>
  <si>
    <t>0001040100</t>
  </si>
  <si>
    <t>Poplatok za uloženie odpadu SO 101 00; 72,0+6,10+44,0+0,30 ton</t>
  </si>
  <si>
    <t>Poplatok za uloženie odpadu SO  206 00; 28,56+2,42 ton</t>
  </si>
  <si>
    <t xml:space="preserve">spolu </t>
  </si>
  <si>
    <t>00010403</t>
  </si>
  <si>
    <t xml:space="preserve">Zmluvné požiadavky poplatky za skládku zeminy </t>
  </si>
  <si>
    <t>0001040300</t>
  </si>
  <si>
    <t>Poplatok za uloženie prebyt.zem. na trvalú skládku 101; 379,30 m3</t>
  </si>
  <si>
    <t>Poplatok za uloženie prebyt.zem. na trvalú skládku 206; 0m3</t>
  </si>
  <si>
    <t>0003033100</t>
  </si>
  <si>
    <t>0003033200</t>
  </si>
  <si>
    <t>Demolačné práce</t>
  </si>
  <si>
    <t>0501010400</t>
  </si>
  <si>
    <t>Búranie betónového rigolu a podkladného betónu pod ním; 0,50*0,25*2*80</t>
  </si>
  <si>
    <t>0502090400</t>
  </si>
  <si>
    <t xml:space="preserve">Búranie existujúcich vpustov D500 h=1500; 2 ks </t>
  </si>
  <si>
    <t>0503016103</t>
  </si>
  <si>
    <t xml:space="preserve">Odstránenie spevnených plôch vozoviek a doplňujúcich konštrukcií krytov cementobetónových, hr. nad 200 do 300 mm </t>
  </si>
  <si>
    <t>Búranie vozovky vedľa líniového odvodnovača 
bet. kryt (hr. 250 mm)  ; 0,3*2*80</t>
  </si>
  <si>
    <t>0503026102</t>
  </si>
  <si>
    <t xml:space="preserve">Odstránenie spevnených plôch vozoviek a doplňujúcich konštrukcií podkladov z betónu prostého, hr. nad 100 do 200 mm </t>
  </si>
  <si>
    <t>Búranie vozovky vedľa líniového odvodnovača
podkladná vrstva -  z cem. stmelenej zmesi (hr. 160 mm ) ; 0,30*2*80</t>
  </si>
  <si>
    <t>0503026403</t>
  </si>
  <si>
    <t xml:space="preserve">Odstránenie spevnených plôch vozoviek a doplňujúcich konštrukcií podkladov z kameniva hrubého drveného, hr. nad 200 do 300 mm </t>
  </si>
  <si>
    <t>Búranie vozovky vedľa líniového odvodnovača
podkl. vrstva zo ŠD, (hr. 200 mm) ; 0,30*2*80</t>
  </si>
  <si>
    <t>0503040700</t>
  </si>
  <si>
    <t xml:space="preserve">Odstránenie existujúcého obojstranného oceľového zvodidla; 208 m </t>
  </si>
  <si>
    <t>0508020003</t>
  </si>
  <si>
    <t>Doprava vybúraných hmôt vodorovná, nad 1 km</t>
  </si>
  <si>
    <t>Vybúranie vozovky 48,0 m2 (bet. kryt hr. 250 mm  + CBGM hr.160 mm + ŠD hr. 200 mm); 48,0*(0,50+0,50+0,50) t/m2</t>
  </si>
  <si>
    <t>Vyfrézovanie 480 m2 v hr. 50 mm(0,127t/m2)</t>
  </si>
  <si>
    <t>Vybúranie bet. rigolu a podkl. bet. - 20 m3, 2,20 t/m3</t>
  </si>
  <si>
    <t>Búranie exist. vpustov, 2ks (0,15 t/ks)</t>
  </si>
  <si>
    <t>Odstránenie existuj, obojstr. oceľ. zvodidla - 208m (0,06 t/bm)</t>
  </si>
  <si>
    <t>0509036204</t>
  </si>
  <si>
    <t>Doplňujúce práce, frézovanie bitúmenového krytu, podkladu, hr. 50 mm</t>
  </si>
  <si>
    <t>Frézovanie vozovky -obrusná vrstva; 2*1,00*2*80</t>
  </si>
  <si>
    <t>Frézovanie vozovky -ochranná vrstva; 2*0,50*2*80</t>
  </si>
  <si>
    <t>Výkopové zemné práce a presun zemín</t>
  </si>
  <si>
    <t>0102020003</t>
  </si>
  <si>
    <t>Odkopávky a prekopávky nezapažené, trieda horniny 4</t>
  </si>
  <si>
    <t>Výkop v strednom deliacom pruhu pre podkladne vrstvy vozovky;  363,50 m3 (odpočít. z 3D modelu)</t>
  </si>
  <si>
    <t>0103010203</t>
  </si>
  <si>
    <t>Hĺbené vykopávky jám nezapažených, trieda horniny 4</t>
  </si>
  <si>
    <t>Výkop v strednom deliacom pruhu pre vpust; 15,8 m3 (odpočít. z 3D modelu)</t>
  </si>
  <si>
    <t>Premiestnenie výkopku resp. rúbaniny vodorovné nad 3 000 m</t>
  </si>
  <si>
    <t>0106020401</t>
  </si>
  <si>
    <t>Premiestnenie výkopku resp. rúbaniny vodorovné nad 3 000 m, tr. horniny 1-4</t>
  </si>
  <si>
    <t>Odvoz prebytočnej zem. na trvalú skládku; 363,50+15,80</t>
  </si>
  <si>
    <t>0104040202</t>
  </si>
  <si>
    <t xml:space="preserve">Konštrukcie z hornín - zásypy so zhutnením zo zemín nesúdržných </t>
  </si>
  <si>
    <t>Zásyp vpustí – G1 a G2 zhutnené po 20-40cm na Edef2&gt;100MPa;  11,20 m3 (odpočít. z 3D modelu)</t>
  </si>
  <si>
    <t xml:space="preserve">Všeobecné práce na stavbe diaľkových potrubných vedení </t>
  </si>
  <si>
    <t>2703021402</t>
  </si>
  <si>
    <t>Kanalizácie, ostatné konštrukcie, vpusty kanalizačné, plastové</t>
  </si>
  <si>
    <t>2703042102</t>
  </si>
  <si>
    <t>Kanalizácie, rúry plastové, PE,PP, DN 200</t>
  </si>
  <si>
    <t>Napojenie vtoku na existujúcu kanalizaciu dialnice plast. rura; 8*3,50</t>
  </si>
  <si>
    <t xml:space="preserve"> Stavebné práce na výstavbe diaľnic a ciest chodníkov a nekrytých parkovísk</t>
  </si>
  <si>
    <t xml:space="preserve">Doplňujúce konštrukcie,  vodorovné dopravné značenie striekané a náterové, deliacich čiar </t>
  </si>
  <si>
    <t>Nové vodorovné dopravné značenie, hr.250mm (vrát. predznačenia); celk. dl.320 m</t>
  </si>
  <si>
    <t>Práce na vrchnej stavbe diaľníc, ciest, ulíc, chodníkov a nekrytých parkovísk</t>
  </si>
  <si>
    <t>2202041704</t>
  </si>
  <si>
    <t>Podkladné a krycie vrstvy s hydraulickým spojivom, cementobetónové jednovrstvové, beton prostý, tr. III C 20/25</t>
  </si>
  <si>
    <t xml:space="preserve">Cem.bet.doska (250mm); 2*80*2,85 </t>
  </si>
  <si>
    <t>Podkladné a krycie vrstvy z asfaltových zmesí, bitúmenové postreky, nátery,posypy spojovací postrek, z modifikovaného asfaltu</t>
  </si>
  <si>
    <t>Spojovací postrek; 160 +320 m2</t>
  </si>
  <si>
    <t>2203064001</t>
  </si>
  <si>
    <t>Podkladné a krycie vrstvy z asfaltových zmesí, bitúmenové vrstvy, asfaltový betón, triedy I</t>
  </si>
  <si>
    <t>Nová ložná vrstva vozovky – AC16,PMB 45/80-55,I (45mm); 0,5*2*80*2</t>
  </si>
  <si>
    <t>2203064101</t>
  </si>
  <si>
    <t>Podkladné a krycie vrstvy z asfaltových zmesí, bitúmenové vrstvy, asfaltový koberec mastixový, triedy I</t>
  </si>
  <si>
    <t>Nová obrusná vrstva vozovky– SMAo11PMB (40mm); 1,0*2*80*2</t>
  </si>
  <si>
    <t>2203095100</t>
  </si>
  <si>
    <t xml:space="preserve">Rezaná škára vyplnená asfaltovou zálievkou pri styku vozoviek; 7*80*2 </t>
  </si>
  <si>
    <t>22030952</t>
  </si>
  <si>
    <t>Podkladné a krycie vrstvy z asfaltových zmesí úprava škár pri opravách, elastická zálievka</t>
  </si>
  <si>
    <t>2203095201</t>
  </si>
  <si>
    <t>Podkladné a krycie vrstvy z asfaltových zmesí úprava škár pri opravách, elastická zálievka s predtesnením</t>
  </si>
  <si>
    <t>Styk SDP po 4m - asfaltová zalievka 25*10mm + penetračný alebo adhézny náter, s predtesnením pryžmovým kruh.profilom D12mm – mikroporézna guma;   2*19ks, dlžka styku 2,85m</t>
  </si>
  <si>
    <t>22250361</t>
  </si>
  <si>
    <t>Doplňujúce konštrukcie, zvodidlá z betónu monolitické</t>
  </si>
  <si>
    <t>2225036101</t>
  </si>
  <si>
    <t>Betonové zvodidlo obojstranné h=1,2m – úroveň zachytenia H3, s volným zámkom; 2*80 m</t>
  </si>
  <si>
    <t>2225036301</t>
  </si>
  <si>
    <t>Doplňujúce konštrukcie, zvodidlá obojstranné oceľové pohyblivé s otváracím systémom</t>
  </si>
  <si>
    <t xml:space="preserve">Obojstranné oceľové zvodido, úroveň zachytenia H3; 4*12 m </t>
  </si>
  <si>
    <t xml:space="preserve">Prechodový diel oceľového zvodidla na betonové zvodidlo v SDP; 8 ks </t>
  </si>
  <si>
    <t xml:space="preserve">Prechodová zvodnica medzi existujúcim oceľovým zvodidlom a novým oceľovým zvodidlom H3; 8 ks </t>
  </si>
  <si>
    <t>22250463</t>
  </si>
  <si>
    <t>Doplňujúce konštrukcie,  ochranné zariadenia, odrazníky</t>
  </si>
  <si>
    <t>2225046300</t>
  </si>
  <si>
    <t>Zvodidlový odrážač; 80 ks</t>
  </si>
  <si>
    <t>2225098001</t>
  </si>
  <si>
    <t>Doplňujúce konštrukcie,  obrubníky chodníkové betónové</t>
  </si>
  <si>
    <t>Ukončenie SDP – cestný obrubnik 150x260x1000 (vrátane bet. lôžka C25/30); 3,10*4</t>
  </si>
  <si>
    <t>2225108301</t>
  </si>
  <si>
    <t>Doplňujúce konštrukcie,  dilatačné škáry rezané priečne</t>
  </si>
  <si>
    <t xml:space="preserve">Styk SDP po 4m = 2*19ks, dĺžka styku 2,85m  - rezaná škára 3mm hlbky 70mm; </t>
  </si>
  <si>
    <t>Styk SDP po 4m = 2*19ks, dlžka styku 2,85m  - rezaná škára 10mm hĺbky 25mm</t>
  </si>
  <si>
    <t>2225108302</t>
  </si>
  <si>
    <t>Doplňujúce konštrukcie,  dilatačné škáry rezané pozdĺžne</t>
  </si>
  <si>
    <t>Rezaná škára vyplnená asfaltovou zálievkou pri styku vozoviek; 7*80 *2</t>
  </si>
  <si>
    <t>2225148800</t>
  </si>
  <si>
    <t>Vystuženie dil. škár klznými trnmi fi 25 hladka oceľ, opatrené plastovým povlakom hr. 0,3,mm – trny do krytu v SDP, dl. 500mm; 11*((80/4-1)*2)</t>
  </si>
  <si>
    <t>22251761</t>
  </si>
  <si>
    <t>Doplňujúce konštrukcie,  štrbinové žľaby z betónu</t>
  </si>
  <si>
    <t>2225176100</t>
  </si>
  <si>
    <t>Uzatvorený štrbinový žľab pre ťažkú dopravu D400 250/230; 2*80 m, vrátane bet. lôžka</t>
  </si>
  <si>
    <t>Práce na spodnej stavby diaľnic, ciest, ulíc a chodníkov a nekrytých parkovísk</t>
  </si>
  <si>
    <t>2201010400</t>
  </si>
  <si>
    <t xml:space="preserve">Skladba vozovky v strednom deliacom páse (štrkodrva 200mm); 2*80*3,10 </t>
  </si>
  <si>
    <t>2202021000</t>
  </si>
  <si>
    <t xml:space="preserve">Skladba vozovky v strednom deliacom páse (cem.stmelena zmes hr. 160mm); 2*80*2,85 </t>
  </si>
  <si>
    <t>Rozobratie dočasnej spevnenej plochy pod podpernou skružou; 70 m2</t>
  </si>
  <si>
    <t xml:space="preserve">Demontáž ložísk na moste; 22 ks </t>
  </si>
  <si>
    <t>Doprava vybúraných hmôt vodorovná nad 1 km</t>
  </si>
  <si>
    <t>Odstránenie ložísk na moste; 22 ks * 0,07 t/ks</t>
  </si>
  <si>
    <t>Odstránenie panelovej plochy; 70 m2 (0,408t/m2)</t>
  </si>
  <si>
    <t>Rezanie konštrukcií (podkl. bločkov) pílou s diamant. kotúčom; 22 ks (0,11t/ks)</t>
  </si>
  <si>
    <t>0509040500</t>
  </si>
  <si>
    <t>Rezanie konštrukcií (podkl. bločkov) pílou s diamant. kotúčom; 22 ks plochy 0,45x0,45</t>
  </si>
  <si>
    <t>Úprava staveniska a vyčisťovacie práce</t>
  </si>
  <si>
    <t>0101010301</t>
  </si>
  <si>
    <t>Pripravné práce, odstránenie porastov krovín na suchu</t>
  </si>
  <si>
    <t>Odstránenie kríkov; 50 m2</t>
  </si>
  <si>
    <t>0106020404</t>
  </si>
  <si>
    <t>Premiestnenie  vodorovné nad 3 000 m, vyklčovaných krovín</t>
  </si>
  <si>
    <t>Stavebné práce na mostoch</t>
  </si>
  <si>
    <t>2108040701</t>
  </si>
  <si>
    <t>Vodorovné nosné konštrukcie, kĺby a ložiská elastomerové a gumené, zvislé zaťaženie do 2,5 MN</t>
  </si>
  <si>
    <t>2120024100</t>
  </si>
  <si>
    <t>Podliatie plastmaltou - horný a dolný povrch ložiska, 0,45*0,45*22*2  m2</t>
  </si>
  <si>
    <t>2125100600</t>
  </si>
  <si>
    <t>2125116100</t>
  </si>
  <si>
    <t>Antikorózna ochrana vyčnievajúcej výstuže rezaných plôch bločkov (5% plochy)</t>
  </si>
  <si>
    <t>Stavebné práce na výstavbe diaľnic a ciest chodníkov a nekrytých parkovísk</t>
  </si>
  <si>
    <t>22010102</t>
  </si>
  <si>
    <t>Podkladné a krycie vrstvy bez spojiva nestmelené, štrkopiesok</t>
  </si>
  <si>
    <t>2201010200</t>
  </si>
  <si>
    <t>Štrk. vrstva pod betónovú rovnaninu skruže (250 mm)</t>
  </si>
  <si>
    <t>2204014501</t>
  </si>
  <si>
    <t xml:space="preserve">Kryty dláždené,chodníkov komunikácií,rigolov, prefabrikované panely cestné, zo železobetónu </t>
  </si>
  <si>
    <t>Betónová rovnanina z cestných panelov pod podpernú skruž</t>
  </si>
  <si>
    <t xml:space="preserve">SO 101 00 Prejazd stredným deliacim pásom </t>
  </si>
  <si>
    <t>Doplňujúce konštrukcie, ochranné zariadenia, odrazníky</t>
  </si>
  <si>
    <t>22040952</t>
  </si>
  <si>
    <t>Vpust odvodňovacieho betónového žľabu;  16 ks (betónový vpust 500 mm, s presuvkou DN 200 , kalový kôš, mriežkový rošt)</t>
  </si>
  <si>
    <t>00060124</t>
  </si>
  <si>
    <t>Zariadenie staveniska, prevádzkové, dopravné značenie po stavenisku</t>
  </si>
  <si>
    <t>0006012400</t>
  </si>
  <si>
    <t xml:space="preserve">Dočasné dopravné značenie počas výstavby </t>
  </si>
  <si>
    <t>05020907</t>
  </si>
  <si>
    <t>Vybúranie konštrukcií a demontáže, rôznych predmetov kovových</t>
  </si>
  <si>
    <t>0502090700</t>
  </si>
  <si>
    <t xml:space="preserve">Vybúranie konštrukcií a demontáže, rôznych predmetov kovových </t>
  </si>
  <si>
    <t>Elastomerové ložiská (1250 kN), 16 všesmerné,</t>
  </si>
  <si>
    <t xml:space="preserve">Elastomerové ložiská (1250 kN), 6 ks jednosmerné </t>
  </si>
  <si>
    <t>Podperná skruž počas výmeny ložisk-pižmo, komplet dodanie vrátane úpravy podložia, betónovýych panelov a lisov pre zdvíhanie, nosnosť jednej skruže 650ton; 84,0 m3</t>
  </si>
  <si>
    <t>Vodorovné nosné konštrukcie, kĺby a ložiská elastomerové a gumené všesmerné</t>
  </si>
  <si>
    <t>Vodorovné nosné konštrukcie, kĺby a ložiská elastomerové a gumené jednosmerné</t>
  </si>
  <si>
    <t>Zmluvné požiadavky poplatky za skládky vybúraných hmôt a sutí vrátne poplaku za recykláciu</t>
  </si>
  <si>
    <t>V ....................... dňa: ......................</t>
  </si>
  <si>
    <t>...........................................................</t>
  </si>
  <si>
    <t>meno, priezvisko a podpis osoby</t>
  </si>
  <si>
    <t>oprávnenej konať v mene uchádzača</t>
  </si>
  <si>
    <t>DPH 23%</t>
  </si>
  <si>
    <t>Návrh na plnenie kritéria</t>
  </si>
  <si>
    <t>1. Názov predmetu zákazky:</t>
  </si>
  <si>
    <t>2. Identifikácia uchádzača</t>
  </si>
  <si>
    <t>Obchodné meno:</t>
  </si>
  <si>
    <t>Sídlo/miesto podnikania:</t>
  </si>
  <si>
    <t>IČO:</t>
  </si>
  <si>
    <t>Kontaktná osoba:</t>
  </si>
  <si>
    <t>Tel. č.:</t>
  </si>
  <si>
    <t>E-mail:</t>
  </si>
  <si>
    <t>3. Návrh na plnenie kritérií:</t>
  </si>
  <si>
    <t>Popis</t>
  </si>
  <si>
    <t>DPH 
[€]</t>
  </si>
  <si>
    <t>Celková cena 
[€ s DPH]</t>
  </si>
  <si>
    <r>
      <t>4.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  <scheme val="minor"/>
      </rPr>
      <t xml:space="preserve">Poznámka: 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</si>
  <si>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Som platiteľom DPH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</si>
  <si>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mbria"/>
        <family val="1"/>
        <charset val="238"/>
      </rPr>
      <t xml:space="preserve">Uchádzač </t>
    </r>
    <r>
      <rPr>
        <i/>
        <u/>
        <sz val="9"/>
        <color theme="1"/>
        <rFont val="Cambria"/>
        <family val="1"/>
        <charset val="238"/>
      </rPr>
      <t>vyberie z ponuky rolovacieho okna</t>
    </r>
    <r>
      <rPr>
        <i/>
        <sz val="9"/>
        <color theme="1"/>
        <rFont val="Cambria"/>
        <family val="1"/>
        <charset val="238"/>
      </rPr>
      <t xml:space="preserve"> či je alebo nie je platiteľom DPH.</t>
    </r>
  </si>
  <si>
    <t>Nie som platiteľom DPH</t>
  </si>
  <si>
    <r>
      <t>Celková cena za realizáciu predmetu zákazky</t>
    </r>
    <r>
      <rPr>
        <b/>
        <vertAlign val="superscript"/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
[€ bez DPH]</t>
    </r>
  </si>
  <si>
    <t xml:space="preserve">Objekt: Most ev. č. SO-206 nad cestou III/3427 pri obci Svinia </t>
  </si>
  <si>
    <t>Rekapitulácia stavby SO-206</t>
  </si>
  <si>
    <t>Súpis prác  SO-206</t>
  </si>
  <si>
    <t>Časti stavby  SO-206</t>
  </si>
  <si>
    <t>Podrobný výkaz výmer  SO-206</t>
  </si>
  <si>
    <t xml:space="preserve">Príloha č. 2 k časti A.2 </t>
  </si>
  <si>
    <t>Uchádzačom navrhovaná  celková cena za realizáciu predmetu zákazky  vyjadrená v eurách bez DPH</t>
  </si>
  <si>
    <t>Príloha č.2 k časti B2 (zároveň Príloha č.2 k Zmluve)</t>
  </si>
  <si>
    <t>Výmena ložísk na moste ev.č. SO-206</t>
  </si>
  <si>
    <t>Výmena ložísk na moste ev.č.SO-206</t>
  </si>
  <si>
    <t>Cena 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</si>
</sst>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##\ ###\ ###\ ##0.00"/>
    <numFmt numFmtId="165" formatCode="#,##0.00\ &quot;€&quot;"/>
  </numFmts>
  <fonts count="32">
    <font>
      <sz val="11"/>
      <color theme="1"/>
      <name val="Calibri"/>
      <family val="2"/>
      <charset val="238"/>
      <scheme val="minor"/>
    </font>
    <font>
      <b/>
      <sz val="9"/>
      <color rgb="FF000000"/>
      <name val="Ariel"/>
      <charset val="238"/>
    </font>
    <font>
      <sz val="9"/>
      <color rgb="FF000000"/>
      <name val="Ariel"/>
      <charset val="238"/>
    </font>
    <font>
      <b/>
      <sz val="8"/>
      <color rgb="FF000000"/>
      <name val="Ariel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8"/>
      <name val="Ariel"/>
      <charset val="238"/>
    </font>
    <font>
      <b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000000"/>
      <name val="Ariel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9"/>
      <color theme="1"/>
      <name val="Cambria"/>
      <family val="1"/>
      <charset val="238"/>
    </font>
    <font>
      <i/>
      <u/>
      <sz val="9"/>
      <color theme="1"/>
      <name val="Cambria"/>
      <family val="1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2" borderId="0"/>
    <xf numFmtId="0" fontId="2" fillId="0" borderId="0"/>
    <xf numFmtId="0" fontId="1" fillId="0" borderId="0"/>
    <xf numFmtId="0" fontId="3" fillId="2" borderId="0"/>
    <xf numFmtId="0" fontId="4" fillId="0" borderId="0"/>
    <xf numFmtId="0" fontId="4" fillId="3" borderId="0"/>
    <xf numFmtId="0" fontId="6" fillId="0" borderId="0"/>
    <xf numFmtId="43" fontId="7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70">
    <xf numFmtId="0" fontId="0" fillId="0" borderId="0" xfId="0"/>
    <xf numFmtId="164" fontId="8" fillId="0" borderId="6" xfId="5" applyNumberFormat="1" applyFont="1" applyBorder="1"/>
    <xf numFmtId="0" fontId="5" fillId="0" borderId="6" xfId="5" applyFont="1" applyBorder="1" applyAlignment="1">
      <alignment horizontal="center"/>
    </xf>
    <xf numFmtId="164" fontId="5" fillId="0" borderId="6" xfId="5" applyNumberFormat="1" applyFont="1" applyBorder="1"/>
    <xf numFmtId="0" fontId="9" fillId="0" borderId="6" xfId="5" applyFont="1" applyBorder="1" applyAlignment="1">
      <alignment horizontal="right" wrapText="1"/>
    </xf>
    <xf numFmtId="43" fontId="10" fillId="0" borderId="0" xfId="8" applyFont="1" applyBorder="1" applyAlignment="1">
      <alignment wrapText="1"/>
    </xf>
    <xf numFmtId="164" fontId="5" fillId="0" borderId="0" xfId="5" applyNumberFormat="1" applyFont="1"/>
    <xf numFmtId="0" fontId="8" fillId="0" borderId="6" xfId="5" quotePrefix="1" applyFont="1" applyBorder="1"/>
    <xf numFmtId="0" fontId="8" fillId="0" borderId="6" xfId="5" applyFont="1" applyBorder="1" applyAlignment="1">
      <alignment wrapText="1"/>
    </xf>
    <xf numFmtId="43" fontId="8" fillId="0" borderId="0" xfId="8" applyFont="1" applyBorder="1" applyAlignment="1">
      <alignment wrapText="1"/>
    </xf>
    <xf numFmtId="0" fontId="8" fillId="0" borderId="6" xfId="5" applyFont="1" applyBorder="1" applyAlignment="1">
      <alignment horizontal="center"/>
    </xf>
    <xf numFmtId="164" fontId="8" fillId="0" borderId="11" xfId="5" applyNumberFormat="1" applyFont="1" applyBorder="1"/>
    <xf numFmtId="0" fontId="5" fillId="0" borderId="0" xfId="5" quotePrefix="1" applyFont="1"/>
    <xf numFmtId="0" fontId="5" fillId="0" borderId="6" xfId="5" quotePrefix="1" applyFont="1" applyBorder="1"/>
    <xf numFmtId="0" fontId="5" fillId="0" borderId="6" xfId="5" applyFont="1" applyBorder="1" applyAlignment="1">
      <alignment wrapText="1"/>
    </xf>
    <xf numFmtId="43" fontId="5" fillId="0" borderId="0" xfId="8" applyFont="1" applyBorder="1" applyAlignment="1">
      <alignment wrapText="1"/>
    </xf>
    <xf numFmtId="164" fontId="5" fillId="0" borderId="11" xfId="5" applyNumberFormat="1" applyFont="1" applyBorder="1"/>
    <xf numFmtId="49" fontId="11" fillId="0" borderId="6" xfId="0" quotePrefix="1" applyNumberFormat="1" applyFont="1" applyBorder="1" applyAlignment="1">
      <alignment horizontal="left" vertical="top"/>
    </xf>
    <xf numFmtId="0" fontId="5" fillId="0" borderId="8" xfId="5" quotePrefix="1" applyFont="1" applyBorder="1"/>
    <xf numFmtId="0" fontId="9" fillId="0" borderId="8" xfId="5" applyFont="1" applyBorder="1" applyAlignment="1">
      <alignment horizontal="right" wrapText="1"/>
    </xf>
    <xf numFmtId="0" fontId="5" fillId="0" borderId="8" xfId="5" applyFont="1" applyBorder="1" applyAlignment="1">
      <alignment horizontal="center"/>
    </xf>
    <xf numFmtId="0" fontId="12" fillId="0" borderId="0" xfId="0" applyFont="1"/>
    <xf numFmtId="43" fontId="12" fillId="0" borderId="0" xfId="8" applyFont="1" applyBorder="1"/>
    <xf numFmtId="0" fontId="12" fillId="0" borderId="0" xfId="0" applyFont="1" applyAlignment="1">
      <alignment horizontal="center"/>
    </xf>
    <xf numFmtId="0" fontId="14" fillId="0" borderId="1" xfId="4" applyFont="1" applyFill="1" applyBorder="1"/>
    <xf numFmtId="0" fontId="14" fillId="0" borderId="1" xfId="4" applyFont="1" applyFill="1" applyBorder="1" applyAlignment="1">
      <alignment horizontal="center"/>
    </xf>
    <xf numFmtId="43" fontId="14" fillId="0" borderId="1" xfId="8" applyFont="1" applyFill="1" applyBorder="1"/>
    <xf numFmtId="0" fontId="14" fillId="0" borderId="5" xfId="4" applyFont="1" applyFill="1" applyBorder="1" applyAlignment="1">
      <alignment horizontal="center"/>
    </xf>
    <xf numFmtId="0" fontId="15" fillId="0" borderId="9" xfId="5" applyFont="1" applyBorder="1" applyAlignment="1">
      <alignment wrapText="1"/>
    </xf>
    <xf numFmtId="0" fontId="5" fillId="0" borderId="5" xfId="5" quotePrefix="1" applyFont="1" applyBorder="1"/>
    <xf numFmtId="0" fontId="5" fillId="0" borderId="9" xfId="5" quotePrefix="1" applyFont="1" applyBorder="1"/>
    <xf numFmtId="0" fontId="15" fillId="0" borderId="5" xfId="5" applyFont="1" applyBorder="1" applyAlignment="1">
      <alignment wrapText="1"/>
    </xf>
    <xf numFmtId="43" fontId="14" fillId="0" borderId="9" xfId="8" applyFont="1" applyFill="1" applyBorder="1"/>
    <xf numFmtId="0" fontId="14" fillId="0" borderId="5" xfId="4" applyFont="1" applyFill="1" applyBorder="1"/>
    <xf numFmtId="0" fontId="5" fillId="0" borderId="6" xfId="5" applyFont="1" applyBorder="1" applyAlignment="1">
      <alignment horizontal="center" wrapText="1"/>
    </xf>
    <xf numFmtId="0" fontId="9" fillId="0" borderId="6" xfId="5" applyFont="1" applyBorder="1" applyAlignment="1">
      <alignment wrapText="1"/>
    </xf>
    <xf numFmtId="0" fontId="5" fillId="0" borderId="0" xfId="5" applyFont="1" applyAlignment="1">
      <alignment wrapText="1"/>
    </xf>
    <xf numFmtId="0" fontId="5" fillId="0" borderId="0" xfId="5" applyFont="1" applyAlignment="1">
      <alignment horizontal="center"/>
    </xf>
    <xf numFmtId="164" fontId="15" fillId="0" borderId="0" xfId="5" applyNumberFormat="1" applyFont="1"/>
    <xf numFmtId="0" fontId="5" fillId="0" borderId="5" xfId="5" applyFont="1" applyBorder="1" applyAlignment="1">
      <alignment horizontal="center" vertical="center" wrapText="1"/>
    </xf>
    <xf numFmtId="43" fontId="8" fillId="0" borderId="9" xfId="8" applyFont="1" applyBorder="1" applyAlignment="1">
      <alignment wrapText="1"/>
    </xf>
    <xf numFmtId="0" fontId="5" fillId="0" borderId="5" xfId="5" applyFont="1" applyBorder="1" applyAlignment="1">
      <alignment horizontal="center"/>
    </xf>
    <xf numFmtId="164" fontId="5" fillId="0" borderId="10" xfId="5" applyNumberFormat="1" applyFont="1" applyBorder="1"/>
    <xf numFmtId="0" fontId="5" fillId="0" borderId="6" xfId="5" applyFont="1" applyBorder="1" applyAlignment="1">
      <alignment horizontal="center" vertical="center" wrapText="1"/>
    </xf>
    <xf numFmtId="43" fontId="9" fillId="0" borderId="0" xfId="8" applyFont="1" applyBorder="1" applyAlignment="1">
      <alignment wrapText="1"/>
    </xf>
    <xf numFmtId="0" fontId="15" fillId="0" borderId="6" xfId="5" applyFont="1" applyBorder="1" applyAlignment="1">
      <alignment wrapText="1"/>
    </xf>
    <xf numFmtId="0" fontId="12" fillId="0" borderId="6" xfId="0" applyFont="1" applyBorder="1"/>
    <xf numFmtId="0" fontId="5" fillId="0" borderId="8" xfId="5" applyFont="1" applyBorder="1" applyAlignment="1">
      <alignment horizontal="center" vertical="center" wrapText="1"/>
    </xf>
    <xf numFmtId="0" fontId="15" fillId="0" borderId="5" xfId="5" applyFont="1" applyBorder="1" applyAlignment="1">
      <alignment horizontal="center"/>
    </xf>
    <xf numFmtId="0" fontId="15" fillId="0" borderId="9" xfId="5" applyFont="1" applyBorder="1"/>
    <xf numFmtId="0" fontId="15" fillId="0" borderId="5" xfId="5" applyFont="1" applyBorder="1"/>
    <xf numFmtId="0" fontId="15" fillId="0" borderId="10" xfId="5" applyFont="1" applyBorder="1"/>
    <xf numFmtId="0" fontId="12" fillId="0" borderId="11" xfId="0" applyFont="1" applyBorder="1"/>
    <xf numFmtId="0" fontId="5" fillId="0" borderId="8" xfId="5" applyFont="1" applyBorder="1" applyAlignment="1">
      <alignment horizontal="center" wrapText="1"/>
    </xf>
    <xf numFmtId="0" fontId="8" fillId="0" borderId="0" xfId="5" quotePrefix="1" applyFont="1"/>
    <xf numFmtId="0" fontId="9" fillId="0" borderId="0" xfId="5" applyFont="1" applyAlignment="1">
      <alignment wrapText="1"/>
    </xf>
    <xf numFmtId="0" fontId="5" fillId="0" borderId="12" xfId="5" quotePrefix="1" applyFont="1" applyBorder="1"/>
    <xf numFmtId="0" fontId="15" fillId="0" borderId="0" xfId="5" applyFont="1" applyAlignment="1">
      <alignment wrapText="1"/>
    </xf>
    <xf numFmtId="0" fontId="5" fillId="0" borderId="0" xfId="5" quotePrefix="1" applyFont="1" applyAlignment="1">
      <alignment horizontal="left"/>
    </xf>
    <xf numFmtId="43" fontId="10" fillId="0" borderId="12" xfId="8" applyFont="1" applyBorder="1" applyAlignment="1">
      <alignment wrapText="1"/>
    </xf>
    <xf numFmtId="164" fontId="5" fillId="0" borderId="13" xfId="5" applyNumberFormat="1" applyFont="1" applyBorder="1"/>
    <xf numFmtId="0" fontId="15" fillId="0" borderId="0" xfId="5" applyFont="1"/>
    <xf numFmtId="0" fontId="16" fillId="0" borderId="6" xfId="5" quotePrefix="1" applyFont="1" applyBorder="1"/>
    <xf numFmtId="43" fontId="16" fillId="0" borderId="6" xfId="8" applyFont="1" applyFill="1" applyBorder="1" applyAlignment="1">
      <alignment wrapText="1"/>
    </xf>
    <xf numFmtId="0" fontId="5" fillId="0" borderId="11" xfId="5" applyFont="1" applyBorder="1" applyAlignment="1">
      <alignment horizontal="center"/>
    </xf>
    <xf numFmtId="0" fontId="16" fillId="0" borderId="8" xfId="5" quotePrefix="1" applyFont="1" applyBorder="1"/>
    <xf numFmtId="0" fontId="9" fillId="0" borderId="8" xfId="5" applyFont="1" applyBorder="1" applyAlignment="1">
      <alignment wrapText="1"/>
    </xf>
    <xf numFmtId="43" fontId="16" fillId="0" borderId="14" xfId="8" applyFont="1" applyFill="1" applyBorder="1" applyAlignment="1">
      <alignment wrapText="1"/>
    </xf>
    <xf numFmtId="0" fontId="16" fillId="0" borderId="8" xfId="5" applyFont="1" applyBorder="1" applyAlignment="1">
      <alignment horizontal="center"/>
    </xf>
    <xf numFmtId="164" fontId="16" fillId="0" borderId="8" xfId="5" applyNumberFormat="1" applyFont="1" applyBorder="1"/>
    <xf numFmtId="0" fontId="5" fillId="0" borderId="13" xfId="5" quotePrefix="1" applyFont="1" applyBorder="1"/>
    <xf numFmtId="164" fontId="5" fillId="0" borderId="7" xfId="5" applyNumberFormat="1" applyFont="1" applyBorder="1"/>
    <xf numFmtId="0" fontId="13" fillId="0" borderId="0" xfId="0" applyFont="1" applyBorder="1"/>
    <xf numFmtId="0" fontId="12" fillId="0" borderId="0" xfId="0" applyFont="1" applyAlignment="1" applyProtection="1">
      <alignment vertical="center"/>
      <protection locked="0"/>
    </xf>
    <xf numFmtId="0" fontId="1" fillId="2" borderId="1" xfId="1" applyBorder="1" applyProtection="1"/>
    <xf numFmtId="0" fontId="1" fillId="2" borderId="1" xfId="1" applyBorder="1" applyAlignment="1" applyProtection="1">
      <alignment horizontal="center"/>
    </xf>
    <xf numFmtId="0" fontId="0" fillId="0" borderId="0" xfId="0" applyProtection="1"/>
    <xf numFmtId="0" fontId="2" fillId="0" borderId="1" xfId="2" quotePrefix="1" applyBorder="1" applyProtection="1"/>
    <xf numFmtId="0" fontId="2" fillId="0" borderId="1" xfId="2" applyBorder="1" applyProtection="1"/>
    <xf numFmtId="0" fontId="2" fillId="0" borderId="1" xfId="2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3" fillId="2" borderId="1" xfId="4" applyBorder="1" applyAlignment="1" applyProtection="1">
      <alignment horizontal="center"/>
    </xf>
    <xf numFmtId="0" fontId="4" fillId="0" borderId="5" xfId="5" applyBorder="1" applyAlignment="1" applyProtection="1">
      <alignment wrapText="1"/>
    </xf>
    <xf numFmtId="0" fontId="4" fillId="0" borderId="1" xfId="5" quotePrefix="1" applyBorder="1" applyProtection="1"/>
    <xf numFmtId="0" fontId="4" fillId="0" borderId="1" xfId="5" applyBorder="1" applyAlignment="1" applyProtection="1">
      <alignment wrapText="1"/>
    </xf>
    <xf numFmtId="0" fontId="4" fillId="0" borderId="1" xfId="5" applyBorder="1" applyProtection="1"/>
    <xf numFmtId="164" fontId="5" fillId="0" borderId="1" xfId="5" applyNumberFormat="1" applyFont="1" applyBorder="1" applyProtection="1"/>
    <xf numFmtId="164" fontId="0" fillId="0" borderId="0" xfId="0" applyNumberFormat="1" applyProtection="1"/>
    <xf numFmtId="164" fontId="4" fillId="0" borderId="1" xfId="5" applyNumberFormat="1" applyBorder="1" applyProtection="1"/>
    <xf numFmtId="0" fontId="4" fillId="0" borderId="6" xfId="5" applyBorder="1" applyAlignment="1" applyProtection="1">
      <alignment wrapText="1"/>
    </xf>
    <xf numFmtId="49" fontId="4" fillId="0" borderId="1" xfId="5" quotePrefix="1" applyNumberFormat="1" applyBorder="1" applyProtection="1"/>
    <xf numFmtId="0" fontId="5" fillId="0" borderId="1" xfId="5" quotePrefix="1" applyFont="1" applyBorder="1" applyProtection="1"/>
    <xf numFmtId="0" fontId="5" fillId="0" borderId="1" xfId="5" applyFont="1" applyBorder="1" applyAlignment="1" applyProtection="1">
      <alignment wrapText="1"/>
    </xf>
    <xf numFmtId="0" fontId="5" fillId="0" borderId="1" xfId="5" applyFont="1" applyBorder="1" applyProtection="1"/>
    <xf numFmtId="0" fontId="4" fillId="0" borderId="7" xfId="5" applyBorder="1" applyAlignment="1" applyProtection="1">
      <alignment wrapText="1"/>
    </xf>
    <xf numFmtId="0" fontId="5" fillId="0" borderId="1" xfId="5" quotePrefix="1" applyFont="1" applyBorder="1" applyAlignment="1" applyProtection="1">
      <alignment horizontal="left"/>
    </xf>
    <xf numFmtId="0" fontId="4" fillId="0" borderId="8" xfId="5" applyBorder="1" applyAlignment="1" applyProtection="1">
      <alignment wrapText="1"/>
    </xf>
    <xf numFmtId="43" fontId="0" fillId="0" borderId="0" xfId="8" applyFont="1" applyProtection="1"/>
    <xf numFmtId="0" fontId="17" fillId="0" borderId="1" xfId="4" applyFont="1" applyFill="1" applyBorder="1" applyAlignment="1" applyProtection="1">
      <alignment horizontal="center"/>
    </xf>
    <xf numFmtId="0" fontId="4" fillId="0" borderId="5" xfId="5" quotePrefix="1" applyBorder="1" applyProtection="1"/>
    <xf numFmtId="0" fontId="4" fillId="0" borderId="5" xfId="5" applyBorder="1" applyProtection="1"/>
    <xf numFmtId="164" fontId="6" fillId="0" borderId="8" xfId="5" applyNumberFormat="1" applyFont="1" applyBorder="1" applyProtection="1"/>
    <xf numFmtId="0" fontId="4" fillId="0" borderId="2" xfId="5" applyBorder="1" applyProtection="1"/>
    <xf numFmtId="0" fontId="4" fillId="0" borderId="3" xfId="5" applyBorder="1" applyProtection="1"/>
    <xf numFmtId="164" fontId="4" fillId="0" borderId="3" xfId="5" applyNumberFormat="1" applyBorder="1" applyProtection="1"/>
    <xf numFmtId="164" fontId="8" fillId="0" borderId="1" xfId="5" applyNumberFormat="1" applyFont="1" applyBorder="1" applyProtection="1"/>
    <xf numFmtId="0" fontId="0" fillId="0" borderId="6" xfId="0" applyBorder="1" applyProtection="1"/>
    <xf numFmtId="0" fontId="4" fillId="0" borderId="3" xfId="7" applyFont="1" applyBorder="1" applyProtection="1"/>
    <xf numFmtId="164" fontId="4" fillId="0" borderId="4" xfId="7" applyNumberFormat="1" applyFont="1" applyBorder="1" applyProtection="1"/>
    <xf numFmtId="164" fontId="4" fillId="0" borderId="1" xfId="7" applyNumberFormat="1" applyFont="1" applyBorder="1" applyProtection="1"/>
    <xf numFmtId="164" fontId="6" fillId="0" borderId="1" xfId="5" applyNumberFormat="1" applyFont="1" applyBorder="1" applyProtection="1"/>
    <xf numFmtId="164" fontId="18" fillId="0" borderId="1" xfId="7" applyNumberFormat="1" applyFont="1" applyBorder="1" applyProtection="1"/>
    <xf numFmtId="0" fontId="12" fillId="0" borderId="0" xfId="0" applyFont="1" applyAlignment="1" applyProtection="1"/>
    <xf numFmtId="0" fontId="19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/>
    </xf>
    <xf numFmtId="0" fontId="21" fillId="0" borderId="15" xfId="0" applyFont="1" applyBorder="1" applyAlignment="1" applyProtection="1">
      <alignment vertical="center" wrapText="1"/>
    </xf>
    <xf numFmtId="0" fontId="21" fillId="0" borderId="18" xfId="0" applyFont="1" applyBorder="1" applyAlignment="1" applyProtection="1">
      <alignment vertical="center" wrapText="1"/>
    </xf>
    <xf numFmtId="0" fontId="21" fillId="0" borderId="20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/>
    </xf>
    <xf numFmtId="0" fontId="12" fillId="0" borderId="0" xfId="0" applyFont="1" applyProtection="1"/>
    <xf numFmtId="165" fontId="25" fillId="0" borderId="1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 wrapText="1"/>
    </xf>
    <xf numFmtId="165" fontId="0" fillId="0" borderId="0" xfId="0" applyNumberFormat="1" applyBorder="1" applyAlignment="1" applyProtection="1">
      <alignment horizontal="center" vertical="center"/>
    </xf>
    <xf numFmtId="0" fontId="12" fillId="0" borderId="0" xfId="9" applyFont="1" applyAlignment="1" applyProtection="1">
      <alignment vertical="center"/>
    </xf>
    <xf numFmtId="0" fontId="28" fillId="0" borderId="0" xfId="0" applyFont="1" applyProtection="1"/>
    <xf numFmtId="2" fontId="5" fillId="0" borderId="1" xfId="5" applyNumberFormat="1" applyFont="1" applyBorder="1" applyProtection="1"/>
    <xf numFmtId="2" fontId="0" fillId="0" borderId="0" xfId="0" applyNumberFormat="1" applyProtection="1"/>
    <xf numFmtId="2" fontId="4" fillId="3" borderId="1" xfId="6" applyNumberFormat="1" applyBorder="1" applyProtection="1">
      <protection locked="0"/>
    </xf>
    <xf numFmtId="2" fontId="4" fillId="0" borderId="1" xfId="5" applyNumberFormat="1" applyBorder="1" applyProtection="1"/>
    <xf numFmtId="2" fontId="5" fillId="0" borderId="5" xfId="5" applyNumberFormat="1" applyFont="1" applyBorder="1" applyProtection="1"/>
    <xf numFmtId="2" fontId="4" fillId="0" borderId="5" xfId="5" applyNumberFormat="1" applyBorder="1" applyProtection="1"/>
    <xf numFmtId="4" fontId="2" fillId="0" borderId="1" xfId="2" applyNumberFormat="1" applyBorder="1" applyProtection="1"/>
    <xf numFmtId="4" fontId="1" fillId="0" borderId="1" xfId="3" applyNumberFormat="1" applyBorder="1" applyProtection="1"/>
    <xf numFmtId="4" fontId="0" fillId="0" borderId="0" xfId="0" applyNumberFormat="1" applyProtection="1"/>
    <xf numFmtId="0" fontId="3" fillId="2" borderId="1" xfId="4" applyBorder="1" applyProtection="1"/>
    <xf numFmtId="0" fontId="17" fillId="0" borderId="1" xfId="4" applyFont="1" applyFill="1" applyBorder="1" applyProtection="1"/>
    <xf numFmtId="165" fontId="24" fillId="0" borderId="1" xfId="0" applyNumberFormat="1" applyFont="1" applyFill="1" applyBorder="1" applyAlignment="1" applyProtection="1">
      <alignment horizontal="center" vertical="center"/>
    </xf>
    <xf numFmtId="0" fontId="31" fillId="0" borderId="0" xfId="0" applyFont="1" applyProtection="1"/>
    <xf numFmtId="0" fontId="31" fillId="0" borderId="0" xfId="0" applyFont="1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1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12" fillId="3" borderId="1" xfId="9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 applyProtection="1">
      <alignment horizontal="left" vertical="center" wrapText="1"/>
    </xf>
    <xf numFmtId="0" fontId="0" fillId="0" borderId="0" xfId="0" applyFont="1"/>
    <xf numFmtId="0" fontId="1" fillId="0" borderId="2" xfId="3" applyBorder="1" applyProtection="1"/>
    <xf numFmtId="0" fontId="1" fillId="0" borderId="3" xfId="3" applyBorder="1" applyProtection="1"/>
    <xf numFmtId="0" fontId="1" fillId="0" borderId="4" xfId="3" applyBorder="1" applyProtection="1"/>
    <xf numFmtId="0" fontId="12" fillId="0" borderId="0" xfId="0" applyFont="1" applyAlignment="1" applyProtection="1">
      <alignment horizontal="center" vertical="center"/>
      <protection locked="0"/>
    </xf>
    <xf numFmtId="0" fontId="3" fillId="2" borderId="1" xfId="4" applyBorder="1" applyProtection="1"/>
    <xf numFmtId="0" fontId="12" fillId="0" borderId="0" xfId="0" applyFont="1" applyAlignment="1" applyProtection="1">
      <alignment horizontal="center" vertical="center"/>
    </xf>
    <xf numFmtId="0" fontId="4" fillId="0" borderId="2" xfId="7" applyFont="1" applyBorder="1" applyAlignment="1" applyProtection="1">
      <alignment horizontal="left"/>
    </xf>
    <xf numFmtId="0" fontId="4" fillId="0" borderId="3" xfId="7" applyFont="1" applyBorder="1" applyAlignment="1" applyProtection="1">
      <alignment horizontal="left"/>
    </xf>
    <xf numFmtId="0" fontId="4" fillId="0" borderId="4" xfId="7" applyFont="1" applyBorder="1" applyAlignment="1" applyProtection="1">
      <alignment horizontal="left"/>
    </xf>
    <xf numFmtId="0" fontId="17" fillId="0" borderId="1" xfId="4" applyFont="1" applyFill="1" applyBorder="1" applyProtection="1"/>
    <xf numFmtId="0" fontId="4" fillId="0" borderId="14" xfId="5" applyBorder="1" applyProtection="1"/>
    <xf numFmtId="0" fontId="4" fillId="0" borderId="12" xfId="5" applyBorder="1" applyProtection="1"/>
    <xf numFmtId="164" fontId="4" fillId="0" borderId="12" xfId="5" applyNumberFormat="1" applyBorder="1" applyProtection="1"/>
    <xf numFmtId="164" fontId="4" fillId="0" borderId="13" xfId="5" applyNumberFormat="1" applyBorder="1" applyProtection="1"/>
    <xf numFmtId="0" fontId="14" fillId="0" borderId="2" xfId="4" applyFont="1" applyFill="1" applyBorder="1" applyAlignment="1">
      <alignment horizontal="center"/>
    </xf>
    <xf numFmtId="0" fontId="14" fillId="0" borderId="4" xfId="4" applyFont="1" applyFill="1" applyBorder="1" applyAlignment="1">
      <alignment horizontal="center"/>
    </xf>
    <xf numFmtId="0" fontId="15" fillId="0" borderId="0" xfId="5" applyFont="1" applyAlignment="1">
      <alignment horizontal="left"/>
    </xf>
    <xf numFmtId="0" fontId="20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left"/>
    </xf>
    <xf numFmtId="0" fontId="21" fillId="3" borderId="16" xfId="0" applyFont="1" applyFill="1" applyBorder="1" applyAlignment="1" applyProtection="1">
      <alignment horizontal="center" vertical="center" wrapText="1"/>
      <protection locked="0"/>
    </xf>
    <xf numFmtId="0" fontId="21" fillId="3" borderId="17" xfId="0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1" fillId="3" borderId="19" xfId="0" applyFont="1" applyFill="1" applyBorder="1" applyAlignment="1" applyProtection="1">
      <alignment horizontal="center" vertical="center" wrapText="1"/>
      <protection locked="0"/>
    </xf>
    <xf numFmtId="0" fontId="21" fillId="3" borderId="21" xfId="0" applyFont="1" applyFill="1" applyBorder="1" applyAlignment="1" applyProtection="1">
      <alignment horizontal="center" vertical="center" wrapText="1"/>
      <protection locked="0"/>
    </xf>
    <xf numFmtId="0" fontId="21" fillId="3" borderId="22" xfId="0" applyFont="1" applyFill="1" applyBorder="1" applyAlignment="1" applyProtection="1">
      <alignment horizontal="center" vertical="center" wrapText="1"/>
      <protection locked="0"/>
    </xf>
  </cellXfs>
  <cellStyles count="10">
    <cellStyle name="Background_Yellow" xfId="6"/>
    <cellStyle name="Čiarka" xfId="8" builtinId="3"/>
    <cellStyle name="Font_Ariel_Normal" xfId="2"/>
    <cellStyle name="Font_Ariel_Normal_Bold" xfId="3"/>
    <cellStyle name="Font_Ariel_Normal_Bold_BG_Gray" xfId="1"/>
    <cellStyle name="Font_Ariel_Small" xfId="5"/>
    <cellStyle name="Font_Ariel_Small_Bold" xfId="7"/>
    <cellStyle name="Font_Ariel_Small_Bold_BG_Gray" xfId="4"/>
    <cellStyle name="Hypertextové prepojenie" xfId="9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9"/>
  <sheetViews>
    <sheetView tabSelected="1" zoomScale="130" zoomScaleNormal="130" workbookViewId="0">
      <selection activeCell="B3" sqref="B3"/>
    </sheetView>
  </sheetViews>
  <sheetFormatPr defaultColWidth="8.7109375" defaultRowHeight="15"/>
  <cols>
    <col min="1" max="1" width="2.28515625" style="76" customWidth="1"/>
    <col min="2" max="2" width="15.28515625" style="76" bestFit="1" customWidth="1"/>
    <col min="3" max="3" width="16.85546875" style="76" bestFit="1" customWidth="1"/>
    <col min="4" max="4" width="43.42578125" style="76" bestFit="1" customWidth="1"/>
    <col min="5" max="7" width="17.28515625" style="76" customWidth="1"/>
    <col min="8" max="8" width="9.28515625" style="76" hidden="1" customWidth="1"/>
    <col min="9" max="16384" width="8.7109375" style="76"/>
  </cols>
  <sheetData>
    <row r="1" spans="2:8">
      <c r="B1" s="137"/>
      <c r="C1" s="137"/>
      <c r="D1" s="137"/>
      <c r="E1" s="137"/>
      <c r="F1" s="137"/>
      <c r="G1" s="138" t="s">
        <v>330</v>
      </c>
    </row>
    <row r="2" spans="2:8">
      <c r="B2" s="137"/>
      <c r="C2" s="137"/>
      <c r="D2" s="137"/>
      <c r="E2" s="137"/>
      <c r="F2" s="137"/>
      <c r="G2" s="138" t="s">
        <v>324</v>
      </c>
    </row>
    <row r="3" spans="2:8">
      <c r="B3" s="137" t="s">
        <v>331</v>
      </c>
      <c r="C3" s="137"/>
      <c r="D3" s="137"/>
      <c r="E3" s="137"/>
      <c r="F3" s="137"/>
      <c r="G3" s="137"/>
    </row>
    <row r="4" spans="2:8">
      <c r="B4" s="137" t="s">
        <v>323</v>
      </c>
      <c r="C4" s="137"/>
      <c r="D4" s="137"/>
      <c r="E4" s="137"/>
      <c r="F4" s="137"/>
      <c r="G4" s="137"/>
    </row>
    <row r="6" spans="2:8">
      <c r="B6" s="74" t="s">
        <v>0</v>
      </c>
      <c r="C6" s="74" t="s">
        <v>1</v>
      </c>
      <c r="D6" s="74" t="s">
        <v>2</v>
      </c>
      <c r="E6" s="75" t="s">
        <v>3</v>
      </c>
      <c r="F6" s="75" t="s">
        <v>304</v>
      </c>
      <c r="G6" s="75" t="s">
        <v>4</v>
      </c>
    </row>
    <row r="7" spans="2:8">
      <c r="B7" s="77" t="s">
        <v>5</v>
      </c>
      <c r="C7" s="78" t="s">
        <v>6</v>
      </c>
      <c r="D7" s="78" t="s">
        <v>7</v>
      </c>
      <c r="E7" s="131">
        <f>'2.časť_B.2_Časti stavby_SO-206'!I13</f>
        <v>0</v>
      </c>
      <c r="F7" s="131">
        <f>ROUND(0.23*E7,2)</f>
        <v>0</v>
      </c>
      <c r="G7" s="131">
        <f>ROUND(E7+F7,2)</f>
        <v>0</v>
      </c>
      <c r="H7" s="76">
        <v>1</v>
      </c>
    </row>
    <row r="8" spans="2:8">
      <c r="B8" s="77" t="s">
        <v>8</v>
      </c>
      <c r="C8" s="79">
        <v>2112</v>
      </c>
      <c r="D8" s="78" t="s">
        <v>9</v>
      </c>
      <c r="E8" s="131">
        <f>'2.časť_B.2_Časti stavby_SO-206'!I44</f>
        <v>0</v>
      </c>
      <c r="F8" s="131">
        <f>ROUND(0.23*E8,2)</f>
        <v>0</v>
      </c>
      <c r="G8" s="131">
        <f>ROUND(E8+F8,2)</f>
        <v>0</v>
      </c>
      <c r="H8" s="76">
        <v>1</v>
      </c>
    </row>
    <row r="9" spans="2:8">
      <c r="B9" s="77" t="s">
        <v>111</v>
      </c>
      <c r="C9" s="79">
        <v>2141</v>
      </c>
      <c r="D9" s="78" t="s">
        <v>112</v>
      </c>
      <c r="E9" s="131">
        <f>'2.časť_B.2_Časti stavby_SO-206'!I58</f>
        <v>0</v>
      </c>
      <c r="F9" s="131">
        <f>ROUND(0.23*E9,2)</f>
        <v>0</v>
      </c>
      <c r="G9" s="131">
        <f>ROUND(E9+F9,2)</f>
        <v>0</v>
      </c>
      <c r="H9" s="76">
        <v>1</v>
      </c>
    </row>
    <row r="10" spans="2:8">
      <c r="B10" s="145" t="s">
        <v>333</v>
      </c>
      <c r="C10" s="146"/>
      <c r="D10" s="147"/>
      <c r="E10" s="132">
        <f>SUMIF(H7:H9,1,E7:E9)</f>
        <v>0</v>
      </c>
      <c r="F10" s="132">
        <f>SUMIF(H7:H9,1,F7:F9)</f>
        <v>0</v>
      </c>
      <c r="G10" s="132">
        <f>SUMIF(H7:H9,1,G7:G9)</f>
        <v>0</v>
      </c>
    </row>
    <row r="14" spans="2:8">
      <c r="B14" s="80"/>
      <c r="C14" s="80"/>
      <c r="D14" s="80"/>
      <c r="E14" s="80"/>
      <c r="F14" s="80"/>
    </row>
    <row r="15" spans="2:8">
      <c r="B15" s="80"/>
      <c r="C15" s="80"/>
      <c r="D15" s="80"/>
      <c r="E15" s="80"/>
      <c r="F15" s="80"/>
    </row>
    <row r="16" spans="2:8">
      <c r="B16" s="73" t="s">
        <v>300</v>
      </c>
      <c r="C16" s="80"/>
      <c r="D16" s="80"/>
      <c r="E16" s="148" t="s">
        <v>301</v>
      </c>
      <c r="F16" s="148"/>
    </row>
    <row r="17" spans="2:6">
      <c r="B17" s="80"/>
      <c r="C17" s="80"/>
      <c r="D17" s="80"/>
      <c r="E17" s="148" t="s">
        <v>302</v>
      </c>
      <c r="F17" s="148"/>
    </row>
    <row r="18" spans="2:6">
      <c r="B18" s="80"/>
      <c r="C18" s="80"/>
      <c r="D18" s="80"/>
      <c r="E18" s="148" t="s">
        <v>303</v>
      </c>
      <c r="F18" s="148"/>
    </row>
    <row r="19" spans="2:6">
      <c r="B19" s="80"/>
      <c r="C19" s="80"/>
      <c r="D19" s="80"/>
      <c r="E19" s="80"/>
      <c r="F19" s="80"/>
    </row>
  </sheetData>
  <sheetProtection algorithmName="SHA-512" hashValue="Ie4P9SB/IoysGJalucZZA3ZZXdyPeU1VZlZe9lxIkteGHIVgJSlMNgbJelWz2WL/Ia/JMPMNl6LVHjJzhprFcg==" saltValue="KJ74V/76trF/NAxUrjMzYg==" spinCount="100000" sheet="1" objects="1" scenarios="1"/>
  <mergeCells count="4">
    <mergeCell ref="B10:D10"/>
    <mergeCell ref="E16:F16"/>
    <mergeCell ref="E17:F17"/>
    <mergeCell ref="E18:F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N61"/>
  <sheetViews>
    <sheetView zoomScaleNormal="100" zoomScaleSheetLayoutView="100" workbookViewId="0">
      <selection activeCell="B64" sqref="B64"/>
    </sheetView>
  </sheetViews>
  <sheetFormatPr defaultColWidth="8.7109375" defaultRowHeight="15"/>
  <cols>
    <col min="1" max="1" width="2.28515625" style="76" customWidth="1"/>
    <col min="2" max="2" width="30.7109375" style="76" customWidth="1"/>
    <col min="3" max="3" width="7.85546875" style="76" bestFit="1" customWidth="1"/>
    <col min="4" max="4" width="10.85546875" style="76" bestFit="1" customWidth="1"/>
    <col min="5" max="5" width="50.7109375" style="76" customWidth="1"/>
    <col min="6" max="6" width="8.140625" style="76" bestFit="1" customWidth="1"/>
    <col min="7" max="7" width="8.7109375" style="76" bestFit="1" customWidth="1"/>
    <col min="8" max="8" width="0.85546875" style="76" customWidth="1"/>
    <col min="9" max="9" width="17.28515625" style="76" customWidth="1"/>
    <col min="10" max="11" width="17.28515625" style="76" hidden="1" customWidth="1"/>
    <col min="12" max="12" width="9.28515625" style="133" bestFit="1" customWidth="1"/>
    <col min="13" max="13" width="8.7109375" style="76"/>
    <col min="14" max="14" width="12.140625" style="76" bestFit="1" customWidth="1"/>
    <col min="15" max="16384" width="8.7109375" style="76"/>
  </cols>
  <sheetData>
    <row r="1" spans="2:11">
      <c r="I1" s="138" t="s">
        <v>330</v>
      </c>
    </row>
    <row r="2" spans="2:11">
      <c r="I2" s="138" t="s">
        <v>325</v>
      </c>
    </row>
    <row r="3" spans="2:11">
      <c r="B3" s="137" t="s">
        <v>331</v>
      </c>
    </row>
    <row r="4" spans="2:11">
      <c r="B4" s="137" t="s">
        <v>323</v>
      </c>
    </row>
    <row r="6" spans="2:11">
      <c r="B6" s="134" t="s">
        <v>11</v>
      </c>
      <c r="C6" s="149" t="s">
        <v>12</v>
      </c>
      <c r="D6" s="149"/>
      <c r="E6" s="134" t="s">
        <v>13</v>
      </c>
      <c r="F6" s="134" t="s">
        <v>14</v>
      </c>
      <c r="G6" s="134" t="s">
        <v>15</v>
      </c>
      <c r="I6" s="81" t="s">
        <v>16</v>
      </c>
      <c r="J6" s="81" t="s">
        <v>304</v>
      </c>
      <c r="K6" s="81" t="s">
        <v>17</v>
      </c>
    </row>
    <row r="7" spans="2:11" ht="23.25">
      <c r="B7" s="82" t="s">
        <v>18</v>
      </c>
      <c r="C7" s="83" t="s">
        <v>19</v>
      </c>
      <c r="D7" s="83" t="s">
        <v>20</v>
      </c>
      <c r="E7" s="84" t="s">
        <v>21</v>
      </c>
      <c r="F7" s="85" t="s">
        <v>22</v>
      </c>
      <c r="G7" s="125">
        <v>153.38</v>
      </c>
      <c r="H7" s="126"/>
      <c r="I7" s="127"/>
      <c r="J7" s="88">
        <f>ROUNDDOWN(I7*0.23,2)</f>
        <v>0</v>
      </c>
      <c r="K7" s="88">
        <f t="shared" ref="K7:K54" si="0">I7+J7</f>
        <v>0</v>
      </c>
    </row>
    <row r="8" spans="2:11">
      <c r="B8" s="89"/>
      <c r="C8" s="83" t="s">
        <v>19</v>
      </c>
      <c r="D8" s="83" t="s">
        <v>23</v>
      </c>
      <c r="E8" s="84" t="s">
        <v>24</v>
      </c>
      <c r="F8" s="85" t="s">
        <v>25</v>
      </c>
      <c r="G8" s="125">
        <v>379.3</v>
      </c>
      <c r="H8" s="126"/>
      <c r="I8" s="127"/>
      <c r="J8" s="88">
        <f t="shared" ref="J8:J54" si="1">ROUNDDOWN(I8*0.23,2)</f>
        <v>0</v>
      </c>
      <c r="K8" s="88">
        <f t="shared" si="0"/>
        <v>0</v>
      </c>
    </row>
    <row r="9" spans="2:11" ht="23.25">
      <c r="B9" s="89"/>
      <c r="C9" s="83" t="s">
        <v>19</v>
      </c>
      <c r="D9" s="83" t="s">
        <v>26</v>
      </c>
      <c r="E9" s="84" t="s">
        <v>27</v>
      </c>
      <c r="F9" s="85" t="s">
        <v>28</v>
      </c>
      <c r="G9" s="125">
        <v>1</v>
      </c>
      <c r="H9" s="126"/>
      <c r="I9" s="127"/>
      <c r="J9" s="88">
        <f t="shared" si="1"/>
        <v>0</v>
      </c>
      <c r="K9" s="88">
        <f t="shared" si="0"/>
        <v>0</v>
      </c>
    </row>
    <row r="10" spans="2:11" ht="23.25">
      <c r="B10" s="89"/>
      <c r="C10" s="83" t="s">
        <v>19</v>
      </c>
      <c r="D10" s="83" t="s">
        <v>29</v>
      </c>
      <c r="E10" s="84" t="s">
        <v>30</v>
      </c>
      <c r="F10" s="85" t="s">
        <v>28</v>
      </c>
      <c r="G10" s="125">
        <v>1</v>
      </c>
      <c r="H10" s="126"/>
      <c r="I10" s="127"/>
      <c r="J10" s="88">
        <f t="shared" si="1"/>
        <v>0</v>
      </c>
      <c r="K10" s="88">
        <f t="shared" si="0"/>
        <v>0</v>
      </c>
    </row>
    <row r="11" spans="2:11" ht="34.5">
      <c r="B11" s="89"/>
      <c r="C11" s="83" t="s">
        <v>19</v>
      </c>
      <c r="D11" s="83" t="s">
        <v>31</v>
      </c>
      <c r="E11" s="84" t="s">
        <v>32</v>
      </c>
      <c r="F11" s="85" t="s">
        <v>28</v>
      </c>
      <c r="G11" s="125">
        <v>1</v>
      </c>
      <c r="H11" s="126"/>
      <c r="I11" s="127"/>
      <c r="J11" s="88">
        <f t="shared" si="1"/>
        <v>0</v>
      </c>
      <c r="K11" s="88">
        <f t="shared" si="0"/>
        <v>0</v>
      </c>
    </row>
    <row r="12" spans="2:11" ht="23.25">
      <c r="B12" s="89"/>
      <c r="C12" s="83" t="s">
        <v>19</v>
      </c>
      <c r="D12" s="90" t="s">
        <v>286</v>
      </c>
      <c r="E12" s="84" t="s">
        <v>287</v>
      </c>
      <c r="F12" s="85" t="s">
        <v>28</v>
      </c>
      <c r="G12" s="125">
        <v>1</v>
      </c>
      <c r="H12" s="126"/>
      <c r="I12" s="127"/>
      <c r="J12" s="88">
        <f t="shared" si="1"/>
        <v>0</v>
      </c>
      <c r="K12" s="88">
        <f t="shared" si="0"/>
        <v>0</v>
      </c>
    </row>
    <row r="13" spans="2:11">
      <c r="B13" s="82" t="s">
        <v>33</v>
      </c>
      <c r="C13" s="83" t="s">
        <v>34</v>
      </c>
      <c r="D13" s="91" t="s">
        <v>35</v>
      </c>
      <c r="E13" s="92" t="s">
        <v>36</v>
      </c>
      <c r="F13" s="93" t="s">
        <v>25</v>
      </c>
      <c r="G13" s="125">
        <f>'2.časť_B.2_Časti stavby_SO-206'!G14</f>
        <v>20</v>
      </c>
      <c r="H13" s="126"/>
      <c r="I13" s="127"/>
      <c r="J13" s="88">
        <f t="shared" si="1"/>
        <v>0</v>
      </c>
      <c r="K13" s="88">
        <f t="shared" si="0"/>
        <v>0</v>
      </c>
    </row>
    <row r="14" spans="2:11">
      <c r="B14" s="89"/>
      <c r="C14" s="83" t="s">
        <v>34</v>
      </c>
      <c r="D14" s="83" t="s">
        <v>114</v>
      </c>
      <c r="E14" s="84" t="s">
        <v>115</v>
      </c>
      <c r="F14" s="85" t="s">
        <v>42</v>
      </c>
      <c r="G14" s="125">
        <v>70</v>
      </c>
      <c r="H14" s="125">
        <v>95.07</v>
      </c>
      <c r="I14" s="127"/>
      <c r="J14" s="88">
        <f t="shared" si="1"/>
        <v>0</v>
      </c>
      <c r="K14" s="88">
        <f t="shared" si="0"/>
        <v>0</v>
      </c>
    </row>
    <row r="15" spans="2:11">
      <c r="B15" s="89"/>
      <c r="C15" s="83" t="s">
        <v>34</v>
      </c>
      <c r="D15" s="91" t="s">
        <v>37</v>
      </c>
      <c r="E15" s="92" t="s">
        <v>38</v>
      </c>
      <c r="F15" s="93" t="s">
        <v>39</v>
      </c>
      <c r="G15" s="125">
        <v>2</v>
      </c>
      <c r="H15" s="126"/>
      <c r="I15" s="127"/>
      <c r="J15" s="88">
        <f t="shared" si="1"/>
        <v>0</v>
      </c>
      <c r="K15" s="88">
        <f t="shared" si="0"/>
        <v>0</v>
      </c>
    </row>
    <row r="16" spans="2:11">
      <c r="B16" s="89"/>
      <c r="C16" s="83" t="s">
        <v>34</v>
      </c>
      <c r="D16" s="83" t="s">
        <v>290</v>
      </c>
      <c r="E16" s="84" t="s">
        <v>291</v>
      </c>
      <c r="F16" s="85" t="s">
        <v>39</v>
      </c>
      <c r="G16" s="125">
        <v>22</v>
      </c>
      <c r="H16" s="125"/>
      <c r="I16" s="127"/>
      <c r="J16" s="88">
        <f t="shared" si="1"/>
        <v>0</v>
      </c>
      <c r="K16" s="88">
        <f t="shared" si="0"/>
        <v>0</v>
      </c>
    </row>
    <row r="17" spans="2:11" ht="23.25">
      <c r="B17" s="89"/>
      <c r="C17" s="83" t="s">
        <v>34</v>
      </c>
      <c r="D17" s="91" t="s">
        <v>40</v>
      </c>
      <c r="E17" s="92" t="s">
        <v>41</v>
      </c>
      <c r="F17" s="93" t="s">
        <v>42</v>
      </c>
      <c r="G17" s="125">
        <v>48</v>
      </c>
      <c r="H17" s="126"/>
      <c r="I17" s="127"/>
      <c r="J17" s="88">
        <f t="shared" si="1"/>
        <v>0</v>
      </c>
      <c r="K17" s="88">
        <f t="shared" si="0"/>
        <v>0</v>
      </c>
    </row>
    <row r="18" spans="2:11" ht="23.25">
      <c r="B18" s="89"/>
      <c r="C18" s="83" t="s">
        <v>34</v>
      </c>
      <c r="D18" s="91" t="s">
        <v>43</v>
      </c>
      <c r="E18" s="92" t="s">
        <v>44</v>
      </c>
      <c r="F18" s="93" t="s">
        <v>42</v>
      </c>
      <c r="G18" s="125">
        <v>48</v>
      </c>
      <c r="H18" s="126"/>
      <c r="I18" s="127"/>
      <c r="J18" s="88">
        <f t="shared" si="1"/>
        <v>0</v>
      </c>
      <c r="K18" s="88">
        <f t="shared" si="0"/>
        <v>0</v>
      </c>
    </row>
    <row r="19" spans="2:11" ht="23.25">
      <c r="B19" s="89"/>
      <c r="C19" s="83" t="s">
        <v>34</v>
      </c>
      <c r="D19" s="91" t="s">
        <v>45</v>
      </c>
      <c r="E19" s="92" t="s">
        <v>46</v>
      </c>
      <c r="F19" s="93" t="s">
        <v>42</v>
      </c>
      <c r="G19" s="125">
        <v>52.8</v>
      </c>
      <c r="H19" s="126"/>
      <c r="I19" s="127"/>
      <c r="J19" s="88">
        <f t="shared" si="1"/>
        <v>0</v>
      </c>
      <c r="K19" s="88">
        <f t="shared" si="0"/>
        <v>0</v>
      </c>
    </row>
    <row r="20" spans="2:11" ht="23.25">
      <c r="B20" s="89"/>
      <c r="C20" s="83" t="s">
        <v>34</v>
      </c>
      <c r="D20" s="91" t="s">
        <v>47</v>
      </c>
      <c r="E20" s="92" t="s">
        <v>48</v>
      </c>
      <c r="F20" s="93" t="s">
        <v>49</v>
      </c>
      <c r="G20" s="125">
        <v>208</v>
      </c>
      <c r="H20" s="126"/>
      <c r="I20" s="127"/>
      <c r="J20" s="88">
        <f t="shared" si="1"/>
        <v>0</v>
      </c>
      <c r="K20" s="88">
        <f t="shared" si="0"/>
        <v>0</v>
      </c>
    </row>
    <row r="21" spans="2:11">
      <c r="B21" s="89"/>
      <c r="C21" s="83" t="s">
        <v>34</v>
      </c>
      <c r="D21" s="91" t="s">
        <v>50</v>
      </c>
      <c r="E21" s="92" t="s">
        <v>51</v>
      </c>
      <c r="F21" s="93" t="s">
        <v>22</v>
      </c>
      <c r="G21" s="125">
        <v>167.4</v>
      </c>
      <c r="H21" s="126"/>
      <c r="I21" s="127"/>
      <c r="J21" s="88">
        <f t="shared" si="1"/>
        <v>0</v>
      </c>
      <c r="K21" s="88">
        <f t="shared" si="0"/>
        <v>0</v>
      </c>
    </row>
    <row r="22" spans="2:11">
      <c r="B22" s="89"/>
      <c r="C22" s="83" t="s">
        <v>34</v>
      </c>
      <c r="D22" s="91" t="s">
        <v>52</v>
      </c>
      <c r="E22" s="92" t="s">
        <v>53</v>
      </c>
      <c r="F22" s="93" t="s">
        <v>42</v>
      </c>
      <c r="G22" s="125">
        <v>480</v>
      </c>
      <c r="H22" s="126"/>
      <c r="I22" s="127"/>
      <c r="J22" s="88">
        <f t="shared" si="1"/>
        <v>0</v>
      </c>
      <c r="K22" s="88">
        <f t="shared" si="0"/>
        <v>0</v>
      </c>
    </row>
    <row r="23" spans="2:11">
      <c r="B23" s="89"/>
      <c r="C23" s="83" t="s">
        <v>34</v>
      </c>
      <c r="D23" s="83" t="s">
        <v>116</v>
      </c>
      <c r="E23" s="84" t="s">
        <v>117</v>
      </c>
      <c r="F23" s="85" t="s">
        <v>42</v>
      </c>
      <c r="G23" s="125">
        <v>9.9</v>
      </c>
      <c r="H23" s="125">
        <v>26.8</v>
      </c>
      <c r="I23" s="127"/>
      <c r="J23" s="88">
        <f t="shared" si="1"/>
        <v>0</v>
      </c>
      <c r="K23" s="88">
        <f t="shared" si="0"/>
        <v>0</v>
      </c>
    </row>
    <row r="24" spans="2:11" ht="23.25">
      <c r="B24" s="82" t="s">
        <v>133</v>
      </c>
      <c r="C24" s="83" t="s">
        <v>118</v>
      </c>
      <c r="D24" s="83" t="s">
        <v>119</v>
      </c>
      <c r="E24" s="84" t="s">
        <v>120</v>
      </c>
      <c r="F24" s="85" t="s">
        <v>42</v>
      </c>
      <c r="G24" s="125">
        <v>50</v>
      </c>
      <c r="H24" s="128" t="b">
        <f>'2.časť_B.2_Súpis prác_SO-206'!I28='2.časť_B.2_Súpis prác_SO-206'!I28</f>
        <v>1</v>
      </c>
      <c r="I24" s="127"/>
      <c r="J24" s="88">
        <f t="shared" si="1"/>
        <v>0</v>
      </c>
      <c r="K24" s="88">
        <f t="shared" si="0"/>
        <v>0</v>
      </c>
    </row>
    <row r="25" spans="2:11">
      <c r="B25" s="89"/>
      <c r="C25" s="83" t="s">
        <v>118</v>
      </c>
      <c r="D25" s="83" t="s">
        <v>60</v>
      </c>
      <c r="E25" s="84" t="s">
        <v>61</v>
      </c>
      <c r="F25" s="85" t="s">
        <v>42</v>
      </c>
      <c r="G25" s="125">
        <v>50</v>
      </c>
      <c r="H25" s="128">
        <v>11.6</v>
      </c>
      <c r="I25" s="127"/>
      <c r="J25" s="88">
        <f t="shared" si="1"/>
        <v>0</v>
      </c>
      <c r="K25" s="88">
        <f t="shared" si="0"/>
        <v>0</v>
      </c>
    </row>
    <row r="26" spans="2:11" ht="23.25">
      <c r="B26" s="82" t="s">
        <v>54</v>
      </c>
      <c r="C26" s="91" t="s">
        <v>55</v>
      </c>
      <c r="D26" s="91" t="s">
        <v>56</v>
      </c>
      <c r="E26" s="92" t="s">
        <v>57</v>
      </c>
      <c r="F26" s="93" t="s">
        <v>25</v>
      </c>
      <c r="G26" s="125">
        <v>363.5</v>
      </c>
      <c r="H26" s="126"/>
      <c r="I26" s="127"/>
      <c r="J26" s="88">
        <f t="shared" si="1"/>
        <v>0</v>
      </c>
      <c r="K26" s="88">
        <f t="shared" si="0"/>
        <v>0</v>
      </c>
    </row>
    <row r="27" spans="2:11">
      <c r="B27" s="89"/>
      <c r="C27" s="91" t="s">
        <v>55</v>
      </c>
      <c r="D27" s="91" t="s">
        <v>58</v>
      </c>
      <c r="E27" s="92" t="s">
        <v>59</v>
      </c>
      <c r="F27" s="93" t="s">
        <v>25</v>
      </c>
      <c r="G27" s="125">
        <v>15.8</v>
      </c>
      <c r="H27" s="126"/>
      <c r="I27" s="127"/>
      <c r="J27" s="88">
        <f t="shared" si="1"/>
        <v>0</v>
      </c>
      <c r="K27" s="88">
        <f t="shared" si="0"/>
        <v>0</v>
      </c>
    </row>
    <row r="28" spans="2:11">
      <c r="B28" s="89"/>
      <c r="C28" s="91" t="s">
        <v>62</v>
      </c>
      <c r="D28" s="91" t="s">
        <v>63</v>
      </c>
      <c r="E28" s="92" t="s">
        <v>64</v>
      </c>
      <c r="F28" s="93" t="s">
        <v>25</v>
      </c>
      <c r="G28" s="125">
        <v>11.2</v>
      </c>
      <c r="H28" s="126"/>
      <c r="I28" s="127"/>
      <c r="J28" s="88">
        <f t="shared" si="1"/>
        <v>0</v>
      </c>
      <c r="K28" s="88">
        <f t="shared" si="0"/>
        <v>0</v>
      </c>
    </row>
    <row r="29" spans="2:11">
      <c r="B29" s="89"/>
      <c r="C29" s="91" t="s">
        <v>55</v>
      </c>
      <c r="D29" s="91" t="s">
        <v>60</v>
      </c>
      <c r="E29" s="84" t="s">
        <v>61</v>
      </c>
      <c r="F29" s="93" t="s">
        <v>25</v>
      </c>
      <c r="G29" s="125">
        <v>379.3</v>
      </c>
      <c r="H29" s="126"/>
      <c r="I29" s="127"/>
      <c r="J29" s="88">
        <f t="shared" si="1"/>
        <v>0</v>
      </c>
      <c r="K29" s="88">
        <f t="shared" si="0"/>
        <v>0</v>
      </c>
    </row>
    <row r="30" spans="2:11" ht="29.25" customHeight="1">
      <c r="B30" s="82" t="s">
        <v>134</v>
      </c>
      <c r="C30" s="83" t="s">
        <v>121</v>
      </c>
      <c r="D30" s="83" t="s">
        <v>122</v>
      </c>
      <c r="E30" s="84" t="s">
        <v>297</v>
      </c>
      <c r="F30" s="85" t="s">
        <v>39</v>
      </c>
      <c r="G30" s="125">
        <v>16</v>
      </c>
      <c r="H30" s="126"/>
      <c r="I30" s="127"/>
      <c r="J30" s="88">
        <f t="shared" si="1"/>
        <v>0</v>
      </c>
      <c r="K30" s="88">
        <f t="shared" si="0"/>
        <v>0</v>
      </c>
    </row>
    <row r="31" spans="2:11" ht="29.25" customHeight="1">
      <c r="B31" s="89"/>
      <c r="C31" s="83" t="s">
        <v>121</v>
      </c>
      <c r="D31" s="83" t="s">
        <v>122</v>
      </c>
      <c r="E31" s="84" t="s">
        <v>298</v>
      </c>
      <c r="F31" s="85" t="s">
        <v>39</v>
      </c>
      <c r="G31" s="125">
        <v>6</v>
      </c>
      <c r="H31" s="126"/>
      <c r="I31" s="127"/>
      <c r="J31" s="88">
        <f t="shared" si="1"/>
        <v>0</v>
      </c>
      <c r="K31" s="88">
        <f t="shared" si="0"/>
        <v>0</v>
      </c>
    </row>
    <row r="32" spans="2:11" ht="27" customHeight="1">
      <c r="B32" s="89"/>
      <c r="C32" s="83" t="s">
        <v>121</v>
      </c>
      <c r="D32" s="83" t="s">
        <v>124</v>
      </c>
      <c r="E32" s="84" t="s">
        <v>125</v>
      </c>
      <c r="F32" s="85" t="s">
        <v>42</v>
      </c>
      <c r="G32" s="125">
        <v>8.91</v>
      </c>
      <c r="H32" s="126"/>
      <c r="I32" s="127"/>
      <c r="J32" s="88">
        <f t="shared" si="1"/>
        <v>0</v>
      </c>
      <c r="K32" s="88">
        <f t="shared" si="0"/>
        <v>0</v>
      </c>
    </row>
    <row r="33" spans="2:11" ht="23.25">
      <c r="B33" s="89"/>
      <c r="C33" s="83" t="s">
        <v>121</v>
      </c>
      <c r="D33" s="83" t="s">
        <v>126</v>
      </c>
      <c r="E33" s="84" t="s">
        <v>127</v>
      </c>
      <c r="F33" s="85" t="s">
        <v>42</v>
      </c>
      <c r="G33" s="125">
        <v>0.22</v>
      </c>
      <c r="H33" s="126"/>
      <c r="I33" s="127"/>
      <c r="J33" s="88">
        <f t="shared" si="1"/>
        <v>0</v>
      </c>
      <c r="K33" s="88">
        <f t="shared" si="0"/>
        <v>0</v>
      </c>
    </row>
    <row r="34" spans="2:11">
      <c r="B34" s="89"/>
      <c r="C34" s="83" t="s">
        <v>121</v>
      </c>
      <c r="D34" s="83" t="s">
        <v>128</v>
      </c>
      <c r="E34" s="84" t="s">
        <v>129</v>
      </c>
      <c r="F34" s="85" t="s">
        <v>25</v>
      </c>
      <c r="G34" s="125">
        <v>84</v>
      </c>
      <c r="H34" s="126"/>
      <c r="I34" s="127"/>
      <c r="J34" s="88">
        <f t="shared" si="1"/>
        <v>0</v>
      </c>
      <c r="K34" s="88">
        <f t="shared" si="0"/>
        <v>0</v>
      </c>
    </row>
    <row r="35" spans="2:11" ht="23.25">
      <c r="B35" s="82" t="s">
        <v>65</v>
      </c>
      <c r="C35" s="91" t="s">
        <v>66</v>
      </c>
      <c r="D35" s="91" t="s">
        <v>69</v>
      </c>
      <c r="E35" s="92" t="s">
        <v>70</v>
      </c>
      <c r="F35" s="93" t="s">
        <v>39</v>
      </c>
      <c r="G35" s="125">
        <v>16</v>
      </c>
      <c r="H35" s="126"/>
      <c r="I35" s="127"/>
      <c r="J35" s="88">
        <f t="shared" si="1"/>
        <v>0</v>
      </c>
      <c r="K35" s="88">
        <f>I36+J35</f>
        <v>0</v>
      </c>
    </row>
    <row r="36" spans="2:11">
      <c r="B36" s="89"/>
      <c r="C36" s="91" t="s">
        <v>66</v>
      </c>
      <c r="D36" s="91" t="s">
        <v>67</v>
      </c>
      <c r="E36" s="92" t="s">
        <v>68</v>
      </c>
      <c r="F36" s="93" t="s">
        <v>49</v>
      </c>
      <c r="G36" s="125">
        <v>28</v>
      </c>
      <c r="H36" s="126"/>
      <c r="I36" s="127"/>
      <c r="J36" s="88">
        <f t="shared" si="1"/>
        <v>0</v>
      </c>
      <c r="K36" s="88"/>
    </row>
    <row r="37" spans="2:11" ht="34.5">
      <c r="B37" s="82" t="s">
        <v>71</v>
      </c>
      <c r="C37" s="83" t="s">
        <v>72</v>
      </c>
      <c r="D37" s="83" t="s">
        <v>101</v>
      </c>
      <c r="E37" s="84" t="s">
        <v>102</v>
      </c>
      <c r="F37" s="85" t="s">
        <v>25</v>
      </c>
      <c r="G37" s="125">
        <v>17.5</v>
      </c>
      <c r="H37" s="126"/>
      <c r="I37" s="127"/>
      <c r="J37" s="88">
        <f t="shared" si="1"/>
        <v>0</v>
      </c>
      <c r="K37" s="88">
        <f t="shared" si="0"/>
        <v>0</v>
      </c>
    </row>
    <row r="38" spans="2:11" ht="23.25">
      <c r="B38" s="89"/>
      <c r="C38" s="83" t="s">
        <v>72</v>
      </c>
      <c r="D38" s="83" t="s">
        <v>130</v>
      </c>
      <c r="E38" s="84" t="s">
        <v>131</v>
      </c>
      <c r="F38" s="85" t="s">
        <v>42</v>
      </c>
      <c r="G38" s="125">
        <v>70</v>
      </c>
      <c r="H38" s="126"/>
      <c r="I38" s="127"/>
      <c r="J38" s="88">
        <f t="shared" si="1"/>
        <v>0</v>
      </c>
      <c r="K38" s="88">
        <f t="shared" si="0"/>
        <v>0</v>
      </c>
    </row>
    <row r="39" spans="2:11" ht="23.25">
      <c r="B39" s="89"/>
      <c r="C39" s="83" t="s">
        <v>72</v>
      </c>
      <c r="D39" s="91" t="s">
        <v>73</v>
      </c>
      <c r="E39" s="92" t="s">
        <v>74</v>
      </c>
      <c r="F39" s="93" t="s">
        <v>42</v>
      </c>
      <c r="G39" s="125">
        <v>80</v>
      </c>
      <c r="H39" s="126"/>
      <c r="I39" s="127"/>
      <c r="J39" s="88">
        <f t="shared" si="1"/>
        <v>0</v>
      </c>
      <c r="K39" s="88">
        <f t="shared" si="0"/>
        <v>0</v>
      </c>
    </row>
    <row r="40" spans="2:11" ht="34.5">
      <c r="B40" s="82" t="s">
        <v>75</v>
      </c>
      <c r="C40" s="91" t="s">
        <v>76</v>
      </c>
      <c r="D40" s="91" t="s">
        <v>77</v>
      </c>
      <c r="E40" s="92" t="s">
        <v>78</v>
      </c>
      <c r="F40" s="93" t="s">
        <v>42</v>
      </c>
      <c r="G40" s="125">
        <v>456</v>
      </c>
      <c r="H40" s="126"/>
      <c r="I40" s="127"/>
      <c r="J40" s="88">
        <f t="shared" si="1"/>
        <v>0</v>
      </c>
      <c r="K40" s="88">
        <f t="shared" si="0"/>
        <v>0</v>
      </c>
    </row>
    <row r="41" spans="2:11" ht="23.25">
      <c r="B41" s="94"/>
      <c r="C41" s="91" t="s">
        <v>76</v>
      </c>
      <c r="D41" s="91" t="s">
        <v>79</v>
      </c>
      <c r="E41" s="92" t="s">
        <v>80</v>
      </c>
      <c r="F41" s="93" t="s">
        <v>42</v>
      </c>
      <c r="G41" s="125">
        <v>480</v>
      </c>
      <c r="H41" s="126"/>
      <c r="I41" s="127"/>
      <c r="J41" s="88">
        <f t="shared" si="1"/>
        <v>0</v>
      </c>
      <c r="K41" s="88">
        <f t="shared" si="0"/>
        <v>0</v>
      </c>
    </row>
    <row r="42" spans="2:11" ht="23.25">
      <c r="B42" s="94"/>
      <c r="C42" s="91" t="s">
        <v>76</v>
      </c>
      <c r="D42" s="91" t="s">
        <v>81</v>
      </c>
      <c r="E42" s="92" t="s">
        <v>82</v>
      </c>
      <c r="F42" s="93" t="s">
        <v>42</v>
      </c>
      <c r="G42" s="125">
        <v>160</v>
      </c>
      <c r="H42" s="126"/>
      <c r="I42" s="127"/>
      <c r="J42" s="88">
        <f t="shared" si="1"/>
        <v>0</v>
      </c>
      <c r="K42" s="88">
        <f t="shared" si="0"/>
        <v>0</v>
      </c>
    </row>
    <row r="43" spans="2:11" ht="23.25">
      <c r="B43" s="94"/>
      <c r="C43" s="91" t="s">
        <v>76</v>
      </c>
      <c r="D43" s="91" t="s">
        <v>83</v>
      </c>
      <c r="E43" s="92" t="s">
        <v>84</v>
      </c>
      <c r="F43" s="93" t="s">
        <v>42</v>
      </c>
      <c r="G43" s="125">
        <v>320</v>
      </c>
      <c r="H43" s="126"/>
      <c r="I43" s="127"/>
      <c r="J43" s="88">
        <f t="shared" si="1"/>
        <v>0</v>
      </c>
      <c r="K43" s="88">
        <f t="shared" si="0"/>
        <v>0</v>
      </c>
    </row>
    <row r="44" spans="2:11" ht="23.25">
      <c r="B44" s="94"/>
      <c r="C44" s="91" t="s">
        <v>85</v>
      </c>
      <c r="D44" s="91" t="s">
        <v>86</v>
      </c>
      <c r="E44" s="92" t="s">
        <v>87</v>
      </c>
      <c r="F44" s="93" t="s">
        <v>49</v>
      </c>
      <c r="G44" s="125">
        <v>1120</v>
      </c>
      <c r="H44" s="126"/>
      <c r="I44" s="127"/>
      <c r="J44" s="88">
        <f t="shared" si="1"/>
        <v>0</v>
      </c>
      <c r="K44" s="88">
        <f t="shared" si="0"/>
        <v>0</v>
      </c>
    </row>
    <row r="45" spans="2:11" ht="23.25">
      <c r="B45" s="94"/>
      <c r="C45" s="91" t="s">
        <v>76</v>
      </c>
      <c r="D45" s="91" t="s">
        <v>284</v>
      </c>
      <c r="E45" s="92" t="s">
        <v>88</v>
      </c>
      <c r="F45" s="93" t="s">
        <v>49</v>
      </c>
      <c r="G45" s="125">
        <v>108.3</v>
      </c>
      <c r="H45" s="126"/>
      <c r="I45" s="127"/>
      <c r="J45" s="88">
        <f t="shared" si="1"/>
        <v>0</v>
      </c>
      <c r="K45" s="88">
        <f t="shared" si="0"/>
        <v>0</v>
      </c>
    </row>
    <row r="46" spans="2:11">
      <c r="B46" s="94"/>
      <c r="C46" s="91" t="s">
        <v>76</v>
      </c>
      <c r="D46" s="91" t="s">
        <v>218</v>
      </c>
      <c r="E46" s="92" t="s">
        <v>219</v>
      </c>
      <c r="F46" s="93" t="s">
        <v>49</v>
      </c>
      <c r="G46" s="125">
        <v>160</v>
      </c>
      <c r="H46" s="126"/>
      <c r="I46" s="127"/>
      <c r="J46" s="88">
        <f t="shared" si="1"/>
        <v>0</v>
      </c>
      <c r="K46" s="88">
        <f t="shared" si="0"/>
        <v>0</v>
      </c>
    </row>
    <row r="47" spans="2:11">
      <c r="B47" s="94"/>
      <c r="C47" s="91" t="s">
        <v>76</v>
      </c>
      <c r="D47" s="91" t="s">
        <v>89</v>
      </c>
      <c r="E47" s="92" t="s">
        <v>90</v>
      </c>
      <c r="F47" s="93" t="s">
        <v>49</v>
      </c>
      <c r="G47" s="125">
        <v>112</v>
      </c>
      <c r="H47" s="126"/>
      <c r="I47" s="127"/>
      <c r="J47" s="88">
        <f t="shared" si="1"/>
        <v>0</v>
      </c>
      <c r="K47" s="88">
        <f t="shared" si="0"/>
        <v>0</v>
      </c>
    </row>
    <row r="48" spans="2:11">
      <c r="B48" s="94"/>
      <c r="C48" s="91" t="s">
        <v>76</v>
      </c>
      <c r="D48" s="95">
        <v>22250463</v>
      </c>
      <c r="E48" s="92" t="s">
        <v>283</v>
      </c>
      <c r="F48" s="93" t="s">
        <v>39</v>
      </c>
      <c r="G48" s="125">
        <v>80</v>
      </c>
      <c r="H48" s="126"/>
      <c r="I48" s="127"/>
      <c r="J48" s="88">
        <f t="shared" si="1"/>
        <v>0</v>
      </c>
      <c r="K48" s="88">
        <f t="shared" ref="K48" si="2">I48+J48</f>
        <v>0</v>
      </c>
    </row>
    <row r="49" spans="2:14">
      <c r="B49" s="94"/>
      <c r="C49" s="91" t="s">
        <v>85</v>
      </c>
      <c r="D49" s="91" t="s">
        <v>91</v>
      </c>
      <c r="E49" s="92" t="s">
        <v>92</v>
      </c>
      <c r="F49" s="93" t="s">
        <v>49</v>
      </c>
      <c r="G49" s="125">
        <v>12.4</v>
      </c>
      <c r="H49" s="126"/>
      <c r="I49" s="127"/>
      <c r="J49" s="88">
        <f t="shared" si="1"/>
        <v>0</v>
      </c>
      <c r="K49" s="88">
        <f t="shared" si="0"/>
        <v>0</v>
      </c>
    </row>
    <row r="50" spans="2:14">
      <c r="B50" s="94"/>
      <c r="C50" s="91" t="s">
        <v>85</v>
      </c>
      <c r="D50" s="91" t="s">
        <v>93</v>
      </c>
      <c r="E50" s="92" t="s">
        <v>94</v>
      </c>
      <c r="F50" s="93" t="s">
        <v>49</v>
      </c>
      <c r="G50" s="125">
        <v>1330.9</v>
      </c>
      <c r="H50" s="126"/>
      <c r="I50" s="127"/>
      <c r="J50" s="88">
        <f t="shared" si="1"/>
        <v>0</v>
      </c>
      <c r="K50" s="88">
        <f t="shared" si="0"/>
        <v>0</v>
      </c>
    </row>
    <row r="51" spans="2:14" ht="23.25">
      <c r="B51" s="94"/>
      <c r="C51" s="91" t="s">
        <v>85</v>
      </c>
      <c r="D51" s="91" t="s">
        <v>95</v>
      </c>
      <c r="E51" s="92" t="s">
        <v>96</v>
      </c>
      <c r="F51" s="93" t="s">
        <v>39</v>
      </c>
      <c r="G51" s="125">
        <v>418</v>
      </c>
      <c r="H51" s="126"/>
      <c r="I51" s="127"/>
      <c r="J51" s="88">
        <f t="shared" si="1"/>
        <v>0</v>
      </c>
      <c r="K51" s="88">
        <f t="shared" si="0"/>
        <v>0</v>
      </c>
    </row>
    <row r="52" spans="2:14">
      <c r="B52" s="94"/>
      <c r="C52" s="91" t="s">
        <v>76</v>
      </c>
      <c r="D52" s="91" t="s">
        <v>97</v>
      </c>
      <c r="E52" s="92" t="s">
        <v>98</v>
      </c>
      <c r="F52" s="93" t="s">
        <v>49</v>
      </c>
      <c r="G52" s="125">
        <v>160</v>
      </c>
      <c r="H52" s="126"/>
      <c r="I52" s="127"/>
      <c r="J52" s="88">
        <f t="shared" si="1"/>
        <v>0</v>
      </c>
      <c r="K52" s="88">
        <f t="shared" si="0"/>
        <v>0</v>
      </c>
    </row>
    <row r="53" spans="2:14" ht="34.5">
      <c r="B53" s="82" t="s">
        <v>99</v>
      </c>
      <c r="C53" s="91" t="s">
        <v>100</v>
      </c>
      <c r="D53" s="91" t="s">
        <v>101</v>
      </c>
      <c r="E53" s="92" t="s">
        <v>102</v>
      </c>
      <c r="F53" s="93" t="s">
        <v>42</v>
      </c>
      <c r="G53" s="125">
        <v>496</v>
      </c>
      <c r="H53" s="126"/>
      <c r="I53" s="127"/>
      <c r="J53" s="88">
        <f t="shared" si="1"/>
        <v>0</v>
      </c>
      <c r="K53" s="88">
        <f t="shared" si="0"/>
        <v>0</v>
      </c>
    </row>
    <row r="54" spans="2:14" ht="23.25">
      <c r="B54" s="96"/>
      <c r="C54" s="91" t="s">
        <v>100</v>
      </c>
      <c r="D54" s="91" t="s">
        <v>103</v>
      </c>
      <c r="E54" s="92" t="s">
        <v>104</v>
      </c>
      <c r="F54" s="93" t="s">
        <v>42</v>
      </c>
      <c r="G54" s="125">
        <v>456</v>
      </c>
      <c r="H54" s="126"/>
      <c r="I54" s="127"/>
      <c r="J54" s="88">
        <f t="shared" si="1"/>
        <v>0</v>
      </c>
      <c r="K54" s="88">
        <f t="shared" si="0"/>
        <v>0</v>
      </c>
    </row>
    <row r="56" spans="2:14">
      <c r="G56" s="87"/>
      <c r="I56" s="87"/>
      <c r="N56" s="97"/>
    </row>
    <row r="59" spans="2:14">
      <c r="B59" s="73" t="s">
        <v>300</v>
      </c>
      <c r="E59" s="150" t="s">
        <v>301</v>
      </c>
      <c r="F59" s="150"/>
    </row>
    <row r="60" spans="2:14">
      <c r="E60" s="150" t="s">
        <v>302</v>
      </c>
      <c r="F60" s="150"/>
    </row>
    <row r="61" spans="2:14">
      <c r="E61" s="150" t="s">
        <v>303</v>
      </c>
      <c r="F61" s="150"/>
    </row>
  </sheetData>
  <sheetProtection algorithmName="SHA-512" hashValue="IIFiRuiV+fid0RFgNb5m6A9hKkmCBtSksxtcfEnrnDK7ZIqojdOEUHHwaOHetcPozCd+uzTITxn+STRVC64lsQ==" saltValue="RqKsfgn8SC+M1CBsMEPgJw==" spinCount="100000" sheet="1" objects="1" scenarios="1"/>
  <mergeCells count="4">
    <mergeCell ref="C6:D6"/>
    <mergeCell ref="E59:F59"/>
    <mergeCell ref="E60:F60"/>
    <mergeCell ref="E61:F6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6"/>
  <sheetViews>
    <sheetView zoomScale="115" zoomScaleNormal="115" zoomScaleSheetLayoutView="85" workbookViewId="0">
      <selection activeCell="B67" sqref="B67"/>
    </sheetView>
  </sheetViews>
  <sheetFormatPr defaultColWidth="9.140625" defaultRowHeight="15"/>
  <cols>
    <col min="1" max="1" width="2.28515625" style="76" customWidth="1"/>
    <col min="2" max="2" width="30.7109375" style="76" customWidth="1"/>
    <col min="3" max="3" width="7.85546875" style="76" bestFit="1" customWidth="1"/>
    <col min="4" max="4" width="9.140625" style="76" bestFit="1" customWidth="1"/>
    <col min="5" max="5" width="50.7109375" style="76" customWidth="1"/>
    <col min="6" max="6" width="6" style="76" bestFit="1" customWidth="1"/>
    <col min="7" max="7" width="8.85546875" style="76" bestFit="1" customWidth="1"/>
    <col min="8" max="9" width="17.28515625" style="76" customWidth="1"/>
    <col min="10" max="16384" width="9.140625" style="76"/>
  </cols>
  <sheetData>
    <row r="1" spans="2:9">
      <c r="I1" s="138" t="s">
        <v>330</v>
      </c>
    </row>
    <row r="2" spans="2:9">
      <c r="I2" s="138" t="s">
        <v>326</v>
      </c>
    </row>
    <row r="3" spans="2:9">
      <c r="B3" s="137" t="s">
        <v>331</v>
      </c>
    </row>
    <row r="4" spans="2:9">
      <c r="B4" s="137" t="s">
        <v>323</v>
      </c>
    </row>
    <row r="6" spans="2:9">
      <c r="B6" s="135" t="s">
        <v>105</v>
      </c>
      <c r="C6" s="154" t="s">
        <v>12</v>
      </c>
      <c r="D6" s="154"/>
      <c r="E6" s="135" t="s">
        <v>13</v>
      </c>
      <c r="F6" s="135" t="s">
        <v>14</v>
      </c>
      <c r="G6" s="135" t="s">
        <v>15</v>
      </c>
      <c r="H6" s="98" t="s">
        <v>16</v>
      </c>
      <c r="I6" s="98" t="s">
        <v>3</v>
      </c>
    </row>
    <row r="7" spans="2:9" ht="23.25">
      <c r="B7" s="82" t="s">
        <v>106</v>
      </c>
      <c r="C7" s="83" t="s">
        <v>19</v>
      </c>
      <c r="D7" s="83" t="s">
        <v>20</v>
      </c>
      <c r="E7" s="84" t="s">
        <v>21</v>
      </c>
      <c r="F7" s="85" t="s">
        <v>22</v>
      </c>
      <c r="G7" s="125">
        <v>153.38</v>
      </c>
      <c r="H7" s="128">
        <f>'2.časť_B.2_Súpis prác_SO-206'!I7</f>
        <v>0</v>
      </c>
      <c r="I7" s="128">
        <f>G7*H7</f>
        <v>0</v>
      </c>
    </row>
    <row r="8" spans="2:9">
      <c r="B8" s="89"/>
      <c r="C8" s="83" t="s">
        <v>19</v>
      </c>
      <c r="D8" s="83" t="s">
        <v>23</v>
      </c>
      <c r="E8" s="84" t="s">
        <v>24</v>
      </c>
      <c r="F8" s="85" t="s">
        <v>25</v>
      </c>
      <c r="G8" s="125">
        <v>379.3</v>
      </c>
      <c r="H8" s="128">
        <f>'2.časť_B.2_Súpis prác_SO-206'!I8</f>
        <v>0</v>
      </c>
      <c r="I8" s="128">
        <f>G8*H8</f>
        <v>0</v>
      </c>
    </row>
    <row r="9" spans="2:9" ht="23.25">
      <c r="B9" s="89"/>
      <c r="C9" s="83" t="s">
        <v>19</v>
      </c>
      <c r="D9" s="83" t="s">
        <v>26</v>
      </c>
      <c r="E9" s="84" t="s">
        <v>27</v>
      </c>
      <c r="F9" s="85" t="s">
        <v>28</v>
      </c>
      <c r="G9" s="125">
        <v>1</v>
      </c>
      <c r="H9" s="128">
        <f>'2.časť_B.2_Súpis prác_SO-206'!I9</f>
        <v>0</v>
      </c>
      <c r="I9" s="128">
        <f>G9*H9</f>
        <v>0</v>
      </c>
    </row>
    <row r="10" spans="2:9" ht="23.25">
      <c r="B10" s="89"/>
      <c r="C10" s="83" t="s">
        <v>19</v>
      </c>
      <c r="D10" s="83" t="s">
        <v>29</v>
      </c>
      <c r="E10" s="84" t="s">
        <v>30</v>
      </c>
      <c r="F10" s="85" t="s">
        <v>28</v>
      </c>
      <c r="G10" s="125">
        <v>1</v>
      </c>
      <c r="H10" s="128">
        <f>'2.časť_B.2_Súpis prác_SO-206'!I10</f>
        <v>0</v>
      </c>
      <c r="I10" s="128">
        <f>G10*H10</f>
        <v>0</v>
      </c>
    </row>
    <row r="11" spans="2:9" ht="34.5">
      <c r="B11" s="89"/>
      <c r="C11" s="99" t="s">
        <v>19</v>
      </c>
      <c r="D11" s="99" t="s">
        <v>31</v>
      </c>
      <c r="E11" s="82" t="s">
        <v>32</v>
      </c>
      <c r="F11" s="100" t="s">
        <v>28</v>
      </c>
      <c r="G11" s="129">
        <v>1</v>
      </c>
      <c r="H11" s="130">
        <f>'2.časť_B.2_Súpis prác_SO-206'!I11</f>
        <v>0</v>
      </c>
      <c r="I11" s="130">
        <f>G11*H11</f>
        <v>0</v>
      </c>
    </row>
    <row r="12" spans="2:9" ht="23.25">
      <c r="B12" s="96"/>
      <c r="C12" s="83" t="s">
        <v>19</v>
      </c>
      <c r="D12" s="83" t="s">
        <v>286</v>
      </c>
      <c r="E12" s="84" t="s">
        <v>287</v>
      </c>
      <c r="F12" s="85" t="s">
        <v>28</v>
      </c>
      <c r="G12" s="125">
        <v>1</v>
      </c>
      <c r="H12" s="128">
        <f>'2.časť_B.2_Súpis prác_SO-206'!I12</f>
        <v>0</v>
      </c>
      <c r="I12" s="128">
        <f t="shared" ref="I12" si="0">G12*H12</f>
        <v>0</v>
      </c>
    </row>
    <row r="13" spans="2:9">
      <c r="B13" s="155" t="s">
        <v>107</v>
      </c>
      <c r="C13" s="156"/>
      <c r="D13" s="156"/>
      <c r="E13" s="156"/>
      <c r="F13" s="156"/>
      <c r="G13" s="157"/>
      <c r="H13" s="158"/>
      <c r="I13" s="101">
        <f>SUM(I7:I12)</f>
        <v>0</v>
      </c>
    </row>
    <row r="14" spans="2:9" ht="23.25">
      <c r="B14" s="82" t="s">
        <v>108</v>
      </c>
      <c r="C14" s="91" t="s">
        <v>34</v>
      </c>
      <c r="D14" s="91" t="s">
        <v>35</v>
      </c>
      <c r="E14" s="92" t="s">
        <v>36</v>
      </c>
      <c r="F14" s="93" t="s">
        <v>25</v>
      </c>
      <c r="G14" s="125">
        <v>20</v>
      </c>
      <c r="H14" s="125">
        <f>'2.časť_B.2_Súpis prác_SO-206'!I13</f>
        <v>0</v>
      </c>
      <c r="I14" s="125">
        <f t="shared" ref="I14:I23" si="1">G14*H14</f>
        <v>0</v>
      </c>
    </row>
    <row r="15" spans="2:9" ht="28.5" customHeight="1">
      <c r="B15" s="89"/>
      <c r="C15" s="91" t="s">
        <v>109</v>
      </c>
      <c r="D15" s="91" t="s">
        <v>37</v>
      </c>
      <c r="E15" s="92" t="s">
        <v>38</v>
      </c>
      <c r="F15" s="93" t="s">
        <v>39</v>
      </c>
      <c r="G15" s="125">
        <v>2</v>
      </c>
      <c r="H15" s="125">
        <f>'2.časť_B.2_Súpis prác_SO-206'!I15</f>
        <v>0</v>
      </c>
      <c r="I15" s="125">
        <f t="shared" si="1"/>
        <v>0</v>
      </c>
    </row>
    <row r="16" spans="2:9" ht="23.25">
      <c r="B16" s="89"/>
      <c r="C16" s="91" t="s">
        <v>109</v>
      </c>
      <c r="D16" s="91" t="s">
        <v>40</v>
      </c>
      <c r="E16" s="92" t="s">
        <v>41</v>
      </c>
      <c r="F16" s="93" t="s">
        <v>42</v>
      </c>
      <c r="G16" s="125">
        <v>48</v>
      </c>
      <c r="H16" s="125">
        <f>'2.časť_B.2_Súpis prác_SO-206'!I17</f>
        <v>0</v>
      </c>
      <c r="I16" s="125">
        <f t="shared" si="1"/>
        <v>0</v>
      </c>
    </row>
    <row r="17" spans="2:9" ht="23.25">
      <c r="B17" s="89"/>
      <c r="C17" s="91" t="s">
        <v>109</v>
      </c>
      <c r="D17" s="91" t="s">
        <v>43</v>
      </c>
      <c r="E17" s="92" t="s">
        <v>44</v>
      </c>
      <c r="F17" s="93" t="s">
        <v>42</v>
      </c>
      <c r="G17" s="125">
        <v>48</v>
      </c>
      <c r="H17" s="125">
        <f>'2.časť_B.2_Súpis prác_SO-206'!I18</f>
        <v>0</v>
      </c>
      <c r="I17" s="125">
        <f t="shared" si="1"/>
        <v>0</v>
      </c>
    </row>
    <row r="18" spans="2:9" ht="23.25">
      <c r="B18" s="89"/>
      <c r="C18" s="91" t="s">
        <v>109</v>
      </c>
      <c r="D18" s="91" t="s">
        <v>45</v>
      </c>
      <c r="E18" s="92" t="s">
        <v>46</v>
      </c>
      <c r="F18" s="93" t="s">
        <v>42</v>
      </c>
      <c r="G18" s="125">
        <v>52.8</v>
      </c>
      <c r="H18" s="125">
        <f>'2.časť_B.2_Súpis prác_SO-206'!I19</f>
        <v>0</v>
      </c>
      <c r="I18" s="125">
        <f t="shared" si="1"/>
        <v>0</v>
      </c>
    </row>
    <row r="19" spans="2:9" ht="23.25">
      <c r="B19" s="89"/>
      <c r="C19" s="91" t="s">
        <v>34</v>
      </c>
      <c r="D19" s="91" t="s">
        <v>47</v>
      </c>
      <c r="E19" s="92" t="s">
        <v>48</v>
      </c>
      <c r="F19" s="93" t="s">
        <v>49</v>
      </c>
      <c r="G19" s="125">
        <v>208</v>
      </c>
      <c r="H19" s="125">
        <f>'2.časť_B.2_Súpis prác_SO-206'!I20</f>
        <v>0</v>
      </c>
      <c r="I19" s="125">
        <f t="shared" si="1"/>
        <v>0</v>
      </c>
    </row>
    <row r="20" spans="2:9">
      <c r="B20" s="89"/>
      <c r="C20" s="91" t="s">
        <v>34</v>
      </c>
      <c r="D20" s="91" t="s">
        <v>50</v>
      </c>
      <c r="E20" s="92" t="s">
        <v>51</v>
      </c>
      <c r="F20" s="93" t="s">
        <v>22</v>
      </c>
      <c r="G20" s="125">
        <v>134.88</v>
      </c>
      <c r="H20" s="125">
        <f>'2.časť_B.2_Súpis prác_SO-206'!I21</f>
        <v>0</v>
      </c>
      <c r="I20" s="125">
        <f t="shared" si="1"/>
        <v>0</v>
      </c>
    </row>
    <row r="21" spans="2:9">
      <c r="B21" s="89"/>
      <c r="C21" s="91" t="s">
        <v>109</v>
      </c>
      <c r="D21" s="91" t="s">
        <v>52</v>
      </c>
      <c r="E21" s="92" t="s">
        <v>53</v>
      </c>
      <c r="F21" s="93" t="s">
        <v>42</v>
      </c>
      <c r="G21" s="125">
        <v>480</v>
      </c>
      <c r="H21" s="125">
        <f>'2.časť_B.2_Súpis prác_SO-206'!I22</f>
        <v>0</v>
      </c>
      <c r="I21" s="125">
        <f t="shared" si="1"/>
        <v>0</v>
      </c>
    </row>
    <row r="22" spans="2:9">
      <c r="B22" s="89"/>
      <c r="C22" s="91" t="s">
        <v>55</v>
      </c>
      <c r="D22" s="91" t="s">
        <v>56</v>
      </c>
      <c r="E22" s="92" t="s">
        <v>57</v>
      </c>
      <c r="F22" s="93" t="s">
        <v>25</v>
      </c>
      <c r="G22" s="125">
        <v>363.5</v>
      </c>
      <c r="H22" s="125">
        <f>'2.časť_B.2_Súpis prác_SO-206'!I26</f>
        <v>0</v>
      </c>
      <c r="I22" s="125">
        <f t="shared" si="1"/>
        <v>0</v>
      </c>
    </row>
    <row r="23" spans="2:9">
      <c r="B23" s="89"/>
      <c r="C23" s="91" t="s">
        <v>55</v>
      </c>
      <c r="D23" s="91" t="s">
        <v>58</v>
      </c>
      <c r="E23" s="92" t="s">
        <v>59</v>
      </c>
      <c r="F23" s="93" t="s">
        <v>25</v>
      </c>
      <c r="G23" s="125">
        <v>15.8</v>
      </c>
      <c r="H23" s="125">
        <f>'2.časť_B.2_Súpis prác_SO-206'!I27</f>
        <v>0</v>
      </c>
      <c r="I23" s="125">
        <f t="shared" si="1"/>
        <v>0</v>
      </c>
    </row>
    <row r="24" spans="2:9">
      <c r="B24" s="89"/>
      <c r="C24" s="91" t="s">
        <v>62</v>
      </c>
      <c r="D24" s="91" t="s">
        <v>63</v>
      </c>
      <c r="E24" s="92" t="s">
        <v>64</v>
      </c>
      <c r="F24" s="93" t="s">
        <v>25</v>
      </c>
      <c r="G24" s="125">
        <v>11.2</v>
      </c>
      <c r="H24" s="125">
        <f>'2.časť_B.2_Súpis prác_SO-206'!I28</f>
        <v>0</v>
      </c>
      <c r="I24" s="125">
        <f>G24*H24</f>
        <v>0</v>
      </c>
    </row>
    <row r="25" spans="2:9">
      <c r="B25" s="89"/>
      <c r="C25" s="91" t="s">
        <v>55</v>
      </c>
      <c r="D25" s="91" t="s">
        <v>60</v>
      </c>
      <c r="E25" s="84" t="s">
        <v>61</v>
      </c>
      <c r="F25" s="93" t="s">
        <v>25</v>
      </c>
      <c r="G25" s="125">
        <v>379.3</v>
      </c>
      <c r="H25" s="125">
        <f>'2.časť_B.2_Súpis prác_SO-206'!I29</f>
        <v>0</v>
      </c>
      <c r="I25" s="125">
        <f>G25*H25</f>
        <v>0</v>
      </c>
    </row>
    <row r="26" spans="2:9">
      <c r="B26" s="89"/>
      <c r="C26" s="91" t="s">
        <v>66</v>
      </c>
      <c r="D26" s="91" t="s">
        <v>69</v>
      </c>
      <c r="E26" s="92" t="s">
        <v>70</v>
      </c>
      <c r="F26" s="93" t="s">
        <v>39</v>
      </c>
      <c r="G26" s="125">
        <v>16</v>
      </c>
      <c r="H26" s="125">
        <f>'2.časť_B.2_Súpis prác_SO-206'!I35</f>
        <v>0</v>
      </c>
      <c r="I26" s="125">
        <f t="shared" ref="I26:I43" si="2">G26*H26</f>
        <v>0</v>
      </c>
    </row>
    <row r="27" spans="2:9">
      <c r="B27" s="89"/>
      <c r="C27" s="91" t="s">
        <v>66</v>
      </c>
      <c r="D27" s="91" t="s">
        <v>67</v>
      </c>
      <c r="E27" s="92" t="s">
        <v>68</v>
      </c>
      <c r="F27" s="93" t="s">
        <v>49</v>
      </c>
      <c r="G27" s="125">
        <v>28</v>
      </c>
      <c r="H27" s="125">
        <f>'2.časť_B.2_Súpis prác_SO-206'!I36</f>
        <v>0</v>
      </c>
      <c r="I27" s="125">
        <f t="shared" si="2"/>
        <v>0</v>
      </c>
    </row>
    <row r="28" spans="2:9" ht="23.25">
      <c r="B28" s="89"/>
      <c r="C28" s="83" t="s">
        <v>72</v>
      </c>
      <c r="D28" s="91" t="s">
        <v>73</v>
      </c>
      <c r="E28" s="92" t="s">
        <v>74</v>
      </c>
      <c r="F28" s="93" t="s">
        <v>42</v>
      </c>
      <c r="G28" s="125">
        <v>80</v>
      </c>
      <c r="H28" s="125">
        <f>'2.časť_B.2_Súpis prác_SO-206'!I39</f>
        <v>0</v>
      </c>
      <c r="I28" s="125">
        <f t="shared" si="2"/>
        <v>0</v>
      </c>
    </row>
    <row r="29" spans="2:9" ht="23.25">
      <c r="B29" s="89"/>
      <c r="C29" s="91" t="s">
        <v>76</v>
      </c>
      <c r="D29" s="91" t="s">
        <v>77</v>
      </c>
      <c r="E29" s="92" t="s">
        <v>78</v>
      </c>
      <c r="F29" s="93" t="s">
        <v>42</v>
      </c>
      <c r="G29" s="125">
        <v>456</v>
      </c>
      <c r="H29" s="125">
        <f>'2.časť_B.2_Súpis prác_SO-206'!I40</f>
        <v>0</v>
      </c>
      <c r="I29" s="125">
        <f t="shared" si="2"/>
        <v>0</v>
      </c>
    </row>
    <row r="30" spans="2:9" ht="23.25">
      <c r="B30" s="89"/>
      <c r="C30" s="91" t="s">
        <v>76</v>
      </c>
      <c r="D30" s="91" t="s">
        <v>79</v>
      </c>
      <c r="E30" s="92" t="s">
        <v>80</v>
      </c>
      <c r="F30" s="93" t="s">
        <v>42</v>
      </c>
      <c r="G30" s="125">
        <v>480</v>
      </c>
      <c r="H30" s="125">
        <f>'2.časť_B.2_Súpis prác_SO-206'!I41</f>
        <v>0</v>
      </c>
      <c r="I30" s="125">
        <f t="shared" si="2"/>
        <v>0</v>
      </c>
    </row>
    <row r="31" spans="2:9" ht="23.25">
      <c r="B31" s="89"/>
      <c r="C31" s="91" t="s">
        <v>76</v>
      </c>
      <c r="D31" s="91" t="s">
        <v>81</v>
      </c>
      <c r="E31" s="92" t="s">
        <v>82</v>
      </c>
      <c r="F31" s="93" t="s">
        <v>42</v>
      </c>
      <c r="G31" s="125">
        <v>160</v>
      </c>
      <c r="H31" s="125">
        <f>'2.časť_B.2_Súpis prác_SO-206'!I42</f>
        <v>0</v>
      </c>
      <c r="I31" s="125">
        <f t="shared" si="2"/>
        <v>0</v>
      </c>
    </row>
    <row r="32" spans="2:9" ht="23.25">
      <c r="B32" s="89"/>
      <c r="C32" s="91" t="s">
        <v>76</v>
      </c>
      <c r="D32" s="91" t="s">
        <v>83</v>
      </c>
      <c r="E32" s="92" t="s">
        <v>84</v>
      </c>
      <c r="F32" s="93" t="s">
        <v>42</v>
      </c>
      <c r="G32" s="125">
        <v>320</v>
      </c>
      <c r="H32" s="125">
        <f>'2.časť_B.2_Súpis prác_SO-206'!I43</f>
        <v>0</v>
      </c>
      <c r="I32" s="125">
        <f t="shared" si="2"/>
        <v>0</v>
      </c>
    </row>
    <row r="33" spans="2:9" ht="23.25">
      <c r="B33" s="89"/>
      <c r="C33" s="91" t="s">
        <v>85</v>
      </c>
      <c r="D33" s="91" t="s">
        <v>86</v>
      </c>
      <c r="E33" s="92" t="s">
        <v>87</v>
      </c>
      <c r="F33" s="93" t="s">
        <v>49</v>
      </c>
      <c r="G33" s="125">
        <v>1120</v>
      </c>
      <c r="H33" s="125">
        <f>'2.časť_B.2_Súpis prác_SO-206'!I44</f>
        <v>0</v>
      </c>
      <c r="I33" s="125">
        <f t="shared" si="2"/>
        <v>0</v>
      </c>
    </row>
    <row r="34" spans="2:9" ht="23.25">
      <c r="B34" s="89"/>
      <c r="C34" s="91" t="s">
        <v>76</v>
      </c>
      <c r="D34" s="91" t="s">
        <v>284</v>
      </c>
      <c r="E34" s="92" t="s">
        <v>214</v>
      </c>
      <c r="F34" s="93" t="s">
        <v>49</v>
      </c>
      <c r="G34" s="125">
        <v>108.3</v>
      </c>
      <c r="H34" s="125">
        <f>'2.časť_B.2_Súpis prác_SO-206'!I45</f>
        <v>0</v>
      </c>
      <c r="I34" s="125">
        <f t="shared" si="2"/>
        <v>0</v>
      </c>
    </row>
    <row r="35" spans="2:9">
      <c r="B35" s="89"/>
      <c r="C35" s="91" t="s">
        <v>76</v>
      </c>
      <c r="D35" s="91" t="s">
        <v>218</v>
      </c>
      <c r="E35" s="92" t="s">
        <v>219</v>
      </c>
      <c r="F35" s="93" t="s">
        <v>49</v>
      </c>
      <c r="G35" s="125">
        <v>160</v>
      </c>
      <c r="H35" s="125">
        <f>'2.časť_B.2_Súpis prác_SO-206'!I46</f>
        <v>0</v>
      </c>
      <c r="I35" s="125">
        <f t="shared" si="2"/>
        <v>0</v>
      </c>
    </row>
    <row r="36" spans="2:9">
      <c r="B36" s="89"/>
      <c r="C36" s="91" t="s">
        <v>76</v>
      </c>
      <c r="D36" s="91" t="s">
        <v>89</v>
      </c>
      <c r="E36" s="92" t="s">
        <v>90</v>
      </c>
      <c r="F36" s="93" t="s">
        <v>49</v>
      </c>
      <c r="G36" s="125">
        <v>112</v>
      </c>
      <c r="H36" s="125">
        <f>'2.časť_B.2_Súpis prác_SO-206'!I47</f>
        <v>0</v>
      </c>
      <c r="I36" s="125">
        <f t="shared" si="2"/>
        <v>0</v>
      </c>
    </row>
    <row r="37" spans="2:9">
      <c r="B37" s="89"/>
      <c r="C37" s="91" t="s">
        <v>76</v>
      </c>
      <c r="D37" s="91" t="s">
        <v>227</v>
      </c>
      <c r="E37" s="92" t="s">
        <v>228</v>
      </c>
      <c r="F37" s="93" t="s">
        <v>39</v>
      </c>
      <c r="G37" s="125">
        <v>80</v>
      </c>
      <c r="H37" s="125">
        <f>'2.časť_B.2_Súpis prác_SO-206'!I48</f>
        <v>0</v>
      </c>
      <c r="I37" s="125">
        <f t="shared" si="2"/>
        <v>0</v>
      </c>
    </row>
    <row r="38" spans="2:9">
      <c r="B38" s="89"/>
      <c r="C38" s="91" t="s">
        <v>85</v>
      </c>
      <c r="D38" s="91" t="s">
        <v>91</v>
      </c>
      <c r="E38" s="92" t="s">
        <v>92</v>
      </c>
      <c r="F38" s="93" t="s">
        <v>49</v>
      </c>
      <c r="G38" s="125">
        <v>12.4</v>
      </c>
      <c r="H38" s="125">
        <f>'2.časť_B.2_Súpis prác_SO-206'!I49</f>
        <v>0</v>
      </c>
      <c r="I38" s="125">
        <f t="shared" si="2"/>
        <v>0</v>
      </c>
    </row>
    <row r="39" spans="2:9">
      <c r="B39" s="89"/>
      <c r="C39" s="91" t="s">
        <v>85</v>
      </c>
      <c r="D39" s="91" t="s">
        <v>93</v>
      </c>
      <c r="E39" s="92" t="s">
        <v>94</v>
      </c>
      <c r="F39" s="93" t="s">
        <v>49</v>
      </c>
      <c r="G39" s="125">
        <v>1330.9</v>
      </c>
      <c r="H39" s="125">
        <f>'2.časť_B.2_Súpis prác_SO-206'!I50</f>
        <v>0</v>
      </c>
      <c r="I39" s="125">
        <f t="shared" si="2"/>
        <v>0</v>
      </c>
    </row>
    <row r="40" spans="2:9" ht="23.25">
      <c r="B40" s="89"/>
      <c r="C40" s="91" t="s">
        <v>85</v>
      </c>
      <c r="D40" s="91" t="s">
        <v>95</v>
      </c>
      <c r="E40" s="92" t="s">
        <v>96</v>
      </c>
      <c r="F40" s="93" t="s">
        <v>39</v>
      </c>
      <c r="G40" s="125">
        <v>418</v>
      </c>
      <c r="H40" s="125">
        <f>'2.časť_B.2_Súpis prác_SO-206'!I51</f>
        <v>0</v>
      </c>
      <c r="I40" s="125">
        <f t="shared" si="2"/>
        <v>0</v>
      </c>
    </row>
    <row r="41" spans="2:9">
      <c r="B41" s="89"/>
      <c r="C41" s="91" t="s">
        <v>76</v>
      </c>
      <c r="D41" s="91" t="s">
        <v>97</v>
      </c>
      <c r="E41" s="92" t="s">
        <v>98</v>
      </c>
      <c r="F41" s="93" t="s">
        <v>49</v>
      </c>
      <c r="G41" s="125">
        <v>160</v>
      </c>
      <c r="H41" s="125">
        <f>'2.časť_B.2_Súpis prác_SO-206'!I52</f>
        <v>0</v>
      </c>
      <c r="I41" s="125">
        <f t="shared" si="2"/>
        <v>0</v>
      </c>
    </row>
    <row r="42" spans="2:9">
      <c r="B42" s="89"/>
      <c r="C42" s="91" t="s">
        <v>100</v>
      </c>
      <c r="D42" s="91" t="s">
        <v>101</v>
      </c>
      <c r="E42" s="92" t="s">
        <v>102</v>
      </c>
      <c r="F42" s="93" t="s">
        <v>42</v>
      </c>
      <c r="G42" s="125">
        <v>496</v>
      </c>
      <c r="H42" s="125">
        <f>'2.časť_B.2_Súpis prác_SO-206'!I53</f>
        <v>0</v>
      </c>
      <c r="I42" s="125">
        <f t="shared" si="2"/>
        <v>0</v>
      </c>
    </row>
    <row r="43" spans="2:9" ht="23.25">
      <c r="B43" s="89"/>
      <c r="C43" s="91" t="s">
        <v>100</v>
      </c>
      <c r="D43" s="91" t="s">
        <v>103</v>
      </c>
      <c r="E43" s="92" t="s">
        <v>104</v>
      </c>
      <c r="F43" s="93" t="s">
        <v>42</v>
      </c>
      <c r="G43" s="125">
        <v>456</v>
      </c>
      <c r="H43" s="125">
        <f>'2.časť_B.2_Súpis prác_SO-206'!I54</f>
        <v>0</v>
      </c>
      <c r="I43" s="125">
        <f t="shared" si="2"/>
        <v>0</v>
      </c>
    </row>
    <row r="44" spans="2:9">
      <c r="B44" s="102" t="s">
        <v>110</v>
      </c>
      <c r="C44" s="103"/>
      <c r="D44" s="103"/>
      <c r="E44" s="103"/>
      <c r="F44" s="103"/>
      <c r="G44" s="104"/>
      <c r="H44" s="86"/>
      <c r="I44" s="105">
        <f>SUM(I14:I43)</f>
        <v>0</v>
      </c>
    </row>
    <row r="45" spans="2:9" ht="23.25">
      <c r="B45" s="89" t="s">
        <v>113</v>
      </c>
      <c r="C45" s="83" t="s">
        <v>34</v>
      </c>
      <c r="D45" s="83" t="s">
        <v>114</v>
      </c>
      <c r="E45" s="84" t="s">
        <v>115</v>
      </c>
      <c r="F45" s="85" t="s">
        <v>42</v>
      </c>
      <c r="G45" s="128">
        <v>70</v>
      </c>
      <c r="H45" s="128">
        <f>'2.časť_B.2_Súpis prác_SO-206'!I14</f>
        <v>0</v>
      </c>
      <c r="I45" s="128">
        <f>G45*H45</f>
        <v>0</v>
      </c>
    </row>
    <row r="46" spans="2:9">
      <c r="B46" s="106"/>
      <c r="C46" s="83" t="s">
        <v>34</v>
      </c>
      <c r="D46" s="83" t="s">
        <v>290</v>
      </c>
      <c r="E46" s="84" t="s">
        <v>291</v>
      </c>
      <c r="F46" s="85" t="s">
        <v>39</v>
      </c>
      <c r="G46" s="128">
        <v>22</v>
      </c>
      <c r="H46" s="128">
        <f>'2.časť_B.2_Súpis prác_SO-206'!I16</f>
        <v>0</v>
      </c>
      <c r="I46" s="128">
        <f t="shared" ref="I46:I57" si="3">G46*H46</f>
        <v>0</v>
      </c>
    </row>
    <row r="47" spans="2:9">
      <c r="B47" s="89"/>
      <c r="C47" s="83" t="s">
        <v>34</v>
      </c>
      <c r="D47" s="83" t="s">
        <v>50</v>
      </c>
      <c r="E47" s="84" t="s">
        <v>51</v>
      </c>
      <c r="F47" s="85" t="s">
        <v>22</v>
      </c>
      <c r="G47" s="128">
        <v>32.520000000000003</v>
      </c>
      <c r="H47" s="128">
        <f>'2.časť_B.2_Súpis prác_SO-206'!I21</f>
        <v>0</v>
      </c>
      <c r="I47" s="128">
        <f t="shared" si="3"/>
        <v>0</v>
      </c>
    </row>
    <row r="48" spans="2:9">
      <c r="B48" s="89"/>
      <c r="C48" s="83" t="s">
        <v>34</v>
      </c>
      <c r="D48" s="83" t="s">
        <v>116</v>
      </c>
      <c r="E48" s="84" t="s">
        <v>117</v>
      </c>
      <c r="F48" s="85" t="s">
        <v>42</v>
      </c>
      <c r="G48" s="128">
        <v>9.9</v>
      </c>
      <c r="H48" s="128">
        <f>'2.časť_B.2_Súpis prác_SO-206'!I23</f>
        <v>0</v>
      </c>
      <c r="I48" s="128">
        <f t="shared" si="3"/>
        <v>0</v>
      </c>
    </row>
    <row r="49" spans="2:9">
      <c r="B49" s="89"/>
      <c r="C49" s="83" t="s">
        <v>118</v>
      </c>
      <c r="D49" s="83" t="s">
        <v>119</v>
      </c>
      <c r="E49" s="84" t="s">
        <v>120</v>
      </c>
      <c r="F49" s="85" t="s">
        <v>42</v>
      </c>
      <c r="G49" s="128">
        <v>50</v>
      </c>
      <c r="H49" s="128">
        <f>'2.časť_B.2_Súpis prác_SO-206'!I24</f>
        <v>0</v>
      </c>
      <c r="I49" s="128">
        <f t="shared" si="3"/>
        <v>0</v>
      </c>
    </row>
    <row r="50" spans="2:9">
      <c r="B50" s="89"/>
      <c r="C50" s="83" t="s">
        <v>118</v>
      </c>
      <c r="D50" s="83" t="s">
        <v>60</v>
      </c>
      <c r="E50" s="84" t="s">
        <v>61</v>
      </c>
      <c r="F50" s="85" t="s">
        <v>42</v>
      </c>
      <c r="G50" s="128">
        <v>50</v>
      </c>
      <c r="H50" s="128">
        <f>'2.časť_B.2_Súpis prác_SO-206'!I25</f>
        <v>0</v>
      </c>
      <c r="I50" s="128">
        <f t="shared" si="3"/>
        <v>0</v>
      </c>
    </row>
    <row r="51" spans="2:9" ht="29.25" customHeight="1">
      <c r="B51" s="89"/>
      <c r="C51" s="83" t="s">
        <v>121</v>
      </c>
      <c r="D51" s="83" t="s">
        <v>122</v>
      </c>
      <c r="E51" s="84" t="s">
        <v>297</v>
      </c>
      <c r="F51" s="85" t="s">
        <v>39</v>
      </c>
      <c r="G51" s="128">
        <v>16</v>
      </c>
      <c r="H51" s="128">
        <f>'2.časť_B.2_Súpis prác_SO-206'!I30</f>
        <v>0</v>
      </c>
      <c r="I51" s="128">
        <f t="shared" si="3"/>
        <v>0</v>
      </c>
    </row>
    <row r="52" spans="2:9" ht="29.25" customHeight="1">
      <c r="B52" s="89"/>
      <c r="C52" s="83" t="s">
        <v>121</v>
      </c>
      <c r="D52" s="83" t="s">
        <v>122</v>
      </c>
      <c r="E52" s="84" t="s">
        <v>298</v>
      </c>
      <c r="F52" s="85" t="s">
        <v>39</v>
      </c>
      <c r="G52" s="128">
        <v>6</v>
      </c>
      <c r="H52" s="128">
        <f>'2.časť_B.2_Súpis prác_SO-206'!I31</f>
        <v>0</v>
      </c>
      <c r="I52" s="128">
        <f t="shared" si="3"/>
        <v>0</v>
      </c>
    </row>
    <row r="53" spans="2:9" ht="28.5" customHeight="1">
      <c r="B53" s="89"/>
      <c r="C53" s="83" t="s">
        <v>121</v>
      </c>
      <c r="D53" s="83" t="s">
        <v>124</v>
      </c>
      <c r="E53" s="84" t="s">
        <v>125</v>
      </c>
      <c r="F53" s="85" t="s">
        <v>42</v>
      </c>
      <c r="G53" s="128">
        <v>8.91</v>
      </c>
      <c r="H53" s="128">
        <f>'2.časť_B.2_Súpis prác_SO-206'!I32</f>
        <v>0</v>
      </c>
      <c r="I53" s="128">
        <f t="shared" si="3"/>
        <v>0</v>
      </c>
    </row>
    <row r="54" spans="2:9">
      <c r="B54" s="89"/>
      <c r="C54" s="83" t="s">
        <v>121</v>
      </c>
      <c r="D54" s="83" t="s">
        <v>128</v>
      </c>
      <c r="E54" s="84" t="s">
        <v>129</v>
      </c>
      <c r="F54" s="85" t="s">
        <v>25</v>
      </c>
      <c r="G54" s="128">
        <v>84</v>
      </c>
      <c r="H54" s="128">
        <f>'2.časť_B.2_Súpis prác_SO-206'!I34</f>
        <v>0</v>
      </c>
      <c r="I54" s="128">
        <f t="shared" si="3"/>
        <v>0</v>
      </c>
    </row>
    <row r="55" spans="2:9" ht="23.25">
      <c r="B55" s="89"/>
      <c r="C55" s="83" t="s">
        <v>121</v>
      </c>
      <c r="D55" s="83" t="s">
        <v>126</v>
      </c>
      <c r="E55" s="84" t="s">
        <v>127</v>
      </c>
      <c r="F55" s="85" t="s">
        <v>42</v>
      </c>
      <c r="G55" s="128">
        <v>0.22</v>
      </c>
      <c r="H55" s="128">
        <f>'2.časť_B.2_Súpis prác_SO-206'!I33</f>
        <v>0</v>
      </c>
      <c r="I55" s="128">
        <f t="shared" si="3"/>
        <v>0</v>
      </c>
    </row>
    <row r="56" spans="2:9">
      <c r="B56" s="89"/>
      <c r="C56" s="83" t="s">
        <v>72</v>
      </c>
      <c r="D56" s="83" t="s">
        <v>101</v>
      </c>
      <c r="E56" s="84" t="s">
        <v>102</v>
      </c>
      <c r="F56" s="85" t="s">
        <v>25</v>
      </c>
      <c r="G56" s="128">
        <v>17.5</v>
      </c>
      <c r="H56" s="128">
        <f>'2.časť_B.2_Súpis prác_SO-206'!I37</f>
        <v>0</v>
      </c>
      <c r="I56" s="128">
        <f t="shared" si="3"/>
        <v>0</v>
      </c>
    </row>
    <row r="57" spans="2:9" ht="23.25">
      <c r="B57" s="89"/>
      <c r="C57" s="83" t="s">
        <v>72</v>
      </c>
      <c r="D57" s="83" t="s">
        <v>130</v>
      </c>
      <c r="E57" s="84" t="s">
        <v>131</v>
      </c>
      <c r="F57" s="85" t="s">
        <v>42</v>
      </c>
      <c r="G57" s="128">
        <v>70</v>
      </c>
      <c r="H57" s="128">
        <f>'2.časť_B.2_Súpis prác_SO-206'!I38</f>
        <v>0</v>
      </c>
      <c r="I57" s="128">
        <f t="shared" si="3"/>
        <v>0</v>
      </c>
    </row>
    <row r="58" spans="2:9">
      <c r="B58" s="102" t="s">
        <v>132</v>
      </c>
      <c r="C58" s="107"/>
      <c r="D58" s="107"/>
      <c r="E58" s="107"/>
      <c r="F58" s="107"/>
      <c r="G58" s="108"/>
      <c r="H58" s="109"/>
      <c r="I58" s="110">
        <f>SUM(I45:I57)</f>
        <v>0</v>
      </c>
    </row>
    <row r="59" spans="2:9">
      <c r="B59" s="151" t="s">
        <v>10</v>
      </c>
      <c r="C59" s="152"/>
      <c r="D59" s="152"/>
      <c r="E59" s="152"/>
      <c r="F59" s="152"/>
      <c r="G59" s="152"/>
      <c r="H59" s="153"/>
      <c r="I59" s="111">
        <f>SUM(I45:I57,I14:I43,I7:I12)</f>
        <v>0</v>
      </c>
    </row>
    <row r="64" spans="2:9">
      <c r="B64" s="73" t="s">
        <v>300</v>
      </c>
      <c r="E64" s="150" t="s">
        <v>301</v>
      </c>
      <c r="F64" s="150"/>
    </row>
    <row r="65" spans="5:6">
      <c r="E65" s="150" t="s">
        <v>302</v>
      </c>
      <c r="F65" s="150"/>
    </row>
    <row r="66" spans="5:6">
      <c r="E66" s="150" t="s">
        <v>303</v>
      </c>
      <c r="F66" s="150"/>
    </row>
  </sheetData>
  <sheetProtection algorithmName="SHA-512" hashValue="tVagpRS6YnXMxO4EgZmEAhahPnePWONVVqo0cnqcAjFy7JN1vJCbJKYoIk4Nr/sBN9/GUNrS4o0V87C05OLi4g==" saltValue="POD4KTbdjrh8bRntRe+Z0w==" spinCount="100000" sheet="1" objects="1" scenarios="1"/>
  <mergeCells count="6">
    <mergeCell ref="E66:F66"/>
    <mergeCell ref="B59:H59"/>
    <mergeCell ref="C6:D6"/>
    <mergeCell ref="B13:H13"/>
    <mergeCell ref="E64:F64"/>
    <mergeCell ref="E65:F65"/>
  </mergeCells>
  <pageMargins left="0.70866141732283472" right="0.70866141732283472" top="0.74803149606299213" bottom="0.74803149606299213" header="0.31496062992125984" footer="0.31496062992125984"/>
  <pageSetup paperSize="9" scale="58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8"/>
  <sheetViews>
    <sheetView zoomScaleNormal="100" zoomScaleSheetLayoutView="100" workbookViewId="0">
      <selection activeCell="N247" sqref="N247"/>
    </sheetView>
  </sheetViews>
  <sheetFormatPr defaultColWidth="9.28515625" defaultRowHeight="15"/>
  <cols>
    <col min="1" max="1" width="2.28515625" style="21" customWidth="1"/>
    <col min="2" max="2" width="3.28515625" style="21" customWidth="1"/>
    <col min="3" max="3" width="7.85546875" style="21" bestFit="1" customWidth="1"/>
    <col min="4" max="4" width="9.140625" style="21" bestFit="1" customWidth="1"/>
    <col min="5" max="5" width="9.140625" style="21" customWidth="1"/>
    <col min="6" max="6" width="50.7109375" style="21" customWidth="1"/>
    <col min="7" max="7" width="7.85546875" style="22" customWidth="1"/>
    <col min="8" max="8" width="6" style="23" bestFit="1" customWidth="1"/>
    <col min="9" max="9" width="8.140625" style="21" customWidth="1"/>
    <col min="10" max="16384" width="9.28515625" style="21"/>
  </cols>
  <sheetData>
    <row r="1" spans="2:11">
      <c r="J1" s="138" t="s">
        <v>330</v>
      </c>
    </row>
    <row r="2" spans="2:11">
      <c r="J2" s="138" t="s">
        <v>327</v>
      </c>
    </row>
    <row r="3" spans="2:11">
      <c r="B3" s="137" t="s">
        <v>331</v>
      </c>
    </row>
    <row r="4" spans="2:11" ht="15" customHeight="1">
      <c r="B4" s="137" t="s">
        <v>323</v>
      </c>
      <c r="C4" s="72"/>
      <c r="D4" s="72"/>
      <c r="E4" s="72"/>
      <c r="F4" s="72"/>
    </row>
    <row r="6" spans="2:11" ht="29.1" customHeight="1">
      <c r="B6" s="24"/>
      <c r="C6" s="25" t="s">
        <v>135</v>
      </c>
      <c r="D6" s="159" t="s">
        <v>136</v>
      </c>
      <c r="E6" s="160"/>
      <c r="F6" s="24" t="s">
        <v>13</v>
      </c>
      <c r="G6" s="26"/>
      <c r="H6" s="25" t="s">
        <v>14</v>
      </c>
      <c r="I6" s="24" t="s">
        <v>15</v>
      </c>
    </row>
    <row r="7" spans="2:11">
      <c r="B7" s="27"/>
      <c r="C7" s="28" t="s">
        <v>19</v>
      </c>
      <c r="D7" s="29"/>
      <c r="E7" s="30"/>
      <c r="F7" s="31" t="s">
        <v>137</v>
      </c>
      <c r="G7" s="32"/>
      <c r="H7" s="27"/>
      <c r="I7" s="33"/>
      <c r="K7" s="15"/>
    </row>
    <row r="8" spans="2:11" ht="23.25">
      <c r="B8" s="34"/>
      <c r="D8" s="7" t="s">
        <v>20</v>
      </c>
      <c r="E8" s="54"/>
      <c r="F8" s="8" t="s">
        <v>21</v>
      </c>
      <c r="G8" s="9"/>
      <c r="H8" s="10" t="s">
        <v>22</v>
      </c>
      <c r="I8" s="1">
        <f>I9</f>
        <v>153.38</v>
      </c>
      <c r="K8" s="15"/>
    </row>
    <row r="9" spans="2:11" ht="23.25">
      <c r="B9" s="34">
        <v>1</v>
      </c>
      <c r="C9" s="12"/>
      <c r="D9" s="13"/>
      <c r="E9" s="12" t="s">
        <v>138</v>
      </c>
      <c r="F9" s="14" t="s">
        <v>299</v>
      </c>
      <c r="G9" s="15"/>
      <c r="H9" s="2" t="s">
        <v>22</v>
      </c>
      <c r="I9" s="3">
        <f>G12</f>
        <v>153.38</v>
      </c>
      <c r="K9" s="15"/>
    </row>
    <row r="10" spans="2:11">
      <c r="B10" s="34"/>
      <c r="C10" s="12"/>
      <c r="D10" s="13"/>
      <c r="E10" s="12"/>
      <c r="F10" s="35" t="s">
        <v>139</v>
      </c>
      <c r="G10" s="15">
        <f>G60+G61+G62+G63</f>
        <v>122.4</v>
      </c>
      <c r="H10" s="2"/>
      <c r="I10" s="3"/>
      <c r="K10" s="15"/>
    </row>
    <row r="11" spans="2:11">
      <c r="B11" s="34"/>
      <c r="C11" s="12"/>
      <c r="D11" s="13"/>
      <c r="E11" s="12"/>
      <c r="F11" s="35" t="s">
        <v>140</v>
      </c>
      <c r="G11" s="15">
        <f>G185+G186</f>
        <v>30.98</v>
      </c>
      <c r="H11" s="2"/>
      <c r="I11" s="3"/>
    </row>
    <row r="12" spans="2:11">
      <c r="B12" s="34"/>
      <c r="C12" s="12"/>
      <c r="D12" s="13"/>
      <c r="E12" s="12"/>
      <c r="F12" s="4" t="s">
        <v>141</v>
      </c>
      <c r="G12" s="5">
        <f>SUM(G10:G11)</f>
        <v>153.38</v>
      </c>
      <c r="H12" s="2"/>
      <c r="I12" s="3"/>
    </row>
    <row r="13" spans="2:11">
      <c r="B13" s="34"/>
      <c r="C13" s="12"/>
      <c r="D13" s="7" t="s">
        <v>142</v>
      </c>
      <c r="E13" s="54"/>
      <c r="F13" s="8" t="s">
        <v>143</v>
      </c>
      <c r="G13" s="9"/>
      <c r="H13" s="10" t="s">
        <v>25</v>
      </c>
      <c r="I13" s="1">
        <f>I14</f>
        <v>379.3</v>
      </c>
    </row>
    <row r="14" spans="2:11">
      <c r="B14" s="34">
        <f>MAX($B$9:B13)+1</f>
        <v>2</v>
      </c>
      <c r="C14" s="12"/>
      <c r="D14" s="13"/>
      <c r="E14" s="12" t="s">
        <v>144</v>
      </c>
      <c r="F14" s="14" t="s">
        <v>143</v>
      </c>
      <c r="G14" s="15"/>
      <c r="H14" s="2" t="s">
        <v>25</v>
      </c>
      <c r="I14" s="3">
        <f>G17</f>
        <v>379.3</v>
      </c>
    </row>
    <row r="15" spans="2:11">
      <c r="B15" s="34"/>
      <c r="C15" s="12"/>
      <c r="D15" s="13"/>
      <c r="E15" s="12"/>
      <c r="F15" s="35" t="s">
        <v>145</v>
      </c>
      <c r="G15" s="55">
        <v>379.3</v>
      </c>
      <c r="H15" s="2"/>
      <c r="I15" s="3"/>
    </row>
    <row r="16" spans="2:11">
      <c r="B16" s="34"/>
      <c r="C16" s="12"/>
      <c r="D16" s="13"/>
      <c r="E16" s="12"/>
      <c r="F16" s="35" t="s">
        <v>146</v>
      </c>
      <c r="G16" s="55">
        <v>0</v>
      </c>
      <c r="H16" s="2"/>
      <c r="I16" s="3"/>
    </row>
    <row r="17" spans="2:10">
      <c r="B17" s="34"/>
      <c r="C17" s="12"/>
      <c r="D17" s="13"/>
      <c r="E17" s="12"/>
      <c r="F17" s="4" t="s">
        <v>141</v>
      </c>
      <c r="G17" s="5">
        <f>SUM(G15:G16)</f>
        <v>379.3</v>
      </c>
      <c r="H17" s="2"/>
      <c r="I17" s="3"/>
    </row>
    <row r="18" spans="2:10">
      <c r="B18" s="34"/>
      <c r="C18" s="12"/>
      <c r="D18" s="13"/>
      <c r="E18" s="12"/>
      <c r="F18" s="35"/>
      <c r="G18" s="5"/>
      <c r="H18" s="2"/>
      <c r="I18" s="3"/>
    </row>
    <row r="19" spans="2:10" ht="23.25">
      <c r="B19" s="34"/>
      <c r="C19" s="12"/>
      <c r="D19" s="7" t="s">
        <v>26</v>
      </c>
      <c r="E19" s="54"/>
      <c r="F19" s="8" t="s">
        <v>27</v>
      </c>
      <c r="G19" s="9"/>
      <c r="H19" s="10" t="s">
        <v>28</v>
      </c>
      <c r="I19" s="1">
        <v>1</v>
      </c>
    </row>
    <row r="20" spans="2:10" ht="23.25">
      <c r="B20" s="34">
        <f>MAX($B$9:B19)+1</f>
        <v>3</v>
      </c>
      <c r="C20" s="12"/>
      <c r="D20" s="13"/>
      <c r="E20" s="12" t="s">
        <v>147</v>
      </c>
      <c r="F20" s="14" t="s">
        <v>27</v>
      </c>
      <c r="G20" s="15"/>
      <c r="H20" s="2" t="s">
        <v>28</v>
      </c>
      <c r="I20" s="3">
        <v>1</v>
      </c>
    </row>
    <row r="21" spans="2:10">
      <c r="B21" s="34"/>
      <c r="C21" s="12"/>
      <c r="D21" s="13"/>
      <c r="E21" s="12"/>
      <c r="F21" s="14"/>
      <c r="G21" s="15"/>
      <c r="H21" s="2"/>
      <c r="I21" s="3"/>
    </row>
    <row r="22" spans="2:10" ht="23.25">
      <c r="B22" s="34"/>
      <c r="C22" s="12"/>
      <c r="D22" s="7" t="s">
        <v>29</v>
      </c>
      <c r="E22" s="54"/>
      <c r="F22" s="8" t="s">
        <v>30</v>
      </c>
      <c r="G22" s="9"/>
      <c r="H22" s="10" t="s">
        <v>28</v>
      </c>
      <c r="I22" s="1">
        <v>1</v>
      </c>
    </row>
    <row r="23" spans="2:10" ht="23.25">
      <c r="B23" s="34">
        <f>MAX($B$9:B22)+1</f>
        <v>4</v>
      </c>
      <c r="C23" s="12"/>
      <c r="D23" s="13"/>
      <c r="E23" s="12" t="s">
        <v>148</v>
      </c>
      <c r="F23" s="14" t="s">
        <v>30</v>
      </c>
      <c r="G23" s="15"/>
      <c r="H23" s="2" t="s">
        <v>28</v>
      </c>
      <c r="I23" s="3">
        <v>1</v>
      </c>
    </row>
    <row r="24" spans="2:10">
      <c r="B24" s="34"/>
      <c r="C24" s="12"/>
      <c r="D24" s="13"/>
      <c r="E24" s="12"/>
      <c r="F24" s="14"/>
      <c r="G24" s="15"/>
      <c r="H24" s="2"/>
      <c r="I24" s="3"/>
    </row>
    <row r="25" spans="2:10" ht="34.5">
      <c r="B25" s="34"/>
      <c r="C25" s="12"/>
      <c r="D25" s="7" t="s">
        <v>31</v>
      </c>
      <c r="E25" s="54"/>
      <c r="F25" s="8" t="s">
        <v>32</v>
      </c>
      <c r="G25" s="9"/>
      <c r="H25" s="10" t="s">
        <v>28</v>
      </c>
      <c r="I25" s="1">
        <v>1</v>
      </c>
    </row>
    <row r="26" spans="2:10" ht="34.5">
      <c r="B26" s="34">
        <f>MAX($B$9:B25)+1</f>
        <v>5</v>
      </c>
      <c r="C26" s="12"/>
      <c r="D26" s="13"/>
      <c r="E26" s="12" t="s">
        <v>148</v>
      </c>
      <c r="F26" s="14" t="s">
        <v>32</v>
      </c>
      <c r="G26" s="15"/>
      <c r="H26" s="2" t="s">
        <v>28</v>
      </c>
      <c r="I26" s="3">
        <v>1</v>
      </c>
    </row>
    <row r="27" spans="2:10">
      <c r="B27" s="34"/>
      <c r="C27" s="34"/>
      <c r="D27" s="12"/>
      <c r="E27" s="13"/>
      <c r="F27" s="12"/>
      <c r="G27" s="14"/>
      <c r="H27" s="15"/>
      <c r="I27" s="2"/>
      <c r="J27" s="71"/>
    </row>
    <row r="28" spans="2:10" ht="23.25">
      <c r="B28" s="34"/>
      <c r="C28" s="12"/>
      <c r="D28" s="7" t="s">
        <v>286</v>
      </c>
      <c r="E28" s="54"/>
      <c r="F28" s="8" t="s">
        <v>287</v>
      </c>
      <c r="G28" s="9"/>
      <c r="H28" s="10" t="s">
        <v>28</v>
      </c>
      <c r="I28" s="1">
        <v>1</v>
      </c>
    </row>
    <row r="29" spans="2:10" ht="23.25">
      <c r="B29" s="34">
        <f>MAX($B$9:B28)+1</f>
        <v>6</v>
      </c>
      <c r="C29" s="12"/>
      <c r="D29" s="62"/>
      <c r="E29" s="13" t="s">
        <v>288</v>
      </c>
      <c r="F29" s="36" t="s">
        <v>287</v>
      </c>
      <c r="G29" s="63"/>
      <c r="H29" s="64" t="s">
        <v>28</v>
      </c>
      <c r="I29" s="3">
        <v>1</v>
      </c>
    </row>
    <row r="30" spans="2:10">
      <c r="B30" s="53"/>
      <c r="C30" s="53"/>
      <c r="D30" s="70"/>
      <c r="E30" s="65"/>
      <c r="F30" s="66" t="s">
        <v>289</v>
      </c>
      <c r="G30" s="67"/>
      <c r="H30" s="68"/>
      <c r="I30" s="69"/>
    </row>
    <row r="31" spans="2:10">
      <c r="B31" s="36"/>
      <c r="C31" s="12"/>
      <c r="D31" s="12"/>
      <c r="E31" s="12"/>
      <c r="F31" s="36"/>
      <c r="G31" s="15"/>
      <c r="H31" s="37"/>
      <c r="I31" s="6"/>
    </row>
    <row r="32" spans="2:10">
      <c r="B32" s="161" t="s">
        <v>282</v>
      </c>
      <c r="C32" s="161"/>
      <c r="D32" s="161"/>
      <c r="E32" s="161"/>
      <c r="F32" s="161"/>
      <c r="G32" s="61"/>
      <c r="H32" s="61"/>
      <c r="I32" s="61"/>
    </row>
    <row r="33" spans="2:9">
      <c r="B33" s="39"/>
      <c r="C33" s="28" t="s">
        <v>34</v>
      </c>
      <c r="D33" s="29"/>
      <c r="E33" s="30"/>
      <c r="F33" s="31" t="s">
        <v>149</v>
      </c>
      <c r="G33" s="40"/>
      <c r="H33" s="41"/>
      <c r="I33" s="42"/>
    </row>
    <row r="34" spans="2:9">
      <c r="B34" s="43"/>
      <c r="D34" s="7" t="s">
        <v>35</v>
      </c>
      <c r="E34" s="54"/>
      <c r="F34" s="8" t="s">
        <v>36</v>
      </c>
      <c r="G34" s="9"/>
      <c r="H34" s="10" t="s">
        <v>25</v>
      </c>
      <c r="I34" s="11">
        <f>SUM(I35)</f>
        <v>20</v>
      </c>
    </row>
    <row r="35" spans="2:9">
      <c r="B35" s="43">
        <v>1</v>
      </c>
      <c r="C35" s="12"/>
      <c r="D35" s="13"/>
      <c r="E35" s="12" t="s">
        <v>150</v>
      </c>
      <c r="F35" s="14" t="s">
        <v>36</v>
      </c>
      <c r="G35" s="15"/>
      <c r="H35" s="2" t="s">
        <v>25</v>
      </c>
      <c r="I35" s="16">
        <f>G37</f>
        <v>20</v>
      </c>
    </row>
    <row r="36" spans="2:9" ht="23.25">
      <c r="B36" s="43"/>
      <c r="C36" s="12"/>
      <c r="D36" s="13"/>
      <c r="E36" s="12"/>
      <c r="F36" s="35" t="s">
        <v>151</v>
      </c>
      <c r="G36" s="44">
        <f>0.5*0.25*2*80</f>
        <v>20</v>
      </c>
      <c r="H36" s="2"/>
      <c r="I36" s="16"/>
    </row>
    <row r="37" spans="2:9">
      <c r="B37" s="43"/>
      <c r="C37" s="12"/>
      <c r="D37" s="13"/>
      <c r="E37" s="12"/>
      <c r="F37" s="4" t="s">
        <v>141</v>
      </c>
      <c r="G37" s="5">
        <f>SUM(G36)</f>
        <v>20</v>
      </c>
      <c r="H37" s="2"/>
      <c r="I37" s="16"/>
    </row>
    <row r="38" spans="2:9" ht="23.25">
      <c r="B38" s="43"/>
      <c r="C38" s="12"/>
      <c r="D38" s="7" t="s">
        <v>37</v>
      </c>
      <c r="E38" s="54"/>
      <c r="F38" s="8" t="s">
        <v>38</v>
      </c>
      <c r="G38" s="9"/>
      <c r="H38" s="10" t="s">
        <v>39</v>
      </c>
      <c r="I38" s="11">
        <f>SUM(I39)</f>
        <v>2</v>
      </c>
    </row>
    <row r="39" spans="2:9">
      <c r="B39" s="43">
        <f>MAX($B$35:B38)+1</f>
        <v>2</v>
      </c>
      <c r="C39" s="12"/>
      <c r="D39" s="13"/>
      <c r="E39" s="12" t="s">
        <v>152</v>
      </c>
      <c r="F39" s="14" t="s">
        <v>38</v>
      </c>
      <c r="G39" s="15"/>
      <c r="H39" s="2" t="s">
        <v>39</v>
      </c>
      <c r="I39" s="16">
        <f>G41</f>
        <v>2</v>
      </c>
    </row>
    <row r="40" spans="2:9">
      <c r="B40" s="43"/>
      <c r="C40" s="12"/>
      <c r="D40" s="13"/>
      <c r="E40" s="12"/>
      <c r="F40" s="35" t="s">
        <v>153</v>
      </c>
      <c r="G40" s="15">
        <f>2</f>
        <v>2</v>
      </c>
      <c r="H40" s="2"/>
      <c r="I40" s="16"/>
    </row>
    <row r="41" spans="2:9">
      <c r="B41" s="43"/>
      <c r="C41" s="12"/>
      <c r="D41" s="13"/>
      <c r="E41" s="12"/>
      <c r="F41" s="4" t="s">
        <v>141</v>
      </c>
      <c r="G41" s="5">
        <f>SUM(G40)</f>
        <v>2</v>
      </c>
      <c r="H41" s="2"/>
      <c r="I41" s="16"/>
    </row>
    <row r="42" spans="2:9" ht="23.25">
      <c r="B42" s="43"/>
      <c r="C42" s="12"/>
      <c r="D42" s="7" t="s">
        <v>40</v>
      </c>
      <c r="E42" s="54"/>
      <c r="F42" s="8" t="s">
        <v>41</v>
      </c>
      <c r="G42" s="9"/>
      <c r="H42" s="10" t="s">
        <v>42</v>
      </c>
      <c r="I42" s="11">
        <f>SUM(I43)</f>
        <v>48</v>
      </c>
    </row>
    <row r="43" spans="2:9" ht="23.25">
      <c r="B43" s="43">
        <f>MAX($B$35:B42)+1</f>
        <v>3</v>
      </c>
      <c r="C43" s="12"/>
      <c r="D43" s="13"/>
      <c r="E43" s="12" t="s">
        <v>154</v>
      </c>
      <c r="F43" s="14" t="s">
        <v>155</v>
      </c>
      <c r="G43" s="15"/>
      <c r="H43" s="2" t="s">
        <v>42</v>
      </c>
      <c r="I43" s="16">
        <f>G45</f>
        <v>48</v>
      </c>
    </row>
    <row r="44" spans="2:9" ht="23.25">
      <c r="B44" s="43"/>
      <c r="C44" s="12"/>
      <c r="D44" s="13"/>
      <c r="E44" s="12"/>
      <c r="F44" s="35" t="s">
        <v>156</v>
      </c>
      <c r="G44" s="15">
        <f>0.3*2*80</f>
        <v>48</v>
      </c>
      <c r="H44" s="2"/>
      <c r="I44" s="16"/>
    </row>
    <row r="45" spans="2:9">
      <c r="B45" s="43"/>
      <c r="C45" s="12"/>
      <c r="D45" s="13"/>
      <c r="E45" s="12"/>
      <c r="F45" s="4" t="s">
        <v>141</v>
      </c>
      <c r="G45" s="5">
        <f>SUM(G44)</f>
        <v>48</v>
      </c>
      <c r="H45" s="2"/>
      <c r="I45" s="16"/>
    </row>
    <row r="46" spans="2:9" ht="23.25">
      <c r="B46" s="43"/>
      <c r="C46" s="12"/>
      <c r="D46" s="7" t="s">
        <v>43</v>
      </c>
      <c r="E46" s="54"/>
      <c r="F46" s="8" t="s">
        <v>44</v>
      </c>
      <c r="G46" s="9"/>
      <c r="H46" s="10" t="s">
        <v>42</v>
      </c>
      <c r="I46" s="11">
        <f>SUM(I47)</f>
        <v>48</v>
      </c>
    </row>
    <row r="47" spans="2:9" ht="23.25">
      <c r="B47" s="43">
        <f>MAX($B$35:B46)+1</f>
        <v>4</v>
      </c>
      <c r="C47" s="12"/>
      <c r="D47" s="13"/>
      <c r="E47" s="12" t="s">
        <v>157</v>
      </c>
      <c r="F47" s="14" t="s">
        <v>158</v>
      </c>
      <c r="G47" s="15"/>
      <c r="H47" s="2" t="s">
        <v>42</v>
      </c>
      <c r="I47" s="16">
        <f>G49</f>
        <v>48</v>
      </c>
    </row>
    <row r="48" spans="2:9" ht="34.5">
      <c r="B48" s="43"/>
      <c r="C48" s="12"/>
      <c r="D48" s="13"/>
      <c r="E48" s="12"/>
      <c r="F48" s="35" t="s">
        <v>159</v>
      </c>
      <c r="G48" s="15">
        <f>0.3*2*80</f>
        <v>48</v>
      </c>
      <c r="H48" s="2"/>
      <c r="I48" s="16"/>
    </row>
    <row r="49" spans="2:9">
      <c r="B49" s="43"/>
      <c r="C49" s="12"/>
      <c r="D49" s="13"/>
      <c r="E49" s="12"/>
      <c r="F49" s="4" t="s">
        <v>141</v>
      </c>
      <c r="G49" s="5">
        <f>SUM(G48)</f>
        <v>48</v>
      </c>
      <c r="H49" s="2"/>
      <c r="I49" s="16"/>
    </row>
    <row r="50" spans="2:9" ht="23.25">
      <c r="B50" s="43"/>
      <c r="C50" s="12"/>
      <c r="D50" s="7" t="s">
        <v>45</v>
      </c>
      <c r="E50" s="54"/>
      <c r="F50" s="8" t="s">
        <v>46</v>
      </c>
      <c r="G50" s="9"/>
      <c r="H50" s="10" t="s">
        <v>42</v>
      </c>
      <c r="I50" s="11">
        <f>SUM(I51)</f>
        <v>52.8</v>
      </c>
    </row>
    <row r="51" spans="2:9" ht="23.25">
      <c r="B51" s="43">
        <f>MAX($B$35:B50)+1</f>
        <v>5</v>
      </c>
      <c r="C51" s="12"/>
      <c r="D51" s="13"/>
      <c r="E51" s="12" t="s">
        <v>160</v>
      </c>
      <c r="F51" s="14" t="s">
        <v>161</v>
      </c>
      <c r="G51" s="15"/>
      <c r="H51" s="2" t="s">
        <v>42</v>
      </c>
      <c r="I51" s="16">
        <v>52.8</v>
      </c>
    </row>
    <row r="52" spans="2:9" ht="23.25">
      <c r="B52" s="43"/>
      <c r="C52" s="12"/>
      <c r="D52" s="13"/>
      <c r="E52" s="12"/>
      <c r="F52" s="35" t="s">
        <v>162</v>
      </c>
      <c r="G52" s="15">
        <f>0.3*2*80</f>
        <v>48</v>
      </c>
      <c r="H52" s="2"/>
      <c r="I52" s="16"/>
    </row>
    <row r="53" spans="2:9">
      <c r="B53" s="43"/>
      <c r="C53" s="12"/>
      <c r="D53" s="13"/>
      <c r="E53" s="12"/>
      <c r="F53" s="4" t="s">
        <v>141</v>
      </c>
      <c r="G53" s="5">
        <f>SUM(G52)</f>
        <v>48</v>
      </c>
      <c r="H53" s="2"/>
      <c r="I53" s="16"/>
    </row>
    <row r="54" spans="2:9" ht="23.25">
      <c r="B54" s="43"/>
      <c r="C54" s="12"/>
      <c r="D54" s="7" t="s">
        <v>47</v>
      </c>
      <c r="E54" s="54"/>
      <c r="F54" s="8" t="s">
        <v>48</v>
      </c>
      <c r="G54" s="9"/>
      <c r="H54" s="10" t="s">
        <v>49</v>
      </c>
      <c r="I54" s="11">
        <f>SUM(I55)</f>
        <v>208</v>
      </c>
    </row>
    <row r="55" spans="2:9" ht="23.25">
      <c r="B55" s="43">
        <f>MAX($B$35:B54)+1</f>
        <v>6</v>
      </c>
      <c r="C55" s="12"/>
      <c r="D55" s="13"/>
      <c r="E55" s="12" t="s">
        <v>163</v>
      </c>
      <c r="F55" s="14" t="s">
        <v>48</v>
      </c>
      <c r="G55" s="15"/>
      <c r="H55" s="2" t="s">
        <v>49</v>
      </c>
      <c r="I55" s="16">
        <f>G57</f>
        <v>208</v>
      </c>
    </row>
    <row r="56" spans="2:9">
      <c r="B56" s="43"/>
      <c r="C56" s="12"/>
      <c r="D56" s="13"/>
      <c r="E56" s="12"/>
      <c r="F56" s="35" t="s">
        <v>164</v>
      </c>
      <c r="G56" s="15">
        <f>208</f>
        <v>208</v>
      </c>
      <c r="H56" s="2"/>
      <c r="I56" s="16"/>
    </row>
    <row r="57" spans="2:9">
      <c r="B57" s="43"/>
      <c r="C57" s="12"/>
      <c r="D57" s="13"/>
      <c r="E57" s="12"/>
      <c r="F57" s="4" t="s">
        <v>141</v>
      </c>
      <c r="G57" s="5">
        <f>SUM(G56)</f>
        <v>208</v>
      </c>
      <c r="H57" s="2"/>
      <c r="I57" s="16"/>
    </row>
    <row r="58" spans="2:9">
      <c r="B58" s="43"/>
      <c r="C58" s="12"/>
      <c r="D58" s="7" t="s">
        <v>50</v>
      </c>
      <c r="E58" s="54"/>
      <c r="F58" s="8" t="s">
        <v>51</v>
      </c>
      <c r="G58" s="9"/>
      <c r="H58" s="10" t="s">
        <v>22</v>
      </c>
      <c r="I58" s="11">
        <f>SUM(I59)</f>
        <v>134.88</v>
      </c>
    </row>
    <row r="59" spans="2:9">
      <c r="B59" s="43">
        <f>MAX($B$35:B58)+1</f>
        <v>7</v>
      </c>
      <c r="C59" s="12"/>
      <c r="D59" s="13"/>
      <c r="E59" s="12" t="s">
        <v>165</v>
      </c>
      <c r="F59" s="14" t="s">
        <v>166</v>
      </c>
      <c r="G59" s="15"/>
      <c r="H59" s="2" t="s">
        <v>22</v>
      </c>
      <c r="I59" s="16">
        <f>G65</f>
        <v>134.88</v>
      </c>
    </row>
    <row r="60" spans="2:9" ht="23.25">
      <c r="B60" s="43"/>
      <c r="C60" s="12"/>
      <c r="D60" s="13"/>
      <c r="E60" s="12"/>
      <c r="F60" s="35" t="s">
        <v>167</v>
      </c>
      <c r="G60" s="15">
        <f>48*(0.5+0.5+0.5)</f>
        <v>72</v>
      </c>
      <c r="H60" s="2"/>
      <c r="I60" s="16"/>
    </row>
    <row r="61" spans="2:9">
      <c r="B61" s="43"/>
      <c r="C61" s="12"/>
      <c r="D61" s="13"/>
      <c r="E61" s="12"/>
      <c r="F61" s="35" t="s">
        <v>168</v>
      </c>
      <c r="G61" s="15">
        <f>48*0.127</f>
        <v>6.1</v>
      </c>
      <c r="H61" s="2"/>
      <c r="I61" s="16"/>
    </row>
    <row r="62" spans="2:9">
      <c r="B62" s="43"/>
      <c r="C62" s="12"/>
      <c r="D62" s="13"/>
      <c r="E62" s="12"/>
      <c r="F62" s="35" t="s">
        <v>169</v>
      </c>
      <c r="G62" s="15">
        <f>20*2.2</f>
        <v>44</v>
      </c>
      <c r="H62" s="2"/>
      <c r="I62" s="16"/>
    </row>
    <row r="63" spans="2:9">
      <c r="B63" s="43"/>
      <c r="C63" s="12"/>
      <c r="D63" s="13"/>
      <c r="E63" s="12"/>
      <c r="F63" s="35" t="s">
        <v>170</v>
      </c>
      <c r="G63" s="15">
        <f>2*0.15</f>
        <v>0.3</v>
      </c>
      <c r="H63" s="2"/>
      <c r="I63" s="16"/>
    </row>
    <row r="64" spans="2:9">
      <c r="B64" s="43"/>
      <c r="C64" s="12"/>
      <c r="D64" s="13"/>
      <c r="E64" s="12"/>
      <c r="F64" s="35" t="s">
        <v>171</v>
      </c>
      <c r="G64" s="15">
        <f>208*0.06</f>
        <v>12.48</v>
      </c>
      <c r="H64" s="2"/>
      <c r="I64" s="16"/>
    </row>
    <row r="65" spans="2:9">
      <c r="B65" s="43"/>
      <c r="C65" s="12"/>
      <c r="D65" s="13"/>
      <c r="E65" s="12"/>
      <c r="F65" s="4" t="s">
        <v>141</v>
      </c>
      <c r="G65" s="5">
        <f>SUM(G60:G64)</f>
        <v>134.88</v>
      </c>
      <c r="H65" s="2"/>
      <c r="I65" s="16"/>
    </row>
    <row r="66" spans="2:9">
      <c r="B66" s="43"/>
      <c r="C66" s="12"/>
      <c r="D66" s="7" t="s">
        <v>52</v>
      </c>
      <c r="E66" s="54"/>
      <c r="F66" s="8" t="s">
        <v>53</v>
      </c>
      <c r="G66" s="9"/>
      <c r="H66" s="10" t="s">
        <v>42</v>
      </c>
      <c r="I66" s="11">
        <f>SUM(I67)</f>
        <v>480</v>
      </c>
    </row>
    <row r="67" spans="2:9" ht="23.25">
      <c r="B67" s="43">
        <f>MAX($B$35:B66)+1</f>
        <v>8</v>
      </c>
      <c r="C67" s="12"/>
      <c r="D67" s="13"/>
      <c r="E67" s="12" t="s">
        <v>172</v>
      </c>
      <c r="F67" s="14" t="s">
        <v>173</v>
      </c>
      <c r="G67" s="15"/>
      <c r="H67" s="2" t="s">
        <v>42</v>
      </c>
      <c r="I67" s="16">
        <f>G70</f>
        <v>480</v>
      </c>
    </row>
    <row r="68" spans="2:9">
      <c r="B68" s="43"/>
      <c r="C68" s="12"/>
      <c r="D68" s="13"/>
      <c r="E68" s="12"/>
      <c r="F68" s="35" t="s">
        <v>174</v>
      </c>
      <c r="G68" s="15">
        <f>2*1*2*80</f>
        <v>320</v>
      </c>
      <c r="H68" s="2"/>
      <c r="I68" s="16"/>
    </row>
    <row r="69" spans="2:9">
      <c r="B69" s="43"/>
      <c r="C69" s="12"/>
      <c r="D69" s="13"/>
      <c r="E69" s="12"/>
      <c r="F69" s="35" t="s">
        <v>175</v>
      </c>
      <c r="G69" s="15">
        <f>2*0.5*2*80</f>
        <v>160</v>
      </c>
      <c r="H69" s="2"/>
      <c r="I69" s="16"/>
    </row>
    <row r="70" spans="2:9">
      <c r="B70" s="43"/>
      <c r="C70" s="12"/>
      <c r="D70" s="13"/>
      <c r="E70" s="12"/>
      <c r="F70" s="4" t="s">
        <v>141</v>
      </c>
      <c r="G70" s="5">
        <f>SUM(G68:G69)</f>
        <v>480</v>
      </c>
      <c r="H70" s="2"/>
      <c r="I70" s="16"/>
    </row>
    <row r="71" spans="2:9">
      <c r="B71" s="43"/>
      <c r="C71" s="57" t="s">
        <v>55</v>
      </c>
      <c r="D71" s="13"/>
      <c r="E71" s="12"/>
      <c r="F71" s="45" t="s">
        <v>176</v>
      </c>
      <c r="G71" s="5"/>
      <c r="H71" s="2"/>
      <c r="I71" s="16"/>
    </row>
    <row r="72" spans="2:9">
      <c r="B72" s="43"/>
      <c r="D72" s="7" t="s">
        <v>56</v>
      </c>
      <c r="E72" s="54"/>
      <c r="F72" s="8" t="s">
        <v>57</v>
      </c>
      <c r="G72" s="9"/>
      <c r="H72" s="10" t="s">
        <v>25</v>
      </c>
      <c r="I72" s="11">
        <f>SUM(I73)</f>
        <v>363.5</v>
      </c>
    </row>
    <row r="73" spans="2:9">
      <c r="B73" s="43">
        <f>MAX($B$35:B72)+1</f>
        <v>9</v>
      </c>
      <c r="D73" s="46"/>
      <c r="E73" s="12" t="s">
        <v>177</v>
      </c>
      <c r="F73" s="14" t="s">
        <v>178</v>
      </c>
      <c r="G73" s="15"/>
      <c r="H73" s="2" t="s">
        <v>25</v>
      </c>
      <c r="I73" s="16">
        <f>G75</f>
        <v>363.5</v>
      </c>
    </row>
    <row r="74" spans="2:9" ht="23.25">
      <c r="B74" s="43"/>
      <c r="D74" s="13"/>
      <c r="E74" s="12"/>
      <c r="F74" s="35" t="s">
        <v>179</v>
      </c>
      <c r="G74" s="15">
        <f>363.5</f>
        <v>363.5</v>
      </c>
      <c r="H74" s="2"/>
      <c r="I74" s="16"/>
    </row>
    <row r="75" spans="2:9">
      <c r="B75" s="43"/>
      <c r="D75" s="13"/>
      <c r="E75" s="12"/>
      <c r="F75" s="4" t="s">
        <v>141</v>
      </c>
      <c r="G75" s="5">
        <f>SUM(G73:G74)</f>
        <v>363.5</v>
      </c>
      <c r="H75" s="2"/>
      <c r="I75" s="16"/>
    </row>
    <row r="76" spans="2:9">
      <c r="B76" s="43"/>
      <c r="C76" s="12"/>
      <c r="D76" s="7" t="s">
        <v>58</v>
      </c>
      <c r="E76" s="54"/>
      <c r="F76" s="8" t="s">
        <v>59</v>
      </c>
      <c r="G76" s="9"/>
      <c r="H76" s="10" t="s">
        <v>25</v>
      </c>
      <c r="I76" s="11">
        <f>SUM(I77)</f>
        <v>15.8</v>
      </c>
    </row>
    <row r="77" spans="2:9">
      <c r="B77" s="43">
        <f>MAX($B$35:B76)+1</f>
        <v>10</v>
      </c>
      <c r="C77" s="12"/>
      <c r="D77" s="13"/>
      <c r="E77" s="12" t="s">
        <v>180</v>
      </c>
      <c r="F77" s="14" t="s">
        <v>181</v>
      </c>
      <c r="G77" s="15"/>
      <c r="H77" s="2" t="s">
        <v>25</v>
      </c>
      <c r="I77" s="16">
        <f>G79</f>
        <v>15.8</v>
      </c>
    </row>
    <row r="78" spans="2:9" ht="23.25">
      <c r="B78" s="43"/>
      <c r="C78" s="12"/>
      <c r="D78" s="13"/>
      <c r="E78" s="12"/>
      <c r="F78" s="35" t="s">
        <v>182</v>
      </c>
      <c r="G78" s="15">
        <f>15.8</f>
        <v>15.8</v>
      </c>
      <c r="H78" s="2"/>
      <c r="I78" s="16"/>
    </row>
    <row r="79" spans="2:9">
      <c r="B79" s="43"/>
      <c r="C79" s="12"/>
      <c r="D79" s="13"/>
      <c r="E79" s="12"/>
      <c r="F79" s="4" t="s">
        <v>141</v>
      </c>
      <c r="G79" s="5">
        <f>SUM(G77:G78)</f>
        <v>15.8</v>
      </c>
      <c r="H79" s="2"/>
      <c r="I79" s="16"/>
    </row>
    <row r="80" spans="2:9" ht="23.25">
      <c r="B80" s="43"/>
      <c r="C80" s="12"/>
      <c r="D80" s="7" t="s">
        <v>60</v>
      </c>
      <c r="E80" s="54"/>
      <c r="F80" s="8" t="s">
        <v>183</v>
      </c>
      <c r="G80" s="9"/>
      <c r="H80" s="10" t="s">
        <v>25</v>
      </c>
      <c r="I80" s="11">
        <f>SUM(I81)</f>
        <v>379.3</v>
      </c>
    </row>
    <row r="81" spans="2:9" ht="23.25">
      <c r="B81" s="43">
        <f>MAX($B$35:B80)+1</f>
        <v>11</v>
      </c>
      <c r="C81" s="12"/>
      <c r="D81" s="13"/>
      <c r="E81" s="12" t="s">
        <v>184</v>
      </c>
      <c r="F81" s="14" t="s">
        <v>185</v>
      </c>
      <c r="G81" s="15"/>
      <c r="H81" s="2" t="s">
        <v>25</v>
      </c>
      <c r="I81" s="16">
        <f>G83</f>
        <v>379.3</v>
      </c>
    </row>
    <row r="82" spans="2:9">
      <c r="B82" s="43"/>
      <c r="C82" s="12"/>
      <c r="D82" s="13"/>
      <c r="E82" s="12"/>
      <c r="F82" s="35" t="s">
        <v>186</v>
      </c>
      <c r="G82" s="15">
        <f>363.5+15.8</f>
        <v>379.3</v>
      </c>
      <c r="H82" s="2"/>
      <c r="I82" s="16"/>
    </row>
    <row r="83" spans="2:9">
      <c r="B83" s="43"/>
      <c r="C83" s="12"/>
      <c r="D83" s="13"/>
      <c r="E83" s="12"/>
      <c r="F83" s="4" t="s">
        <v>141</v>
      </c>
      <c r="G83" s="5">
        <f>SUM(G81:G82)</f>
        <v>379.3</v>
      </c>
      <c r="H83" s="2"/>
      <c r="I83" s="16"/>
    </row>
    <row r="84" spans="2:9">
      <c r="B84" s="43"/>
      <c r="C84" s="12"/>
      <c r="D84" s="7" t="s">
        <v>63</v>
      </c>
      <c r="E84" s="54"/>
      <c r="F84" s="8" t="s">
        <v>64</v>
      </c>
      <c r="G84" s="9"/>
      <c r="H84" s="10" t="s">
        <v>25</v>
      </c>
      <c r="I84" s="11">
        <f>SUM(I85)</f>
        <v>11.2</v>
      </c>
    </row>
    <row r="85" spans="2:9">
      <c r="B85" s="43">
        <f>MAX($B$35:B84)+1</f>
        <v>12</v>
      </c>
      <c r="C85" s="12"/>
      <c r="D85" s="13"/>
      <c r="E85" s="12" t="s">
        <v>187</v>
      </c>
      <c r="F85" s="14" t="s">
        <v>188</v>
      </c>
      <c r="G85" s="15"/>
      <c r="H85" s="2" t="s">
        <v>25</v>
      </c>
      <c r="I85" s="16">
        <f>G87</f>
        <v>11.2</v>
      </c>
    </row>
    <row r="86" spans="2:9" ht="23.25">
      <c r="B86" s="43"/>
      <c r="C86" s="12"/>
      <c r="D86" s="13"/>
      <c r="E86" s="12"/>
      <c r="F86" s="35" t="s">
        <v>189</v>
      </c>
      <c r="G86" s="15">
        <f>11.2</f>
        <v>11.2</v>
      </c>
      <c r="H86" s="2"/>
      <c r="I86" s="16"/>
    </row>
    <row r="87" spans="2:9">
      <c r="B87" s="43"/>
      <c r="C87" s="12"/>
      <c r="D87" s="13"/>
      <c r="E87" s="12"/>
      <c r="F87" s="4" t="s">
        <v>141</v>
      </c>
      <c r="G87" s="5">
        <f>SUM(G85:G86)</f>
        <v>11.2</v>
      </c>
      <c r="H87" s="2"/>
      <c r="I87" s="16"/>
    </row>
    <row r="88" spans="2:9">
      <c r="B88" s="43"/>
      <c r="C88" s="57" t="s">
        <v>66</v>
      </c>
      <c r="D88" s="13"/>
      <c r="E88" s="12"/>
      <c r="F88" s="45" t="s">
        <v>190</v>
      </c>
      <c r="G88" s="5"/>
      <c r="H88" s="2"/>
      <c r="I88" s="16"/>
    </row>
    <row r="89" spans="2:9">
      <c r="B89" s="43"/>
      <c r="C89" s="12"/>
      <c r="D89" s="7" t="s">
        <v>69</v>
      </c>
      <c r="E89" s="54"/>
      <c r="F89" s="8" t="s">
        <v>70</v>
      </c>
      <c r="G89" s="9"/>
      <c r="H89" s="10" t="s">
        <v>39</v>
      </c>
      <c r="I89" s="11">
        <f>SUM(I90)</f>
        <v>16</v>
      </c>
    </row>
    <row r="90" spans="2:9">
      <c r="B90" s="43">
        <f>MAX($B$35:B89)+1</f>
        <v>13</v>
      </c>
      <c r="C90" s="12"/>
      <c r="D90" s="13"/>
      <c r="E90" s="12" t="s">
        <v>191</v>
      </c>
      <c r="F90" s="14" t="s">
        <v>192</v>
      </c>
      <c r="G90" s="15"/>
      <c r="H90" s="2" t="s">
        <v>39</v>
      </c>
      <c r="I90" s="16">
        <f>G92</f>
        <v>16</v>
      </c>
    </row>
    <row r="91" spans="2:9" ht="23.25">
      <c r="B91" s="43"/>
      <c r="C91" s="12"/>
      <c r="D91" s="13"/>
      <c r="E91" s="12"/>
      <c r="F91" s="35" t="s">
        <v>285</v>
      </c>
      <c r="G91" s="15">
        <v>16</v>
      </c>
      <c r="H91" s="2"/>
      <c r="I91" s="16"/>
    </row>
    <row r="92" spans="2:9">
      <c r="B92" s="43"/>
      <c r="C92" s="12"/>
      <c r="D92" s="13"/>
      <c r="E92" s="12"/>
      <c r="F92" s="4" t="s">
        <v>141</v>
      </c>
      <c r="G92" s="5">
        <f>SUM(G90:G91)</f>
        <v>16</v>
      </c>
      <c r="H92" s="2"/>
      <c r="I92" s="16"/>
    </row>
    <row r="93" spans="2:9">
      <c r="B93" s="43"/>
      <c r="C93" s="12"/>
      <c r="D93" s="7" t="s">
        <v>67</v>
      </c>
      <c r="E93" s="54"/>
      <c r="F93" s="8" t="s">
        <v>68</v>
      </c>
      <c r="G93" s="9"/>
      <c r="H93" s="10" t="s">
        <v>49</v>
      </c>
      <c r="I93" s="11">
        <f>SUM(I94)</f>
        <v>28</v>
      </c>
    </row>
    <row r="94" spans="2:9">
      <c r="B94" s="43">
        <f>MAX($B$35:B93)+1</f>
        <v>14</v>
      </c>
      <c r="C94" s="12"/>
      <c r="D94" s="13"/>
      <c r="E94" s="12" t="s">
        <v>193</v>
      </c>
      <c r="F94" s="14" t="s">
        <v>194</v>
      </c>
      <c r="G94" s="15"/>
      <c r="H94" s="2" t="s">
        <v>49</v>
      </c>
      <c r="I94" s="16">
        <f>G96</f>
        <v>28</v>
      </c>
    </row>
    <row r="95" spans="2:9" ht="23.25">
      <c r="B95" s="43"/>
      <c r="C95" s="12"/>
      <c r="D95" s="13"/>
      <c r="E95" s="12"/>
      <c r="F95" s="35" t="s">
        <v>195</v>
      </c>
      <c r="G95" s="15">
        <f>8*3.5</f>
        <v>28</v>
      </c>
      <c r="H95" s="2"/>
      <c r="I95" s="16"/>
    </row>
    <row r="96" spans="2:9">
      <c r="B96" s="43"/>
      <c r="C96" s="12"/>
      <c r="D96" s="13"/>
      <c r="E96" s="12"/>
      <c r="F96" s="4" t="s">
        <v>141</v>
      </c>
      <c r="G96" s="5">
        <f>SUM(G95)</f>
        <v>28</v>
      </c>
      <c r="H96" s="2"/>
      <c r="I96" s="16"/>
    </row>
    <row r="97" spans="2:9" ht="24.75">
      <c r="B97" s="43"/>
      <c r="C97" s="57" t="s">
        <v>72</v>
      </c>
      <c r="D97" s="13"/>
      <c r="E97" s="12"/>
      <c r="F97" s="45" t="s">
        <v>196</v>
      </c>
      <c r="G97" s="5"/>
      <c r="H97" s="2"/>
      <c r="I97" s="16"/>
    </row>
    <row r="98" spans="2:9" ht="23.25">
      <c r="B98" s="43"/>
      <c r="D98" s="7" t="s">
        <v>73</v>
      </c>
      <c r="E98" s="54"/>
      <c r="F98" s="8" t="s">
        <v>74</v>
      </c>
      <c r="G98" s="9"/>
      <c r="H98" s="10" t="s">
        <v>42</v>
      </c>
      <c r="I98" s="11">
        <f>SUM(I99)</f>
        <v>80</v>
      </c>
    </row>
    <row r="99" spans="2:9" ht="23.25">
      <c r="B99" s="43">
        <f>MAX($B$35:B98)+1</f>
        <v>15</v>
      </c>
      <c r="D99" s="13"/>
      <c r="E99" s="12" t="s">
        <v>73</v>
      </c>
      <c r="F99" s="14" t="s">
        <v>197</v>
      </c>
      <c r="G99" s="15"/>
      <c r="H99" s="2" t="s">
        <v>42</v>
      </c>
      <c r="I99" s="16">
        <f>G101</f>
        <v>80</v>
      </c>
    </row>
    <row r="100" spans="2:9" ht="23.25">
      <c r="B100" s="43"/>
      <c r="D100" s="13"/>
      <c r="E100" s="12"/>
      <c r="F100" s="35" t="s">
        <v>198</v>
      </c>
      <c r="G100" s="15">
        <f>2*80*2*0.25</f>
        <v>80</v>
      </c>
      <c r="H100" s="2"/>
      <c r="I100" s="16"/>
    </row>
    <row r="101" spans="2:9">
      <c r="B101" s="43"/>
      <c r="D101" s="13"/>
      <c r="E101" s="12"/>
      <c r="F101" s="4" t="s">
        <v>141</v>
      </c>
      <c r="G101" s="5">
        <f>SUM(G100:G100)</f>
        <v>80</v>
      </c>
      <c r="H101" s="2"/>
      <c r="I101" s="16"/>
    </row>
    <row r="102" spans="2:9" ht="24.75">
      <c r="B102" s="43"/>
      <c r="C102" s="57" t="s">
        <v>76</v>
      </c>
      <c r="D102" s="13"/>
      <c r="E102" s="12"/>
      <c r="F102" s="45" t="s">
        <v>199</v>
      </c>
      <c r="G102" s="5"/>
      <c r="H102" s="2"/>
      <c r="I102" s="16"/>
    </row>
    <row r="103" spans="2:9" ht="23.25">
      <c r="B103" s="43"/>
      <c r="D103" s="7" t="s">
        <v>77</v>
      </c>
      <c r="E103" s="54"/>
      <c r="F103" s="8" t="s">
        <v>78</v>
      </c>
      <c r="G103" s="9"/>
      <c r="H103" s="10" t="s">
        <v>42</v>
      </c>
      <c r="I103" s="11">
        <f>SUM(I104)</f>
        <v>456</v>
      </c>
    </row>
    <row r="104" spans="2:9" ht="23.25">
      <c r="B104" s="43">
        <f>MAX($B$35:B103)+1</f>
        <v>16</v>
      </c>
      <c r="C104" s="12"/>
      <c r="D104" s="13"/>
      <c r="E104" s="12" t="s">
        <v>200</v>
      </c>
      <c r="F104" s="14" t="s">
        <v>201</v>
      </c>
      <c r="G104" s="15"/>
      <c r="H104" s="2" t="s">
        <v>42</v>
      </c>
      <c r="I104" s="16">
        <f>G106</f>
        <v>456</v>
      </c>
    </row>
    <row r="105" spans="2:9">
      <c r="B105" s="43"/>
      <c r="C105" s="12"/>
      <c r="D105" s="13"/>
      <c r="E105" s="12"/>
      <c r="F105" s="35" t="s">
        <v>202</v>
      </c>
      <c r="G105" s="15">
        <f>2*80*2.85</f>
        <v>456</v>
      </c>
      <c r="H105" s="2"/>
      <c r="I105" s="16"/>
    </row>
    <row r="106" spans="2:9">
      <c r="B106" s="43"/>
      <c r="C106" s="12"/>
      <c r="D106" s="13"/>
      <c r="E106" s="12"/>
      <c r="F106" s="4" t="s">
        <v>141</v>
      </c>
      <c r="G106" s="5">
        <f>SUM(G105:G105)</f>
        <v>456</v>
      </c>
      <c r="H106" s="2"/>
      <c r="I106" s="16"/>
    </row>
    <row r="107" spans="2:9" ht="23.25">
      <c r="B107" s="43"/>
      <c r="C107" s="12"/>
      <c r="D107" s="7" t="s">
        <v>79</v>
      </c>
      <c r="E107" s="54"/>
      <c r="F107" s="8" t="s">
        <v>80</v>
      </c>
      <c r="G107" s="15"/>
      <c r="H107" s="2" t="s">
        <v>42</v>
      </c>
      <c r="I107" s="11">
        <f>SUM(I108)</f>
        <v>480</v>
      </c>
    </row>
    <row r="108" spans="2:9" ht="23.25">
      <c r="B108" s="43">
        <f>MAX($B$35:B107)+1</f>
        <v>17</v>
      </c>
      <c r="C108" s="12"/>
      <c r="D108" s="13"/>
      <c r="E108" s="58">
        <v>2203033002</v>
      </c>
      <c r="F108" s="14" t="s">
        <v>203</v>
      </c>
      <c r="G108" s="15"/>
      <c r="H108" s="2" t="s">
        <v>42</v>
      </c>
      <c r="I108" s="16">
        <f>G110</f>
        <v>480</v>
      </c>
    </row>
    <row r="109" spans="2:9">
      <c r="B109" s="43"/>
      <c r="C109" s="12"/>
      <c r="D109" s="13"/>
      <c r="E109" s="12"/>
      <c r="F109" s="35" t="s">
        <v>204</v>
      </c>
      <c r="G109" s="15">
        <f>160+320</f>
        <v>480</v>
      </c>
      <c r="H109" s="2"/>
      <c r="I109" s="16"/>
    </row>
    <row r="110" spans="2:9">
      <c r="B110" s="43"/>
      <c r="C110" s="12"/>
      <c r="D110" s="13"/>
      <c r="E110" s="12"/>
      <c r="F110" s="4" t="s">
        <v>141</v>
      </c>
      <c r="G110" s="5">
        <f>SUM(G109:G109)</f>
        <v>480</v>
      </c>
      <c r="H110" s="2"/>
      <c r="I110" s="16"/>
    </row>
    <row r="111" spans="2:9" ht="23.25">
      <c r="B111" s="43"/>
      <c r="C111" s="12"/>
      <c r="D111" s="7" t="s">
        <v>81</v>
      </c>
      <c r="E111" s="54"/>
      <c r="F111" s="8" t="s">
        <v>82</v>
      </c>
      <c r="G111" s="9"/>
      <c r="H111" s="10" t="s">
        <v>42</v>
      </c>
      <c r="I111" s="11">
        <f>SUM(I112)</f>
        <v>160</v>
      </c>
    </row>
    <row r="112" spans="2:9" ht="23.25">
      <c r="B112" s="43">
        <f>MAX($B$35:B111)+1</f>
        <v>18</v>
      </c>
      <c r="C112" s="12"/>
      <c r="D112" s="13"/>
      <c r="E112" s="12" t="s">
        <v>205</v>
      </c>
      <c r="F112" s="14" t="s">
        <v>206</v>
      </c>
      <c r="G112" s="15"/>
      <c r="H112" s="2" t="s">
        <v>42</v>
      </c>
      <c r="I112" s="16">
        <f>G114</f>
        <v>160</v>
      </c>
    </row>
    <row r="113" spans="2:9" ht="23.25">
      <c r="B113" s="43"/>
      <c r="C113" s="12"/>
      <c r="D113" s="13"/>
      <c r="E113" s="12"/>
      <c r="F113" s="35" t="s">
        <v>207</v>
      </c>
      <c r="G113" s="15">
        <f>0.5*2*80*2</f>
        <v>160</v>
      </c>
      <c r="H113" s="2"/>
      <c r="I113" s="16"/>
    </row>
    <row r="114" spans="2:9">
      <c r="B114" s="43"/>
      <c r="C114" s="12"/>
      <c r="D114" s="13"/>
      <c r="E114" s="12"/>
      <c r="F114" s="4" t="s">
        <v>141</v>
      </c>
      <c r="G114" s="5">
        <f>SUM(G113:G113)</f>
        <v>160</v>
      </c>
      <c r="H114" s="2"/>
      <c r="I114" s="16"/>
    </row>
    <row r="115" spans="2:9" ht="23.25">
      <c r="B115" s="43"/>
      <c r="C115" s="12"/>
      <c r="D115" s="7" t="s">
        <v>83</v>
      </c>
      <c r="E115" s="54"/>
      <c r="F115" s="8" t="s">
        <v>84</v>
      </c>
      <c r="G115" s="9"/>
      <c r="H115" s="10" t="s">
        <v>42</v>
      </c>
      <c r="I115" s="11">
        <f>SUM(I116)</f>
        <v>320</v>
      </c>
    </row>
    <row r="116" spans="2:9" ht="23.25">
      <c r="B116" s="43">
        <f>MAX($B$35:B115)+1</f>
        <v>19</v>
      </c>
      <c r="C116" s="12"/>
      <c r="D116" s="13"/>
      <c r="E116" s="12" t="s">
        <v>208</v>
      </c>
      <c r="F116" s="14" t="s">
        <v>209</v>
      </c>
      <c r="G116" s="15"/>
      <c r="H116" s="2" t="s">
        <v>42</v>
      </c>
      <c r="I116" s="16">
        <f>G118</f>
        <v>320</v>
      </c>
    </row>
    <row r="117" spans="2:9">
      <c r="B117" s="43"/>
      <c r="C117" s="12"/>
      <c r="D117" s="13"/>
      <c r="E117" s="12"/>
      <c r="F117" s="35" t="s">
        <v>210</v>
      </c>
      <c r="G117" s="15">
        <f>1*2*80*2</f>
        <v>320</v>
      </c>
      <c r="H117" s="2"/>
      <c r="I117" s="16"/>
    </row>
    <row r="118" spans="2:9">
      <c r="B118" s="43"/>
      <c r="C118" s="12"/>
      <c r="D118" s="13"/>
      <c r="E118" s="12"/>
      <c r="F118" s="4" t="s">
        <v>141</v>
      </c>
      <c r="G118" s="5">
        <f>SUM(G117:G117)</f>
        <v>320</v>
      </c>
      <c r="H118" s="2"/>
      <c r="I118" s="16"/>
    </row>
    <row r="119" spans="2:9" ht="23.25">
      <c r="B119" s="43"/>
      <c r="C119" s="12"/>
      <c r="D119" s="7" t="s">
        <v>86</v>
      </c>
      <c r="E119" s="54"/>
      <c r="F119" s="8" t="s">
        <v>87</v>
      </c>
      <c r="G119" s="9"/>
      <c r="H119" s="10" t="s">
        <v>49</v>
      </c>
      <c r="I119" s="11">
        <f>SUM(I120)</f>
        <v>1120</v>
      </c>
    </row>
    <row r="120" spans="2:9" ht="23.25">
      <c r="B120" s="43">
        <f>MAX($B$35:B119)+1</f>
        <v>20</v>
      </c>
      <c r="C120" s="12"/>
      <c r="D120" s="13"/>
      <c r="E120" s="12" t="s">
        <v>211</v>
      </c>
      <c r="F120" s="14" t="s">
        <v>87</v>
      </c>
      <c r="G120" s="15"/>
      <c r="H120" s="2" t="s">
        <v>49</v>
      </c>
      <c r="I120" s="16">
        <f>G122</f>
        <v>1120</v>
      </c>
    </row>
    <row r="121" spans="2:9" ht="23.25">
      <c r="B121" s="43"/>
      <c r="C121" s="12"/>
      <c r="D121" s="13"/>
      <c r="E121" s="12"/>
      <c r="F121" s="35" t="s">
        <v>212</v>
      </c>
      <c r="G121" s="15">
        <f>7*80*2</f>
        <v>1120</v>
      </c>
      <c r="H121" s="2"/>
      <c r="I121" s="16"/>
    </row>
    <row r="122" spans="2:9">
      <c r="B122" s="43"/>
      <c r="C122" s="12"/>
      <c r="D122" s="13"/>
      <c r="E122" s="12"/>
      <c r="F122" s="4" t="s">
        <v>141</v>
      </c>
      <c r="G122" s="5">
        <f>SUM(G121:G121)</f>
        <v>1120</v>
      </c>
      <c r="H122" s="2"/>
      <c r="I122" s="16"/>
    </row>
    <row r="123" spans="2:9" ht="23.25">
      <c r="B123" s="43"/>
      <c r="C123" s="12"/>
      <c r="D123" s="7" t="s">
        <v>213</v>
      </c>
      <c r="E123" s="54"/>
      <c r="F123" s="8" t="s">
        <v>214</v>
      </c>
      <c r="G123" s="9"/>
      <c r="H123" s="10" t="s">
        <v>49</v>
      </c>
      <c r="I123" s="11">
        <f>SUM(I124)</f>
        <v>108.3</v>
      </c>
    </row>
    <row r="124" spans="2:9" ht="23.25">
      <c r="B124" s="43">
        <f>MAX($B$35:B123)+1</f>
        <v>21</v>
      </c>
      <c r="C124" s="12"/>
      <c r="D124" s="17"/>
      <c r="E124" s="12" t="s">
        <v>215</v>
      </c>
      <c r="F124" s="14" t="s">
        <v>216</v>
      </c>
      <c r="G124" s="15"/>
      <c r="H124" s="2" t="s">
        <v>49</v>
      </c>
      <c r="I124" s="16">
        <f>G126</f>
        <v>108.3</v>
      </c>
    </row>
    <row r="125" spans="2:9" ht="34.5">
      <c r="B125" s="43"/>
      <c r="C125" s="12"/>
      <c r="D125" s="13"/>
      <c r="E125" s="12"/>
      <c r="F125" s="35" t="s">
        <v>217</v>
      </c>
      <c r="G125" s="15">
        <f>2*19*2.85</f>
        <v>108.3</v>
      </c>
      <c r="H125" s="35"/>
      <c r="I125" s="16"/>
    </row>
    <row r="126" spans="2:9">
      <c r="B126" s="43"/>
      <c r="C126" s="12"/>
      <c r="D126" s="13"/>
      <c r="E126" s="12"/>
      <c r="F126" s="4" t="s">
        <v>141</v>
      </c>
      <c r="G126" s="5">
        <f>SUM(G125:G125)</f>
        <v>108.3</v>
      </c>
      <c r="H126" s="35"/>
      <c r="I126" s="16"/>
    </row>
    <row r="127" spans="2:9">
      <c r="B127" s="43"/>
      <c r="C127" s="12"/>
      <c r="D127" s="7" t="s">
        <v>218</v>
      </c>
      <c r="E127" s="54"/>
      <c r="F127" s="8" t="s">
        <v>219</v>
      </c>
      <c r="G127" s="9"/>
      <c r="H127" s="10" t="s">
        <v>49</v>
      </c>
      <c r="I127" s="11">
        <f>SUM(I128)</f>
        <v>160</v>
      </c>
    </row>
    <row r="128" spans="2:9">
      <c r="B128" s="43">
        <f>MAX($B$35:B127)+1</f>
        <v>22</v>
      </c>
      <c r="C128" s="12"/>
      <c r="D128" s="17"/>
      <c r="E128" s="12" t="s">
        <v>220</v>
      </c>
      <c r="F128" s="14" t="s">
        <v>219</v>
      </c>
      <c r="G128" s="15"/>
      <c r="H128" s="2" t="s">
        <v>49</v>
      </c>
      <c r="I128" s="16">
        <f>G130</f>
        <v>160</v>
      </c>
    </row>
    <row r="129" spans="2:9" ht="23.25">
      <c r="B129" s="43"/>
      <c r="C129" s="12"/>
      <c r="D129" s="13"/>
      <c r="E129" s="12"/>
      <c r="F129" s="35" t="s">
        <v>221</v>
      </c>
      <c r="G129" s="15">
        <f>2*80</f>
        <v>160</v>
      </c>
      <c r="H129" s="2"/>
      <c r="I129" s="16"/>
    </row>
    <row r="130" spans="2:9">
      <c r="B130" s="43"/>
      <c r="C130" s="12"/>
      <c r="D130" s="13"/>
      <c r="E130" s="12"/>
      <c r="F130" s="4" t="s">
        <v>141</v>
      </c>
      <c r="G130" s="5">
        <f>SUM(G129:G129)</f>
        <v>160</v>
      </c>
      <c r="H130" s="2"/>
      <c r="I130" s="16"/>
    </row>
    <row r="131" spans="2:9">
      <c r="B131" s="43"/>
      <c r="C131" s="12"/>
      <c r="D131" s="7" t="s">
        <v>89</v>
      </c>
      <c r="E131" s="54"/>
      <c r="F131" s="8" t="s">
        <v>90</v>
      </c>
      <c r="G131" s="9"/>
      <c r="H131" s="10" t="s">
        <v>49</v>
      </c>
      <c r="I131" s="11">
        <f>SUM(I132)</f>
        <v>112</v>
      </c>
    </row>
    <row r="132" spans="2:9" ht="23.25">
      <c r="B132" s="43">
        <f>MAX($B$35:B131)+1</f>
        <v>23</v>
      </c>
      <c r="C132" s="12"/>
      <c r="D132" s="17"/>
      <c r="E132" s="12" t="s">
        <v>222</v>
      </c>
      <c r="F132" s="14" t="s">
        <v>223</v>
      </c>
      <c r="G132" s="15"/>
      <c r="H132" s="2" t="s">
        <v>49</v>
      </c>
      <c r="I132" s="16">
        <f>G136</f>
        <v>112</v>
      </c>
    </row>
    <row r="133" spans="2:9">
      <c r="B133" s="43"/>
      <c r="C133" s="12"/>
      <c r="D133" s="13"/>
      <c r="E133" s="12"/>
      <c r="F133" s="35" t="s">
        <v>224</v>
      </c>
      <c r="G133" s="15">
        <f>4*12</f>
        <v>48</v>
      </c>
      <c r="H133" s="2"/>
      <c r="I133" s="16"/>
    </row>
    <row r="134" spans="2:9" ht="23.25">
      <c r="B134" s="43"/>
      <c r="C134" s="12"/>
      <c r="D134" s="13"/>
      <c r="E134" s="12"/>
      <c r="F134" s="35" t="s">
        <v>225</v>
      </c>
      <c r="G134" s="15">
        <f>8*4</f>
        <v>32</v>
      </c>
      <c r="H134" s="2"/>
      <c r="I134" s="16"/>
    </row>
    <row r="135" spans="2:9" ht="23.25">
      <c r="B135" s="43"/>
      <c r="C135" s="12"/>
      <c r="D135" s="13"/>
      <c r="E135" s="12"/>
      <c r="F135" s="35" t="s">
        <v>226</v>
      </c>
      <c r="G135" s="15">
        <f>8*4</f>
        <v>32</v>
      </c>
      <c r="H135" s="2"/>
      <c r="I135" s="16"/>
    </row>
    <row r="136" spans="2:9">
      <c r="B136" s="43"/>
      <c r="C136" s="12"/>
      <c r="D136" s="13"/>
      <c r="E136" s="12"/>
      <c r="F136" s="4" t="s">
        <v>141</v>
      </c>
      <c r="G136" s="5">
        <f>SUM(G133:G135)</f>
        <v>112</v>
      </c>
      <c r="H136" s="2"/>
      <c r="I136" s="16"/>
    </row>
    <row r="137" spans="2:9">
      <c r="B137" s="43"/>
      <c r="C137" s="12"/>
      <c r="D137" s="7" t="s">
        <v>227</v>
      </c>
      <c r="E137" s="54"/>
      <c r="F137" s="8" t="s">
        <v>228</v>
      </c>
      <c r="G137" s="9"/>
      <c r="H137" s="10" t="s">
        <v>39</v>
      </c>
      <c r="I137" s="11">
        <f>SUM(I138)</f>
        <v>80</v>
      </c>
    </row>
    <row r="138" spans="2:9">
      <c r="B138" s="43">
        <f>MAX($B$35:B137)+1</f>
        <v>24</v>
      </c>
      <c r="C138" s="12"/>
      <c r="D138" s="17"/>
      <c r="E138" s="12" t="s">
        <v>229</v>
      </c>
      <c r="F138" s="14" t="s">
        <v>228</v>
      </c>
      <c r="G138" s="15"/>
      <c r="H138" s="2" t="s">
        <v>39</v>
      </c>
      <c r="I138" s="16">
        <f>G140</f>
        <v>80</v>
      </c>
    </row>
    <row r="139" spans="2:9">
      <c r="B139" s="43"/>
      <c r="C139" s="12"/>
      <c r="D139" s="13"/>
      <c r="E139" s="12"/>
      <c r="F139" s="35" t="s">
        <v>230</v>
      </c>
      <c r="G139" s="15">
        <f>80</f>
        <v>80</v>
      </c>
      <c r="H139" s="2"/>
      <c r="I139" s="16"/>
    </row>
    <row r="140" spans="2:9">
      <c r="B140" s="43"/>
      <c r="C140" s="12"/>
      <c r="D140" s="13"/>
      <c r="E140" s="12"/>
      <c r="F140" s="14"/>
      <c r="G140" s="5">
        <f>SUM(G139)</f>
        <v>80</v>
      </c>
      <c r="H140" s="2"/>
      <c r="I140" s="16"/>
    </row>
    <row r="141" spans="2:9">
      <c r="B141" s="43"/>
      <c r="C141" s="12"/>
      <c r="D141" s="7" t="s">
        <v>91</v>
      </c>
      <c r="E141" s="54"/>
      <c r="F141" s="8" t="s">
        <v>92</v>
      </c>
      <c r="G141" s="9"/>
      <c r="H141" s="10" t="s">
        <v>49</v>
      </c>
      <c r="I141" s="11">
        <f>SUM(I142)</f>
        <v>12.4</v>
      </c>
    </row>
    <row r="142" spans="2:9">
      <c r="B142" s="43">
        <f>MAX($B$35:B141)+1</f>
        <v>25</v>
      </c>
      <c r="C142" s="12"/>
      <c r="D142" s="13"/>
      <c r="E142" s="12" t="s">
        <v>231</v>
      </c>
      <c r="F142" s="14" t="s">
        <v>232</v>
      </c>
      <c r="G142" s="15"/>
      <c r="H142" s="2" t="s">
        <v>49</v>
      </c>
      <c r="I142" s="16">
        <f>G144</f>
        <v>12.4</v>
      </c>
    </row>
    <row r="143" spans="2:9" ht="23.25">
      <c r="B143" s="43"/>
      <c r="C143" s="12"/>
      <c r="D143" s="13"/>
      <c r="E143" s="12"/>
      <c r="F143" s="35" t="s">
        <v>233</v>
      </c>
      <c r="G143" s="15">
        <f>3.1*4</f>
        <v>12.4</v>
      </c>
      <c r="H143" s="2"/>
      <c r="I143" s="16"/>
    </row>
    <row r="144" spans="2:9">
      <c r="B144" s="43"/>
      <c r="C144" s="12"/>
      <c r="D144" s="13"/>
      <c r="E144" s="12"/>
      <c r="F144" s="4" t="s">
        <v>141</v>
      </c>
      <c r="G144" s="5">
        <f>SUM(G143)</f>
        <v>12.4</v>
      </c>
      <c r="H144" s="2"/>
      <c r="I144" s="16"/>
    </row>
    <row r="145" spans="2:9">
      <c r="B145" s="43"/>
      <c r="C145" s="12"/>
      <c r="D145" s="7" t="s">
        <v>93</v>
      </c>
      <c r="E145" s="54"/>
      <c r="F145" s="8" t="s">
        <v>94</v>
      </c>
      <c r="G145" s="9"/>
      <c r="H145" s="10" t="s">
        <v>49</v>
      </c>
      <c r="I145" s="11">
        <f>I146+I150</f>
        <v>1330.9</v>
      </c>
    </row>
    <row r="146" spans="2:9">
      <c r="B146" s="43">
        <f>MAX($B$35:B145)+1</f>
        <v>26</v>
      </c>
      <c r="C146" s="12"/>
      <c r="D146" s="13"/>
      <c r="E146" s="12" t="s">
        <v>234</v>
      </c>
      <c r="F146" s="14" t="s">
        <v>235</v>
      </c>
      <c r="G146" s="15"/>
      <c r="H146" s="2" t="s">
        <v>49</v>
      </c>
      <c r="I146" s="16">
        <f>G149</f>
        <v>210.9</v>
      </c>
    </row>
    <row r="147" spans="2:9" ht="23.25">
      <c r="B147" s="43"/>
      <c r="C147" s="12"/>
      <c r="D147" s="13"/>
      <c r="E147" s="12"/>
      <c r="F147" s="35" t="s">
        <v>236</v>
      </c>
      <c r="G147" s="15">
        <f>2*19*2.85</f>
        <v>108.3</v>
      </c>
      <c r="H147" s="2"/>
      <c r="I147" s="16"/>
    </row>
    <row r="148" spans="2:9" ht="23.25">
      <c r="B148" s="43"/>
      <c r="C148" s="12"/>
      <c r="D148" s="13"/>
      <c r="E148" s="12"/>
      <c r="F148" s="35" t="s">
        <v>237</v>
      </c>
      <c r="G148" s="15">
        <f>2*18*2.85</f>
        <v>102.6</v>
      </c>
      <c r="H148" s="2"/>
      <c r="I148" s="16"/>
    </row>
    <row r="149" spans="2:9">
      <c r="B149" s="43"/>
      <c r="C149" s="12"/>
      <c r="D149" s="13"/>
      <c r="E149" s="12"/>
      <c r="F149" s="4" t="s">
        <v>141</v>
      </c>
      <c r="G149" s="5">
        <f>SUM(G147:G148)</f>
        <v>210.9</v>
      </c>
      <c r="H149" s="2"/>
      <c r="I149" s="16"/>
    </row>
    <row r="150" spans="2:9">
      <c r="B150" s="43">
        <f>MAX($B$35:B149)+1</f>
        <v>27</v>
      </c>
      <c r="C150" s="12"/>
      <c r="D150" s="13"/>
      <c r="E150" s="12" t="s">
        <v>238</v>
      </c>
      <c r="F150" s="14" t="s">
        <v>239</v>
      </c>
      <c r="G150" s="15"/>
      <c r="H150" s="2" t="s">
        <v>49</v>
      </c>
      <c r="I150" s="16">
        <f>G152</f>
        <v>1120</v>
      </c>
    </row>
    <row r="151" spans="2:9" ht="23.25">
      <c r="B151" s="43"/>
      <c r="C151" s="12"/>
      <c r="D151" s="13"/>
      <c r="E151" s="12"/>
      <c r="F151" s="35" t="s">
        <v>240</v>
      </c>
      <c r="G151" s="15">
        <f>7*80*2</f>
        <v>1120</v>
      </c>
      <c r="H151" s="2"/>
      <c r="I151" s="16"/>
    </row>
    <row r="152" spans="2:9">
      <c r="B152" s="43"/>
      <c r="C152" s="12"/>
      <c r="D152" s="13"/>
      <c r="E152" s="12"/>
      <c r="F152" s="4" t="s">
        <v>141</v>
      </c>
      <c r="G152" s="5">
        <f>SUM(G151)</f>
        <v>1120</v>
      </c>
      <c r="H152" s="2"/>
      <c r="I152" s="16"/>
    </row>
    <row r="153" spans="2:9" ht="23.25">
      <c r="B153" s="43"/>
      <c r="C153" s="12"/>
      <c r="D153" s="7" t="s">
        <v>95</v>
      </c>
      <c r="E153" s="54"/>
      <c r="F153" s="8" t="s">
        <v>96</v>
      </c>
      <c r="G153" s="9"/>
      <c r="H153" s="10" t="s">
        <v>39</v>
      </c>
      <c r="I153" s="11">
        <f>SUM(I154)</f>
        <v>418</v>
      </c>
    </row>
    <row r="154" spans="2:9" ht="23.25">
      <c r="B154" s="43">
        <f>MAX($B$35:B153)+1</f>
        <v>28</v>
      </c>
      <c r="C154" s="12"/>
      <c r="D154" s="13"/>
      <c r="E154" s="12" t="s">
        <v>241</v>
      </c>
      <c r="F154" s="14" t="s">
        <v>96</v>
      </c>
      <c r="G154" s="15"/>
      <c r="H154" s="2" t="s">
        <v>39</v>
      </c>
      <c r="I154" s="16">
        <f>G156</f>
        <v>418</v>
      </c>
    </row>
    <row r="155" spans="2:9" ht="34.5">
      <c r="B155" s="43"/>
      <c r="C155" s="12"/>
      <c r="D155" s="13"/>
      <c r="E155" s="12"/>
      <c r="F155" s="35" t="s">
        <v>242</v>
      </c>
      <c r="G155" s="15">
        <f>11*((80/4-1)*2)</f>
        <v>418</v>
      </c>
      <c r="H155" s="2"/>
      <c r="I155" s="16"/>
    </row>
    <row r="156" spans="2:9">
      <c r="B156" s="43"/>
      <c r="C156" s="12"/>
      <c r="D156" s="13"/>
      <c r="E156" s="12"/>
      <c r="F156" s="4" t="s">
        <v>141</v>
      </c>
      <c r="G156" s="5">
        <f>SUM(G155)</f>
        <v>418</v>
      </c>
      <c r="H156" s="2"/>
      <c r="I156" s="16"/>
    </row>
    <row r="157" spans="2:9">
      <c r="B157" s="43"/>
      <c r="C157" s="12"/>
      <c r="D157" s="7" t="s">
        <v>243</v>
      </c>
      <c r="E157" s="54"/>
      <c r="F157" s="8" t="s">
        <v>244</v>
      </c>
      <c r="G157" s="9"/>
      <c r="H157" s="10" t="s">
        <v>49</v>
      </c>
      <c r="I157" s="11">
        <f>SUM(I158)</f>
        <v>160</v>
      </c>
    </row>
    <row r="158" spans="2:9">
      <c r="B158" s="43">
        <f>MAX($B$35:B157)+1</f>
        <v>29</v>
      </c>
      <c r="C158" s="12"/>
      <c r="D158" s="13"/>
      <c r="E158" s="12" t="s">
        <v>245</v>
      </c>
      <c r="F158" s="14" t="s">
        <v>244</v>
      </c>
      <c r="G158" s="15"/>
      <c r="H158" s="2" t="s">
        <v>49</v>
      </c>
      <c r="I158" s="16">
        <f>G160</f>
        <v>160</v>
      </c>
    </row>
    <row r="159" spans="2:9" ht="23.25">
      <c r="B159" s="43"/>
      <c r="C159" s="12"/>
      <c r="D159" s="13"/>
      <c r="E159" s="12"/>
      <c r="F159" s="35" t="s">
        <v>246</v>
      </c>
      <c r="G159" s="15">
        <f>2*80</f>
        <v>160</v>
      </c>
      <c r="H159" s="2"/>
      <c r="I159" s="16"/>
    </row>
    <row r="160" spans="2:9">
      <c r="B160" s="43"/>
      <c r="C160" s="12"/>
      <c r="D160" s="13"/>
      <c r="E160" s="12"/>
      <c r="F160" s="4" t="s">
        <v>141</v>
      </c>
      <c r="G160" s="5">
        <f>SUM(G159)</f>
        <v>160</v>
      </c>
      <c r="H160" s="2"/>
      <c r="I160" s="16"/>
    </row>
    <row r="161" spans="2:11" ht="24.75">
      <c r="B161" s="43"/>
      <c r="C161" s="57" t="s">
        <v>100</v>
      </c>
      <c r="D161" s="13"/>
      <c r="E161" s="12"/>
      <c r="F161" s="45" t="s">
        <v>247</v>
      </c>
      <c r="G161" s="5"/>
      <c r="H161" s="2"/>
      <c r="I161" s="16"/>
    </row>
    <row r="162" spans="2:11">
      <c r="B162" s="43"/>
      <c r="D162" s="7" t="s">
        <v>101</v>
      </c>
      <c r="E162" s="54"/>
      <c r="F162" s="8" t="s">
        <v>102</v>
      </c>
      <c r="G162" s="9"/>
      <c r="H162" s="10" t="s">
        <v>42</v>
      </c>
      <c r="I162" s="11">
        <f>SUM(I163)</f>
        <v>496</v>
      </c>
    </row>
    <row r="163" spans="2:11">
      <c r="B163" s="43">
        <f>MAX($B$35:B162)+1</f>
        <v>30</v>
      </c>
      <c r="C163" s="12"/>
      <c r="D163" s="13"/>
      <c r="E163" s="12" t="s">
        <v>248</v>
      </c>
      <c r="F163" s="14" t="s">
        <v>102</v>
      </c>
      <c r="G163" s="15"/>
      <c r="H163" s="2" t="s">
        <v>42</v>
      </c>
      <c r="I163" s="16">
        <f>G165</f>
        <v>496</v>
      </c>
    </row>
    <row r="164" spans="2:11" ht="23.25">
      <c r="B164" s="43"/>
      <c r="C164" s="12"/>
      <c r="D164" s="13"/>
      <c r="E164" s="12"/>
      <c r="F164" s="35" t="s">
        <v>249</v>
      </c>
      <c r="G164" s="15">
        <f>2*80*3.1</f>
        <v>496</v>
      </c>
      <c r="H164" s="2"/>
      <c r="I164" s="16"/>
    </row>
    <row r="165" spans="2:11">
      <c r="B165" s="43"/>
      <c r="C165" s="12"/>
      <c r="D165" s="13"/>
      <c r="E165" s="12"/>
      <c r="F165" s="4" t="s">
        <v>141</v>
      </c>
      <c r="G165" s="5">
        <f>SUM(G164)</f>
        <v>496</v>
      </c>
      <c r="H165" s="2"/>
      <c r="I165" s="16"/>
    </row>
    <row r="166" spans="2:11" ht="23.25">
      <c r="B166" s="43"/>
      <c r="C166" s="12"/>
      <c r="D166" s="7" t="s">
        <v>103</v>
      </c>
      <c r="E166" s="54"/>
      <c r="F166" s="8" t="s">
        <v>104</v>
      </c>
      <c r="G166" s="9"/>
      <c r="H166" s="10" t="s">
        <v>42</v>
      </c>
      <c r="I166" s="11">
        <f>SUM(I167)</f>
        <v>456</v>
      </c>
    </row>
    <row r="167" spans="2:11" ht="23.25">
      <c r="B167" s="43">
        <f>MAX($B$35:B166)+1</f>
        <v>31</v>
      </c>
      <c r="C167" s="12"/>
      <c r="D167" s="13"/>
      <c r="E167" s="12" t="s">
        <v>250</v>
      </c>
      <c r="F167" s="14" t="s">
        <v>104</v>
      </c>
      <c r="G167" s="15"/>
      <c r="H167" s="2" t="s">
        <v>42</v>
      </c>
      <c r="I167" s="16">
        <f>G169</f>
        <v>456</v>
      </c>
    </row>
    <row r="168" spans="2:11" ht="23.25">
      <c r="B168" s="43"/>
      <c r="C168" s="12"/>
      <c r="D168" s="13"/>
      <c r="E168" s="12"/>
      <c r="F168" s="35" t="s">
        <v>251</v>
      </c>
      <c r="G168" s="15">
        <f>2*80*2.85</f>
        <v>456</v>
      </c>
      <c r="H168" s="2"/>
      <c r="I168" s="16"/>
    </row>
    <row r="169" spans="2:11">
      <c r="B169" s="47"/>
      <c r="C169" s="56"/>
      <c r="D169" s="18"/>
      <c r="E169" s="56"/>
      <c r="F169" s="19" t="s">
        <v>141</v>
      </c>
      <c r="G169" s="59">
        <f>SUM(G168)</f>
        <v>456</v>
      </c>
      <c r="H169" s="20"/>
      <c r="I169" s="60"/>
    </row>
    <row r="170" spans="2:11">
      <c r="B170" s="61"/>
      <c r="C170" s="61"/>
      <c r="D170" s="61"/>
      <c r="E170" s="61"/>
      <c r="F170" s="61"/>
      <c r="G170" s="61"/>
      <c r="H170" s="61"/>
      <c r="I170" s="38"/>
    </row>
    <row r="171" spans="2:11">
      <c r="B171" s="161" t="s">
        <v>113</v>
      </c>
      <c r="C171" s="161"/>
      <c r="D171" s="161"/>
      <c r="E171" s="161"/>
      <c r="F171" s="161"/>
      <c r="G171" s="61"/>
      <c r="H171" s="61"/>
      <c r="I171" s="61"/>
      <c r="J171" s="38"/>
      <c r="K171" s="38"/>
    </row>
    <row r="172" spans="2:11">
      <c r="B172" s="48"/>
      <c r="C172" s="28" t="s">
        <v>34</v>
      </c>
      <c r="D172" s="29"/>
      <c r="E172" s="30"/>
      <c r="F172" s="31" t="s">
        <v>149</v>
      </c>
      <c r="G172" s="49"/>
      <c r="H172" s="50"/>
      <c r="I172" s="51"/>
      <c r="J172" s="38"/>
      <c r="K172" s="38"/>
    </row>
    <row r="173" spans="2:11" ht="23.25">
      <c r="B173" s="34"/>
      <c r="C173" s="12"/>
      <c r="D173" s="7" t="s">
        <v>114</v>
      </c>
      <c r="E173" s="54"/>
      <c r="F173" s="8" t="s">
        <v>115</v>
      </c>
      <c r="G173" s="9"/>
      <c r="H173" s="10" t="s">
        <v>42</v>
      </c>
      <c r="I173" s="11">
        <f>SUM(I174)</f>
        <v>70</v>
      </c>
    </row>
    <row r="174" spans="2:11">
      <c r="B174" s="34">
        <v>1</v>
      </c>
      <c r="C174" s="12"/>
      <c r="D174" s="13"/>
      <c r="E174" s="12" t="s">
        <v>114</v>
      </c>
      <c r="F174" s="14" t="s">
        <v>115</v>
      </c>
      <c r="G174" s="15"/>
      <c r="H174" s="2" t="s">
        <v>42</v>
      </c>
      <c r="I174" s="16">
        <f>G176</f>
        <v>70</v>
      </c>
    </row>
    <row r="175" spans="2:11" ht="23.25">
      <c r="B175" s="34"/>
      <c r="C175" s="12"/>
      <c r="D175" s="13"/>
      <c r="E175" s="12"/>
      <c r="F175" s="35" t="s">
        <v>252</v>
      </c>
      <c r="G175" s="44">
        <f>70</f>
        <v>70</v>
      </c>
      <c r="H175" s="2"/>
      <c r="I175" s="16"/>
    </row>
    <row r="176" spans="2:11">
      <c r="B176" s="34"/>
      <c r="C176" s="12"/>
      <c r="D176" s="13"/>
      <c r="E176" s="12"/>
      <c r="F176" s="4" t="s">
        <v>141</v>
      </c>
      <c r="G176" s="5">
        <f>SUM(G175)</f>
        <v>70</v>
      </c>
      <c r="H176" s="2"/>
      <c r="I176" s="16"/>
    </row>
    <row r="177" spans="2:9">
      <c r="B177" s="34"/>
      <c r="C177" s="12"/>
      <c r="D177" s="13"/>
      <c r="E177" s="12"/>
      <c r="F177" s="14"/>
      <c r="G177" s="15"/>
      <c r="H177" s="2"/>
      <c r="I177" s="16"/>
    </row>
    <row r="178" spans="2:9" ht="23.25">
      <c r="B178" s="34"/>
      <c r="C178" s="12"/>
      <c r="D178" s="7" t="s">
        <v>290</v>
      </c>
      <c r="E178" s="54"/>
      <c r="F178" s="8" t="s">
        <v>291</v>
      </c>
      <c r="G178" s="9"/>
      <c r="H178" s="10" t="s">
        <v>39</v>
      </c>
      <c r="I178" s="11">
        <f>SUM(I179)</f>
        <v>22</v>
      </c>
    </row>
    <row r="179" spans="2:9">
      <c r="B179" s="34">
        <f>MAX($B$174:B178)+1</f>
        <v>2</v>
      </c>
      <c r="C179" s="12"/>
      <c r="D179" s="13"/>
      <c r="E179" s="12" t="s">
        <v>292</v>
      </c>
      <c r="F179" s="14" t="s">
        <v>293</v>
      </c>
      <c r="G179" s="15"/>
      <c r="H179" s="2" t="s">
        <v>39</v>
      </c>
      <c r="I179" s="16">
        <f>G181</f>
        <v>22</v>
      </c>
    </row>
    <row r="180" spans="2:9">
      <c r="B180" s="34"/>
      <c r="C180" s="12"/>
      <c r="D180" s="13"/>
      <c r="E180" s="12"/>
      <c r="F180" s="35" t="s">
        <v>253</v>
      </c>
      <c r="G180" s="44">
        <f>22</f>
        <v>22</v>
      </c>
      <c r="H180" s="2"/>
      <c r="I180" s="16"/>
    </row>
    <row r="181" spans="2:9">
      <c r="B181" s="34"/>
      <c r="C181" s="12"/>
      <c r="D181" s="13"/>
      <c r="E181" s="12"/>
      <c r="F181" s="4" t="s">
        <v>141</v>
      </c>
      <c r="G181" s="5">
        <f>SUM(G180)</f>
        <v>22</v>
      </c>
      <c r="H181" s="2"/>
      <c r="I181" s="16"/>
    </row>
    <row r="182" spans="2:9">
      <c r="B182" s="34"/>
      <c r="C182" s="12"/>
      <c r="D182" s="7" t="s">
        <v>50</v>
      </c>
      <c r="E182" s="54"/>
      <c r="F182" s="8" t="s">
        <v>51</v>
      </c>
      <c r="G182" s="9"/>
      <c r="H182" s="10" t="s">
        <v>22</v>
      </c>
      <c r="I182" s="11">
        <f>SUM(I183)</f>
        <v>32.520000000000003</v>
      </c>
    </row>
    <row r="183" spans="2:9">
      <c r="B183" s="34">
        <f>MAX($B$174:B182)+1</f>
        <v>3</v>
      </c>
      <c r="C183" s="12"/>
      <c r="D183" s="13"/>
      <c r="E183" s="12" t="s">
        <v>165</v>
      </c>
      <c r="F183" s="14" t="s">
        <v>254</v>
      </c>
      <c r="G183" s="15"/>
      <c r="H183" s="2" t="s">
        <v>22</v>
      </c>
      <c r="I183" s="16">
        <f>G187</f>
        <v>32.520000000000003</v>
      </c>
    </row>
    <row r="184" spans="2:9">
      <c r="B184" s="34"/>
      <c r="C184" s="12"/>
      <c r="D184" s="13"/>
      <c r="E184" s="12"/>
      <c r="F184" s="35" t="s">
        <v>255</v>
      </c>
      <c r="G184" s="15">
        <f>22*0.07</f>
        <v>1.54</v>
      </c>
      <c r="H184" s="2"/>
      <c r="I184" s="16"/>
    </row>
    <row r="185" spans="2:9">
      <c r="B185" s="34"/>
      <c r="C185" s="12"/>
      <c r="D185" s="13"/>
      <c r="E185" s="12"/>
      <c r="F185" s="35" t="s">
        <v>256</v>
      </c>
      <c r="G185" s="15">
        <f>70*0.408</f>
        <v>28.56</v>
      </c>
      <c r="H185" s="2"/>
      <c r="I185" s="16"/>
    </row>
    <row r="186" spans="2:9" ht="23.25">
      <c r="B186" s="34"/>
      <c r="C186" s="12"/>
      <c r="D186" s="13"/>
      <c r="E186" s="12"/>
      <c r="F186" s="35" t="s">
        <v>257</v>
      </c>
      <c r="G186" s="15">
        <f>22*0.11</f>
        <v>2.42</v>
      </c>
      <c r="H186" s="2"/>
      <c r="I186" s="16"/>
    </row>
    <row r="187" spans="2:9">
      <c r="B187" s="34"/>
      <c r="C187" s="12"/>
      <c r="D187" s="13"/>
      <c r="E187" s="12"/>
      <c r="F187" s="4" t="s">
        <v>141</v>
      </c>
      <c r="G187" s="5">
        <f>SUM(G184:G186)</f>
        <v>32.520000000000003</v>
      </c>
      <c r="H187" s="2"/>
      <c r="I187" s="16"/>
    </row>
    <row r="188" spans="2:9">
      <c r="B188" s="34"/>
      <c r="C188" s="12"/>
      <c r="D188" s="7" t="s">
        <v>116</v>
      </c>
      <c r="E188" s="54"/>
      <c r="F188" s="8" t="s">
        <v>117</v>
      </c>
      <c r="G188" s="9"/>
      <c r="H188" s="10" t="s">
        <v>42</v>
      </c>
      <c r="I188" s="11">
        <f>SUM(I189)</f>
        <v>9.9</v>
      </c>
    </row>
    <row r="189" spans="2:9">
      <c r="B189" s="34">
        <f>MAX($B$174:B188)+1</f>
        <v>4</v>
      </c>
      <c r="C189" s="12"/>
      <c r="D189" s="13"/>
      <c r="E189" s="12" t="s">
        <v>258</v>
      </c>
      <c r="F189" s="14" t="s">
        <v>117</v>
      </c>
      <c r="G189" s="15"/>
      <c r="H189" s="2" t="s">
        <v>42</v>
      </c>
      <c r="I189" s="16">
        <f>G191</f>
        <v>9.9</v>
      </c>
    </row>
    <row r="190" spans="2:9" ht="23.25">
      <c r="B190" s="34"/>
      <c r="C190" s="12"/>
      <c r="D190" s="13"/>
      <c r="E190" s="12"/>
      <c r="F190" s="35" t="s">
        <v>259</v>
      </c>
      <c r="G190" s="44">
        <f>22*0.45</f>
        <v>9.9</v>
      </c>
      <c r="H190" s="2"/>
      <c r="I190" s="16"/>
    </row>
    <row r="191" spans="2:9">
      <c r="B191" s="34"/>
      <c r="C191" s="12"/>
      <c r="D191" s="13"/>
      <c r="E191" s="12"/>
      <c r="F191" s="4" t="s">
        <v>141</v>
      </c>
      <c r="G191" s="5">
        <f>SUM(G190)</f>
        <v>9.9</v>
      </c>
      <c r="H191" s="2"/>
      <c r="I191" s="16"/>
    </row>
    <row r="192" spans="2:9">
      <c r="B192" s="34"/>
      <c r="C192" s="57" t="s">
        <v>118</v>
      </c>
      <c r="D192" s="13"/>
      <c r="E192" s="12"/>
      <c r="F192" s="45" t="s">
        <v>260</v>
      </c>
      <c r="G192" s="15"/>
      <c r="H192" s="2"/>
      <c r="I192" s="16"/>
    </row>
    <row r="193" spans="2:9">
      <c r="B193" s="34"/>
      <c r="C193" s="12"/>
      <c r="D193" s="7" t="s">
        <v>119</v>
      </c>
      <c r="E193" s="54"/>
      <c r="F193" s="8" t="s">
        <v>120</v>
      </c>
      <c r="G193" s="9"/>
      <c r="H193" s="10" t="s">
        <v>42</v>
      </c>
      <c r="I193" s="11">
        <f>SUM(I194)</f>
        <v>50</v>
      </c>
    </row>
    <row r="194" spans="2:9">
      <c r="B194" s="34">
        <f>MAX($B$174:B193)+1</f>
        <v>5</v>
      </c>
      <c r="C194" s="12"/>
      <c r="D194" s="13"/>
      <c r="E194" s="12" t="s">
        <v>261</v>
      </c>
      <c r="F194" s="14" t="s">
        <v>262</v>
      </c>
      <c r="G194" s="44"/>
      <c r="H194" s="2" t="s">
        <v>42</v>
      </c>
      <c r="I194" s="16">
        <f>G196</f>
        <v>50</v>
      </c>
    </row>
    <row r="195" spans="2:9">
      <c r="B195" s="34"/>
      <c r="C195" s="12"/>
      <c r="D195" s="13"/>
      <c r="E195" s="12"/>
      <c r="F195" s="35" t="s">
        <v>263</v>
      </c>
      <c r="G195" s="44">
        <v>50</v>
      </c>
      <c r="H195" s="2"/>
      <c r="I195" s="16"/>
    </row>
    <row r="196" spans="2:9">
      <c r="B196" s="34"/>
      <c r="C196" s="12"/>
      <c r="D196" s="13"/>
      <c r="E196" s="12"/>
      <c r="F196" s="4" t="s">
        <v>141</v>
      </c>
      <c r="G196" s="5">
        <f>SUM(G195)</f>
        <v>50</v>
      </c>
      <c r="H196" s="2"/>
      <c r="I196" s="16"/>
    </row>
    <row r="197" spans="2:9">
      <c r="B197" s="34"/>
      <c r="C197" s="12"/>
      <c r="D197" s="7" t="s">
        <v>60</v>
      </c>
      <c r="E197" s="54"/>
      <c r="F197" s="8" t="s">
        <v>61</v>
      </c>
      <c r="G197" s="9"/>
      <c r="H197" s="10" t="s">
        <v>42</v>
      </c>
      <c r="I197" s="11">
        <f>SUM(I198)</f>
        <v>50</v>
      </c>
    </row>
    <row r="198" spans="2:9">
      <c r="B198" s="34">
        <f>MAX($B$174:B197)+1</f>
        <v>6</v>
      </c>
      <c r="C198" s="12"/>
      <c r="D198" s="13"/>
      <c r="E198" s="12" t="s">
        <v>264</v>
      </c>
      <c r="F198" s="14" t="s">
        <v>265</v>
      </c>
      <c r="G198" s="15"/>
      <c r="H198" s="2" t="s">
        <v>42</v>
      </c>
      <c r="I198" s="16">
        <f>G200</f>
        <v>50</v>
      </c>
    </row>
    <row r="199" spans="2:9">
      <c r="B199" s="34"/>
      <c r="C199" s="12"/>
      <c r="D199" s="13"/>
      <c r="E199" s="12"/>
      <c r="F199" s="35" t="s">
        <v>263</v>
      </c>
      <c r="G199" s="44">
        <v>50</v>
      </c>
      <c r="H199" s="2"/>
      <c r="I199" s="16"/>
    </row>
    <row r="200" spans="2:9">
      <c r="B200" s="34"/>
      <c r="C200" s="12"/>
      <c r="D200" s="13"/>
      <c r="E200" s="12"/>
      <c r="F200" s="4" t="s">
        <v>141</v>
      </c>
      <c r="G200" s="5">
        <f>SUM(G199)</f>
        <v>50</v>
      </c>
      <c r="H200" s="2"/>
      <c r="I200" s="16"/>
    </row>
    <row r="201" spans="2:9">
      <c r="B201" s="34"/>
      <c r="C201" s="12"/>
      <c r="D201" s="13"/>
      <c r="E201" s="12"/>
      <c r="F201" s="14"/>
      <c r="G201" s="15"/>
      <c r="H201" s="2"/>
      <c r="I201" s="16"/>
    </row>
    <row r="202" spans="2:9">
      <c r="B202" s="34"/>
      <c r="C202" s="57" t="s">
        <v>121</v>
      </c>
      <c r="D202" s="13"/>
      <c r="E202" s="12"/>
      <c r="F202" s="45" t="s">
        <v>266</v>
      </c>
      <c r="G202" s="15"/>
      <c r="H202" s="2"/>
      <c r="I202" s="16"/>
    </row>
    <row r="203" spans="2:9" ht="23.25">
      <c r="B203" s="34"/>
      <c r="C203" s="12"/>
      <c r="D203" s="7" t="s">
        <v>122</v>
      </c>
      <c r="E203" s="54"/>
      <c r="F203" s="8" t="s">
        <v>123</v>
      </c>
      <c r="G203" s="9"/>
      <c r="H203" s="10" t="s">
        <v>39</v>
      </c>
      <c r="I203" s="11">
        <f>SUM(I204)</f>
        <v>22</v>
      </c>
    </row>
    <row r="204" spans="2:9" ht="23.25">
      <c r="B204" s="34">
        <f>MAX($B$174:B203)+1</f>
        <v>7</v>
      </c>
      <c r="C204" s="12"/>
      <c r="D204" s="13"/>
      <c r="E204" s="12" t="s">
        <v>267</v>
      </c>
      <c r="F204" s="14" t="s">
        <v>268</v>
      </c>
      <c r="G204" s="15"/>
      <c r="H204" s="2" t="s">
        <v>39</v>
      </c>
      <c r="I204" s="16">
        <f>G207</f>
        <v>22</v>
      </c>
    </row>
    <row r="205" spans="2:9">
      <c r="B205" s="34"/>
      <c r="C205" s="12"/>
      <c r="D205" s="13"/>
      <c r="E205" s="12"/>
      <c r="F205" s="35" t="s">
        <v>294</v>
      </c>
      <c r="G205" s="44">
        <v>16</v>
      </c>
      <c r="H205" s="2"/>
      <c r="I205" s="16"/>
    </row>
    <row r="206" spans="2:9">
      <c r="B206" s="34"/>
      <c r="C206" s="12"/>
      <c r="D206" s="13"/>
      <c r="E206" s="12"/>
      <c r="F206" s="35" t="s">
        <v>295</v>
      </c>
      <c r="G206" s="44">
        <v>6</v>
      </c>
      <c r="H206" s="2"/>
      <c r="I206" s="16"/>
    </row>
    <row r="207" spans="2:9">
      <c r="B207" s="34"/>
      <c r="C207" s="12"/>
      <c r="D207" s="13"/>
      <c r="E207" s="12"/>
      <c r="F207" s="4" t="s">
        <v>141</v>
      </c>
      <c r="G207" s="5">
        <f>SUM(G205:G206)</f>
        <v>22</v>
      </c>
      <c r="H207" s="2"/>
      <c r="I207" s="16"/>
    </row>
    <row r="208" spans="2:9" ht="23.25">
      <c r="B208" s="34"/>
      <c r="C208" s="12"/>
      <c r="D208" s="7" t="s">
        <v>124</v>
      </c>
      <c r="E208" s="54"/>
      <c r="F208" s="8" t="s">
        <v>125</v>
      </c>
      <c r="G208" s="9"/>
      <c r="H208" s="10" t="s">
        <v>42</v>
      </c>
      <c r="I208" s="11">
        <f>SUM(I209)</f>
        <v>8.91</v>
      </c>
    </row>
    <row r="209" spans="2:9">
      <c r="B209" s="34">
        <f>MAX($B$174:B208)+1</f>
        <v>8</v>
      </c>
      <c r="C209" s="12"/>
      <c r="D209" s="13"/>
      <c r="E209" s="12" t="s">
        <v>269</v>
      </c>
      <c r="F209" s="14" t="s">
        <v>125</v>
      </c>
      <c r="G209" s="15"/>
      <c r="H209" s="2" t="s">
        <v>42</v>
      </c>
      <c r="I209" s="16">
        <f>G211</f>
        <v>8.91</v>
      </c>
    </row>
    <row r="210" spans="2:9" ht="23.25">
      <c r="B210" s="34"/>
      <c r="C210" s="12"/>
      <c r="D210" s="13"/>
      <c r="E210" s="12"/>
      <c r="F210" s="35" t="s">
        <v>270</v>
      </c>
      <c r="G210" s="44">
        <f>0.45*0.45*2*22</f>
        <v>8.91</v>
      </c>
      <c r="H210" s="2"/>
      <c r="I210" s="16"/>
    </row>
    <row r="211" spans="2:9">
      <c r="B211" s="34"/>
      <c r="C211" s="12"/>
      <c r="D211" s="13"/>
      <c r="E211" s="12"/>
      <c r="F211" s="4" t="s">
        <v>141</v>
      </c>
      <c r="G211" s="5">
        <f>SUM(G210)</f>
        <v>8.91</v>
      </c>
      <c r="H211" s="2"/>
      <c r="I211" s="16"/>
    </row>
    <row r="212" spans="2:9" ht="23.25">
      <c r="B212" s="34"/>
      <c r="C212" s="12"/>
      <c r="D212" s="7" t="s">
        <v>128</v>
      </c>
      <c r="E212" s="54"/>
      <c r="F212" s="8" t="s">
        <v>129</v>
      </c>
      <c r="G212" s="9"/>
      <c r="H212" s="10" t="s">
        <v>25</v>
      </c>
      <c r="I212" s="11">
        <f>SUM(I213)</f>
        <v>84</v>
      </c>
    </row>
    <row r="213" spans="2:9">
      <c r="B213" s="34">
        <f>MAX($B$174:B212)+1</f>
        <v>9</v>
      </c>
      <c r="C213" s="12"/>
      <c r="D213" s="13"/>
      <c r="E213" s="12" t="s">
        <v>271</v>
      </c>
      <c r="F213" s="14" t="s">
        <v>129</v>
      </c>
      <c r="G213" s="5"/>
      <c r="H213" s="2" t="s">
        <v>25</v>
      </c>
      <c r="I213" s="16">
        <f>G215</f>
        <v>84</v>
      </c>
    </row>
    <row r="214" spans="2:9" ht="34.5">
      <c r="B214" s="34"/>
      <c r="C214" s="12"/>
      <c r="D214" s="13"/>
      <c r="E214" s="12"/>
      <c r="F214" s="35" t="s">
        <v>296</v>
      </c>
      <c r="G214" s="44">
        <f>84</f>
        <v>84</v>
      </c>
      <c r="H214" s="2"/>
      <c r="I214" s="16"/>
    </row>
    <row r="215" spans="2:9">
      <c r="B215" s="34"/>
      <c r="C215" s="12"/>
      <c r="D215" s="13"/>
      <c r="E215" s="12"/>
      <c r="F215" s="4" t="s">
        <v>141</v>
      </c>
      <c r="G215" s="5">
        <f>SUM(G214)</f>
        <v>84</v>
      </c>
      <c r="H215" s="2"/>
      <c r="I215" s="16"/>
    </row>
    <row r="216" spans="2:9" ht="23.25">
      <c r="B216" s="34"/>
      <c r="C216" s="12"/>
      <c r="D216" s="7" t="s">
        <v>126</v>
      </c>
      <c r="E216" s="54"/>
      <c r="F216" s="8" t="s">
        <v>127</v>
      </c>
      <c r="G216" s="9"/>
      <c r="H216" s="10" t="s">
        <v>42</v>
      </c>
      <c r="I216" s="11">
        <f>SUM(I217)</f>
        <v>0.22</v>
      </c>
    </row>
    <row r="217" spans="2:9" ht="23.25">
      <c r="B217" s="34">
        <f>MAX($B$174:B216)+1</f>
        <v>10</v>
      </c>
      <c r="C217" s="12"/>
      <c r="D217" s="13"/>
      <c r="E217" s="12" t="s">
        <v>272</v>
      </c>
      <c r="F217" s="14" t="s">
        <v>127</v>
      </c>
      <c r="G217" s="15"/>
      <c r="H217" s="2" t="s">
        <v>42</v>
      </c>
      <c r="I217" s="16">
        <f>G219</f>
        <v>0.22</v>
      </c>
    </row>
    <row r="218" spans="2:9" ht="23.25">
      <c r="B218" s="34"/>
      <c r="C218" s="12"/>
      <c r="D218" s="13"/>
      <c r="E218" s="12"/>
      <c r="F218" s="35" t="s">
        <v>273</v>
      </c>
      <c r="G218" s="44">
        <f>0.05*22*0.45*0.45</f>
        <v>0.22</v>
      </c>
      <c r="H218" s="2"/>
      <c r="I218" s="16"/>
    </row>
    <row r="219" spans="2:9">
      <c r="B219" s="34"/>
      <c r="C219" s="12"/>
      <c r="D219" s="46"/>
      <c r="F219" s="4" t="s">
        <v>141</v>
      </c>
      <c r="G219" s="5">
        <f>SUM(G218)</f>
        <v>0.22</v>
      </c>
      <c r="H219" s="46"/>
      <c r="I219" s="52"/>
    </row>
    <row r="220" spans="2:9" ht="24.75">
      <c r="B220" s="34"/>
      <c r="C220" s="57" t="s">
        <v>72</v>
      </c>
      <c r="D220" s="13"/>
      <c r="E220" s="12"/>
      <c r="F220" s="45" t="s">
        <v>274</v>
      </c>
      <c r="G220" s="15"/>
      <c r="H220" s="2"/>
      <c r="I220" s="16"/>
    </row>
    <row r="221" spans="2:9" ht="23.25">
      <c r="B221" s="34"/>
      <c r="C221" s="12"/>
      <c r="D221" s="7" t="s">
        <v>275</v>
      </c>
      <c r="E221" s="54"/>
      <c r="F221" s="8" t="s">
        <v>276</v>
      </c>
      <c r="G221" s="9"/>
      <c r="H221" s="10" t="s">
        <v>25</v>
      </c>
      <c r="I221" s="11">
        <f>SUM(I222)</f>
        <v>17.5</v>
      </c>
    </row>
    <row r="222" spans="2:9">
      <c r="B222" s="34">
        <f>MAX($B$174:B221)+1</f>
        <v>11</v>
      </c>
      <c r="C222" s="12"/>
      <c r="D222" s="13"/>
      <c r="E222" s="12" t="s">
        <v>277</v>
      </c>
      <c r="F222" s="14" t="s">
        <v>276</v>
      </c>
      <c r="G222" s="15"/>
      <c r="H222" s="2" t="s">
        <v>25</v>
      </c>
      <c r="I222" s="16">
        <f>G224</f>
        <v>17.5</v>
      </c>
    </row>
    <row r="223" spans="2:9">
      <c r="B223" s="34"/>
      <c r="C223" s="12"/>
      <c r="D223" s="13"/>
      <c r="E223" s="12"/>
      <c r="F223" s="35" t="s">
        <v>278</v>
      </c>
      <c r="G223" s="44">
        <f>0.25*70</f>
        <v>17.5</v>
      </c>
      <c r="H223" s="2"/>
      <c r="I223" s="16"/>
    </row>
    <row r="224" spans="2:9">
      <c r="B224" s="34"/>
      <c r="C224" s="12"/>
      <c r="D224" s="13"/>
      <c r="E224" s="12"/>
      <c r="F224" s="4" t="s">
        <v>141</v>
      </c>
      <c r="G224" s="5">
        <f>SUM(G223)</f>
        <v>17.5</v>
      </c>
      <c r="H224" s="2"/>
      <c r="I224" s="16"/>
    </row>
    <row r="225" spans="2:9" ht="23.25">
      <c r="B225" s="34"/>
      <c r="C225" s="12"/>
      <c r="D225" s="7" t="s">
        <v>130</v>
      </c>
      <c r="E225" s="54"/>
      <c r="F225" s="8" t="s">
        <v>131</v>
      </c>
      <c r="G225" s="9"/>
      <c r="H225" s="10" t="s">
        <v>42</v>
      </c>
      <c r="I225" s="11">
        <f>SUM(I226)</f>
        <v>70</v>
      </c>
    </row>
    <row r="226" spans="2:9" ht="23.25">
      <c r="B226" s="34">
        <f>MAX($B$174:B225)+1</f>
        <v>12</v>
      </c>
      <c r="C226" s="12"/>
      <c r="D226" s="13"/>
      <c r="E226" s="12" t="s">
        <v>279</v>
      </c>
      <c r="F226" s="14" t="s">
        <v>280</v>
      </c>
      <c r="G226" s="15"/>
      <c r="H226" s="2" t="s">
        <v>42</v>
      </c>
      <c r="I226" s="16">
        <f>G228</f>
        <v>70</v>
      </c>
    </row>
    <row r="227" spans="2:9">
      <c r="B227" s="34"/>
      <c r="C227" s="12"/>
      <c r="D227" s="13"/>
      <c r="E227" s="12"/>
      <c r="F227" s="35" t="s">
        <v>281</v>
      </c>
      <c r="G227" s="44">
        <f>70</f>
        <v>70</v>
      </c>
      <c r="H227" s="2"/>
      <c r="I227" s="16"/>
    </row>
    <row r="228" spans="2:9">
      <c r="B228" s="53"/>
      <c r="C228" s="56"/>
      <c r="D228" s="18"/>
      <c r="E228" s="56"/>
      <c r="F228" s="19" t="s">
        <v>141</v>
      </c>
      <c r="G228" s="59">
        <f>SUM(G227)</f>
        <v>70</v>
      </c>
      <c r="H228" s="20"/>
      <c r="I228" s="60"/>
    </row>
  </sheetData>
  <sheetProtection algorithmName="SHA-512" hashValue="BLmNXKjR8MGx2DhsuuHVe5bcJMTbNhO17oh6V3hnM9lCHLMta+moXYeIc5ITgsbDStF0728Oa0pizittOi/8xQ==" saltValue="vKZklNa3KSqBvmkYWbtFTA==" spinCount="100000" sheet="1" objects="1" scenarios="1"/>
  <mergeCells count="3">
    <mergeCell ref="D6:E6"/>
    <mergeCell ref="B32:F32"/>
    <mergeCell ref="B171:F171"/>
  </mergeCells>
  <pageMargins left="0.7" right="0.7" top="0.75" bottom="0.75" header="0.3" footer="0.3"/>
  <pageSetup paperSize="9" scale="76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E37"/>
  <sheetViews>
    <sheetView zoomScaleNormal="100" workbookViewId="0">
      <selection activeCell="B5" sqref="B5:D5"/>
    </sheetView>
  </sheetViews>
  <sheetFormatPr defaultRowHeight="15"/>
  <cols>
    <col min="1" max="1" width="1.7109375" style="76" customWidth="1"/>
    <col min="2" max="2" width="35.7109375" style="76" customWidth="1"/>
    <col min="3" max="5" width="26.7109375" style="76" customWidth="1"/>
    <col min="6" max="16384" width="9.140625" style="76"/>
  </cols>
  <sheetData>
    <row r="1" spans="2:5">
      <c r="E1" s="114" t="s">
        <v>328</v>
      </c>
    </row>
    <row r="2" spans="2:5">
      <c r="E2" s="139"/>
    </row>
    <row r="4" spans="2:5" ht="18.75">
      <c r="B4" s="162" t="s">
        <v>305</v>
      </c>
      <c r="C4" s="162"/>
      <c r="D4" s="162"/>
      <c r="E4" s="162"/>
    </row>
    <row r="5" spans="2:5">
      <c r="B5" s="163" t="s">
        <v>306</v>
      </c>
      <c r="C5" s="163"/>
      <c r="D5" s="163"/>
    </row>
    <row r="6" spans="2:5">
      <c r="B6" s="144" t="s">
        <v>332</v>
      </c>
      <c r="C6" s="112"/>
      <c r="D6" s="112"/>
    </row>
    <row r="7" spans="2:5">
      <c r="B7" s="112"/>
      <c r="C7" s="112"/>
      <c r="D7" s="112"/>
    </row>
    <row r="8" spans="2:5">
      <c r="B8" s="113"/>
      <c r="C8" s="114"/>
      <c r="D8" s="114"/>
    </row>
    <row r="9" spans="2:5" ht="15.75" thickBot="1">
      <c r="B9" s="113" t="s">
        <v>307</v>
      </c>
      <c r="D9" s="114"/>
    </row>
    <row r="10" spans="2:5">
      <c r="B10" s="115" t="s">
        <v>308</v>
      </c>
      <c r="C10" s="164"/>
      <c r="D10" s="165"/>
    </row>
    <row r="11" spans="2:5">
      <c r="B11" s="116" t="s">
        <v>309</v>
      </c>
      <c r="C11" s="166"/>
      <c r="D11" s="167"/>
    </row>
    <row r="12" spans="2:5" ht="18" customHeight="1">
      <c r="B12" s="116" t="s">
        <v>310</v>
      </c>
      <c r="C12" s="166"/>
      <c r="D12" s="167"/>
    </row>
    <row r="13" spans="2:5">
      <c r="B13" s="116" t="s">
        <v>311</v>
      </c>
      <c r="C13" s="166"/>
      <c r="D13" s="167"/>
    </row>
    <row r="14" spans="2:5" ht="18" customHeight="1">
      <c r="B14" s="116" t="s">
        <v>312</v>
      </c>
      <c r="C14" s="166"/>
      <c r="D14" s="167"/>
    </row>
    <row r="15" spans="2:5" ht="15.75" thickBot="1">
      <c r="B15" s="117" t="s">
        <v>313</v>
      </c>
      <c r="C15" s="168"/>
      <c r="D15" s="169"/>
    </row>
    <row r="17" spans="2:5">
      <c r="B17" s="118" t="s">
        <v>314</v>
      </c>
      <c r="C17" s="119"/>
      <c r="D17" s="119"/>
    </row>
    <row r="18" spans="2:5" ht="47.25">
      <c r="B18" s="140" t="s">
        <v>315</v>
      </c>
      <c r="C18" s="141" t="s">
        <v>322</v>
      </c>
      <c r="D18" s="140" t="s">
        <v>316</v>
      </c>
      <c r="E18" s="140" t="s">
        <v>317</v>
      </c>
    </row>
    <row r="19" spans="2:5" ht="45">
      <c r="B19" s="143" t="s">
        <v>329</v>
      </c>
      <c r="C19" s="136">
        <f>'2.časť_B.2_Rekapitulácia stavby'!E10</f>
        <v>0</v>
      </c>
      <c r="D19" s="120">
        <f>C19*0.23</f>
        <v>0</v>
      </c>
      <c r="E19" s="120">
        <f>C19+D19</f>
        <v>0</v>
      </c>
    </row>
    <row r="20" spans="2:5">
      <c r="B20" s="121"/>
      <c r="C20" s="122"/>
      <c r="D20" s="122"/>
    </row>
    <row r="21" spans="2:5" ht="17.25">
      <c r="B21" s="118" t="s">
        <v>318</v>
      </c>
      <c r="C21" s="119"/>
      <c r="D21" s="119"/>
    </row>
    <row r="22" spans="2:5">
      <c r="B22" s="142" t="s">
        <v>319</v>
      </c>
      <c r="C22" s="119"/>
      <c r="D22" s="119"/>
    </row>
    <row r="23" spans="2:5">
      <c r="B23" s="123"/>
      <c r="C23" s="119"/>
      <c r="D23" s="119"/>
    </row>
    <row r="24" spans="2:5" ht="21.95" customHeight="1">
      <c r="B24" s="73" t="s">
        <v>300</v>
      </c>
      <c r="C24" s="119"/>
      <c r="D24" s="119"/>
    </row>
    <row r="25" spans="2:5">
      <c r="B25" s="119"/>
      <c r="C25" s="150" t="s">
        <v>301</v>
      </c>
      <c r="D25" s="150"/>
    </row>
    <row r="26" spans="2:5">
      <c r="B26" s="119"/>
      <c r="C26" s="150" t="s">
        <v>302</v>
      </c>
      <c r="D26" s="150"/>
    </row>
    <row r="27" spans="2:5">
      <c r="B27" s="119"/>
      <c r="C27" s="150" t="s">
        <v>303</v>
      </c>
      <c r="D27" s="150"/>
    </row>
    <row r="28" spans="2:5" ht="17.25">
      <c r="B28" s="124"/>
    </row>
    <row r="29" spans="2:5" ht="17.25">
      <c r="B29" s="124" t="s">
        <v>320</v>
      </c>
    </row>
    <row r="30" spans="2:5" ht="17.25">
      <c r="B30" s="124"/>
    </row>
    <row r="31" spans="2:5" hidden="1">
      <c r="B31" s="123" t="s">
        <v>319</v>
      </c>
    </row>
    <row r="32" spans="2:5" hidden="1">
      <c r="B32" s="123" t="s">
        <v>321</v>
      </c>
    </row>
    <row r="36" spans="2:2" ht="17.25">
      <c r="B36" s="124"/>
    </row>
    <row r="37" spans="2:2" ht="17.25">
      <c r="B37" s="124"/>
    </row>
  </sheetData>
  <sheetProtection algorithmName="SHA-512" hashValue="IhtlLdy0IPoVfY9O804g1NoIEwfaD8ksaNQ4kpMcAqh/mGBc+Z/coLWh4pGl6wQQeYIgcIZboiOCzLDIk/JpRA==" saltValue="d2iaebZHQ8T+FCSBv61BQw==" spinCount="100000" sheet="1" objects="1" scenarios="1"/>
  <mergeCells count="11">
    <mergeCell ref="C27:D27"/>
    <mergeCell ref="B4:E4"/>
    <mergeCell ref="B5:D5"/>
    <mergeCell ref="C10:D10"/>
    <mergeCell ref="C11:D11"/>
    <mergeCell ref="C12:D12"/>
    <mergeCell ref="C13:D13"/>
    <mergeCell ref="C14:D14"/>
    <mergeCell ref="C15:D15"/>
    <mergeCell ref="C25:D25"/>
    <mergeCell ref="C26:D26"/>
  </mergeCells>
  <dataValidations count="1">
    <dataValidation type="list" allowBlank="1" showInputMessage="1" showErrorMessage="1" sqref="B22">
      <formula1>$B$31:$B$32</formula1>
    </dataValidation>
  </dataValidation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2.časť_B.2_Rekapitulácia stavby</vt:lpstr>
      <vt:lpstr>2.časť_B.2_Súpis prác_SO-206</vt:lpstr>
      <vt:lpstr>2.časť_B.2_Časti stavby_SO-206</vt:lpstr>
      <vt:lpstr>2.časť_B.2_Podrobný VV_SO-206</vt:lpstr>
      <vt:lpstr>A.2_Návrh na pl kritéria_2.časť</vt:lpstr>
      <vt:lpstr>'A.2_Návrh na pl kritéria_2.časť'!Oblasť_tlače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2025-02-18T14:41:01Z</cp:lastPrinted>
  <dcterms:created xsi:type="dcterms:W3CDTF">2022-09-21T12:04:19Z</dcterms:created>
  <dcterms:modified xsi:type="dcterms:W3CDTF">2025-03-20T15:23:14Z</dcterms:modified>
</cp:coreProperties>
</file>