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ojekty 2011 Prodosing\2019\NDS Mosty_3\Drietoma\SO 02_Most evc50-069\CD_DRS_50_069\H_Vykaz vymer\"/>
    </mc:Choice>
  </mc:AlternateContent>
  <xr:revisionPtr revIDLastSave="0" documentId="13_ncr:1_{5F6B166C-30A9-4C89-AB47-EBD738795FBD}" xr6:coauthVersionLast="45" xr6:coauthVersionMax="45" xr10:uidLastSave="{00000000-0000-0000-0000-000000000000}"/>
  <bookViews>
    <workbookView xWindow="6090" yWindow="300" windowWidth="21360" windowHeight="13170" tabRatio="738" firstSheet="2" activeTab="2" xr2:uid="{00000000-000D-0000-FFFF-FFFF00000000}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3" r:id="rId4"/>
    <sheet name="03_CastiStavby" sheetId="25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'04_PopisPoloziek'!$1:$7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'01_Rekapitulacia'!$A$1:$L$13</definedName>
    <definedName name="_xlnm.Print_Area" localSheetId="3">'02_SupisPrac'!$B$1:$K$86</definedName>
    <definedName name="_xlnm.Print_Area" localSheetId="4">'03_CastiStavby'!$B$1:$K$86</definedName>
    <definedName name="_xlnm.Print_Area" localSheetId="5">'04_PopisPoloziek'!$B$1:$J$492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25" l="1"/>
  <c r="J10" i="25"/>
  <c r="K10" i="25" s="1"/>
  <c r="J11" i="25"/>
  <c r="K11" i="25" s="1"/>
  <c r="J12" i="25"/>
  <c r="J13" i="25"/>
  <c r="J14" i="25"/>
  <c r="J15" i="25"/>
  <c r="J16" i="25"/>
  <c r="J17" i="25"/>
  <c r="J18" i="25"/>
  <c r="J19" i="25"/>
  <c r="J20" i="25"/>
  <c r="J21" i="25"/>
  <c r="K21" i="25" s="1"/>
  <c r="J22" i="25"/>
  <c r="J23" i="25"/>
  <c r="J24" i="25"/>
  <c r="J25" i="25"/>
  <c r="J26" i="25"/>
  <c r="J27" i="25"/>
  <c r="J28" i="25"/>
  <c r="J29" i="25"/>
  <c r="J30" i="25"/>
  <c r="K30" i="25" s="1"/>
  <c r="J31" i="25"/>
  <c r="J32" i="25"/>
  <c r="J33" i="25"/>
  <c r="J34" i="25"/>
  <c r="J35" i="25"/>
  <c r="K35" i="25" s="1"/>
  <c r="J36" i="25"/>
  <c r="J37" i="25"/>
  <c r="K37" i="25" s="1"/>
  <c r="J38" i="25"/>
  <c r="J39" i="25"/>
  <c r="J40" i="25"/>
  <c r="K40" i="25" s="1"/>
  <c r="J41" i="25"/>
  <c r="J42" i="25"/>
  <c r="J43" i="25"/>
  <c r="K43" i="25" s="1"/>
  <c r="J44" i="25"/>
  <c r="J45" i="25"/>
  <c r="J46" i="25"/>
  <c r="J47" i="25"/>
  <c r="J48" i="25"/>
  <c r="K48" i="25" s="1"/>
  <c r="J49" i="25"/>
  <c r="J50" i="25"/>
  <c r="K50" i="25" s="1"/>
  <c r="J51" i="25"/>
  <c r="K51" i="25" s="1"/>
  <c r="J52" i="25"/>
  <c r="J53" i="25"/>
  <c r="J54" i="25"/>
  <c r="J55" i="25"/>
  <c r="J56" i="25"/>
  <c r="J57" i="25"/>
  <c r="K57" i="25" s="1"/>
  <c r="J58" i="25"/>
  <c r="J59" i="25"/>
  <c r="J60" i="25"/>
  <c r="J61" i="25"/>
  <c r="J62" i="25"/>
  <c r="J63" i="25"/>
  <c r="J64" i="25"/>
  <c r="J65" i="25"/>
  <c r="J66" i="25"/>
  <c r="J67" i="25"/>
  <c r="J68" i="25"/>
  <c r="J69" i="25"/>
  <c r="J70" i="25"/>
  <c r="J71" i="25"/>
  <c r="J72" i="25"/>
  <c r="J73" i="25"/>
  <c r="J74" i="25"/>
  <c r="J75" i="25"/>
  <c r="K75" i="25" s="1"/>
  <c r="J76" i="25"/>
  <c r="K76" i="25" s="1"/>
  <c r="J77" i="25"/>
  <c r="J78" i="25"/>
  <c r="J79" i="25"/>
  <c r="J80" i="25"/>
  <c r="K81" i="25"/>
  <c r="J8" i="25"/>
  <c r="H80" i="25"/>
  <c r="H79" i="25"/>
  <c r="H78" i="25"/>
  <c r="H77" i="25"/>
  <c r="H76" i="25"/>
  <c r="H75" i="25"/>
  <c r="H74" i="25"/>
  <c r="H73" i="25"/>
  <c r="H72" i="25"/>
  <c r="H71" i="25"/>
  <c r="H70" i="25"/>
  <c r="H69" i="25"/>
  <c r="H68" i="25"/>
  <c r="H67" i="25"/>
  <c r="H66" i="25"/>
  <c r="H65" i="25"/>
  <c r="H64" i="25"/>
  <c r="H63" i="25"/>
  <c r="H62" i="25"/>
  <c r="H61" i="25"/>
  <c r="H60" i="25"/>
  <c r="H59" i="25"/>
  <c r="H58" i="25"/>
  <c r="H57" i="25"/>
  <c r="H56" i="25"/>
  <c r="H55" i="25"/>
  <c r="H54" i="25"/>
  <c r="H53" i="25"/>
  <c r="H52" i="25"/>
  <c r="H51" i="25"/>
  <c r="H50" i="25"/>
  <c r="H49" i="25"/>
  <c r="H48" i="25"/>
  <c r="H47" i="25"/>
  <c r="H46" i="25"/>
  <c r="H45" i="25"/>
  <c r="H44" i="25"/>
  <c r="H43" i="25"/>
  <c r="H42" i="25"/>
  <c r="H41" i="25"/>
  <c r="H40" i="25"/>
  <c r="H39" i="25"/>
  <c r="H38" i="25"/>
  <c r="H37" i="25"/>
  <c r="H36" i="25"/>
  <c r="H35" i="25"/>
  <c r="H34" i="25"/>
  <c r="H33" i="25"/>
  <c r="H32" i="25"/>
  <c r="H31" i="25"/>
  <c r="H30" i="25"/>
  <c r="H29" i="25"/>
  <c r="H28" i="25"/>
  <c r="H27" i="25"/>
  <c r="H26" i="25"/>
  <c r="H25" i="25"/>
  <c r="H24" i="25"/>
  <c r="H23" i="25"/>
  <c r="H22" i="25"/>
  <c r="H21" i="25"/>
  <c r="H20" i="25"/>
  <c r="H19" i="25"/>
  <c r="H18" i="25"/>
  <c r="H17" i="25"/>
  <c r="H16" i="25"/>
  <c r="H15" i="25"/>
  <c r="H14" i="25"/>
  <c r="H13" i="25"/>
  <c r="H12" i="25"/>
  <c r="H11" i="25"/>
  <c r="H10" i="25"/>
  <c r="H9" i="25"/>
  <c r="H81" i="25"/>
  <c r="H8" i="25"/>
  <c r="K66" i="25"/>
  <c r="K20" i="25"/>
  <c r="H81" i="23"/>
  <c r="K81" i="23" s="1"/>
  <c r="H80" i="23"/>
  <c r="K80" i="23" s="1"/>
  <c r="H79" i="23"/>
  <c r="H78" i="23"/>
  <c r="H77" i="23"/>
  <c r="K77" i="23" s="1"/>
  <c r="H76" i="23"/>
  <c r="K76" i="23" s="1"/>
  <c r="H75" i="23"/>
  <c r="H74" i="23"/>
  <c r="K74" i="23" s="1"/>
  <c r="H73" i="23"/>
  <c r="K73" i="23" s="1"/>
  <c r="H72" i="23"/>
  <c r="H71" i="23"/>
  <c r="K71" i="23" s="1"/>
  <c r="H70" i="23"/>
  <c r="K70" i="23" s="1"/>
  <c r="H69" i="23"/>
  <c r="K69" i="23" s="1"/>
  <c r="H68" i="23"/>
  <c r="H67" i="23"/>
  <c r="K67" i="23" s="1"/>
  <c r="H66" i="23"/>
  <c r="K66" i="23" s="1"/>
  <c r="H65" i="23"/>
  <c r="K65" i="23" s="1"/>
  <c r="H64" i="23"/>
  <c r="K64" i="23" s="1"/>
  <c r="H63" i="23"/>
  <c r="H62" i="23"/>
  <c r="K62" i="23" s="1"/>
  <c r="H61" i="23"/>
  <c r="K61" i="23" s="1"/>
  <c r="H60" i="23"/>
  <c r="K60" i="23" s="1"/>
  <c r="H59" i="23"/>
  <c r="K59" i="23" s="1"/>
  <c r="H58" i="23"/>
  <c r="K58" i="23" s="1"/>
  <c r="H57" i="23"/>
  <c r="K57" i="23" s="1"/>
  <c r="H56" i="23"/>
  <c r="K56" i="23" s="1"/>
  <c r="H55" i="23"/>
  <c r="K55" i="23" s="1"/>
  <c r="H54" i="23"/>
  <c r="K54" i="23" s="1"/>
  <c r="H53" i="23"/>
  <c r="K53" i="23" s="1"/>
  <c r="H52" i="23"/>
  <c r="K52" i="23" s="1"/>
  <c r="H51" i="23"/>
  <c r="K51" i="23" s="1"/>
  <c r="H50" i="23"/>
  <c r="K50" i="23" s="1"/>
  <c r="H49" i="23"/>
  <c r="K49" i="23" s="1"/>
  <c r="H48" i="23"/>
  <c r="K48" i="23" s="1"/>
  <c r="H47" i="23"/>
  <c r="K47" i="23" s="1"/>
  <c r="H46" i="23"/>
  <c r="H45" i="23"/>
  <c r="K45" i="23" s="1"/>
  <c r="H44" i="23"/>
  <c r="K44" i="23" s="1"/>
  <c r="H43" i="23"/>
  <c r="K43" i="23" s="1"/>
  <c r="H42" i="23"/>
  <c r="K42" i="23" s="1"/>
  <c r="H41" i="23"/>
  <c r="H40" i="23"/>
  <c r="K40" i="23" s="1"/>
  <c r="H39" i="23"/>
  <c r="K39" i="23" s="1"/>
  <c r="H38" i="23"/>
  <c r="K38" i="23" s="1"/>
  <c r="H37" i="23"/>
  <c r="K37" i="23" s="1"/>
  <c r="H36" i="23"/>
  <c r="K36" i="23" s="1"/>
  <c r="H35" i="23"/>
  <c r="K35" i="23" s="1"/>
  <c r="H34" i="23"/>
  <c r="K34" i="23" s="1"/>
  <c r="H33" i="23"/>
  <c r="H32" i="23"/>
  <c r="K32" i="23" s="1"/>
  <c r="H31" i="23"/>
  <c r="K31" i="23" s="1"/>
  <c r="H30" i="23"/>
  <c r="H29" i="23"/>
  <c r="K29" i="23" s="1"/>
  <c r="H28" i="23"/>
  <c r="H27" i="23"/>
  <c r="K27" i="23" s="1"/>
  <c r="H26" i="23"/>
  <c r="K26" i="23" s="1"/>
  <c r="H25" i="23"/>
  <c r="K25" i="23" s="1"/>
  <c r="H24" i="23"/>
  <c r="H23" i="23"/>
  <c r="K23" i="23" s="1"/>
  <c r="H22" i="23"/>
  <c r="K22" i="23" s="1"/>
  <c r="H21" i="23"/>
  <c r="H20" i="23"/>
  <c r="K20" i="23" s="1"/>
  <c r="H19" i="23"/>
  <c r="K19" i="23" s="1"/>
  <c r="H18" i="23"/>
  <c r="K18" i="23" s="1"/>
  <c r="H17" i="23"/>
  <c r="K17" i="23" s="1"/>
  <c r="H16" i="23"/>
  <c r="K16" i="23" s="1"/>
  <c r="H15" i="23"/>
  <c r="K15" i="23" s="1"/>
  <c r="H14" i="23"/>
  <c r="K14" i="23" s="1"/>
  <c r="H13" i="23"/>
  <c r="K13" i="23" s="1"/>
  <c r="H12" i="23"/>
  <c r="H11" i="23"/>
  <c r="K11" i="23" s="1"/>
  <c r="H10" i="23"/>
  <c r="H9" i="23"/>
  <c r="K9" i="23" s="1"/>
  <c r="K79" i="23"/>
  <c r="K78" i="23"/>
  <c r="K75" i="23"/>
  <c r="K68" i="23"/>
  <c r="K63" i="23"/>
  <c r="K46" i="23"/>
  <c r="K41" i="23"/>
  <c r="K12" i="23"/>
  <c r="K10" i="23"/>
  <c r="H8" i="23"/>
  <c r="K8" i="23" s="1"/>
  <c r="K21" i="23"/>
  <c r="K24" i="23"/>
  <c r="K28" i="23"/>
  <c r="K30" i="23"/>
  <c r="K33" i="23"/>
  <c r="K72" i="23"/>
  <c r="G348" i="24"/>
  <c r="G347" i="24"/>
  <c r="G489" i="24"/>
  <c r="G488" i="24"/>
  <c r="G490" i="24" s="1"/>
  <c r="I487" i="24" s="1"/>
  <c r="G484" i="24"/>
  <c r="G483" i="24"/>
  <c r="G481" i="24"/>
  <c r="G477" i="24"/>
  <c r="I475" i="24" s="1"/>
  <c r="G469" i="24"/>
  <c r="G468" i="24"/>
  <c r="G466" i="24"/>
  <c r="G463" i="24"/>
  <c r="G462" i="24"/>
  <c r="G460" i="24"/>
  <c r="G455" i="24"/>
  <c r="G453" i="24"/>
  <c r="G449" i="24"/>
  <c r="I447" i="24" s="1"/>
  <c r="G442" i="24"/>
  <c r="G443" i="24" s="1"/>
  <c r="I440" i="24" s="1"/>
  <c r="G434" i="24"/>
  <c r="G433" i="24"/>
  <c r="G432" i="24"/>
  <c r="G428" i="24"/>
  <c r="I426" i="24" s="1"/>
  <c r="G423" i="24"/>
  <c r="G422" i="24"/>
  <c r="G417" i="24"/>
  <c r="G418" i="24" s="1"/>
  <c r="I415" i="24" s="1"/>
  <c r="G410" i="24"/>
  <c r="I408" i="24" s="1"/>
  <c r="I407" i="24" s="1"/>
  <c r="G404" i="24"/>
  <c r="G403" i="24"/>
  <c r="G402" i="24"/>
  <c r="G401" i="24"/>
  <c r="G397" i="24"/>
  <c r="G396" i="24"/>
  <c r="G392" i="24"/>
  <c r="G391" i="24"/>
  <c r="G393" i="24" s="1"/>
  <c r="I389" i="24" s="1"/>
  <c r="I388" i="24" s="1"/>
  <c r="G385" i="24"/>
  <c r="G384" i="24"/>
  <c r="G378" i="24"/>
  <c r="I375" i="24"/>
  <c r="I374" i="24" s="1"/>
  <c r="G371" i="24"/>
  <c r="G370" i="24"/>
  <c r="G362" i="24"/>
  <c r="G360" i="24"/>
  <c r="G356" i="24"/>
  <c r="G355" i="24"/>
  <c r="G340" i="24"/>
  <c r="I339" i="24" s="1"/>
  <c r="I338" i="24" s="1"/>
  <c r="G336" i="24"/>
  <c r="I335" i="24" s="1"/>
  <c r="G333" i="24"/>
  <c r="I331" i="24" s="1"/>
  <c r="G323" i="24"/>
  <c r="G322" i="24"/>
  <c r="G321" i="24"/>
  <c r="G324" i="24" s="1"/>
  <c r="I320" i="24" s="1"/>
  <c r="I319" i="24" s="1"/>
  <c r="G316" i="24"/>
  <c r="G315" i="24"/>
  <c r="G314" i="24"/>
  <c r="G317" i="24" s="1"/>
  <c r="I312" i="24" s="1"/>
  <c r="G310" i="24"/>
  <c r="I309" i="24" s="1"/>
  <c r="I308" i="24" s="1"/>
  <c r="G305" i="24"/>
  <c r="G304" i="24"/>
  <c r="G303" i="24"/>
  <c r="G306" i="24" s="1"/>
  <c r="G298" i="24"/>
  <c r="G297" i="24"/>
  <c r="G296" i="24"/>
  <c r="G295" i="24"/>
  <c r="G288" i="24"/>
  <c r="I287" i="24" s="1"/>
  <c r="I286" i="24" s="1"/>
  <c r="G282" i="24"/>
  <c r="I277" i="24" s="1"/>
  <c r="G275" i="24"/>
  <c r="I271" i="24" s="1"/>
  <c r="G268" i="24"/>
  <c r="I266" i="24" s="1"/>
  <c r="G263" i="24"/>
  <c r="G264" i="24" s="1"/>
  <c r="I260" i="24" s="1"/>
  <c r="I257" i="24"/>
  <c r="G254" i="24"/>
  <c r="I250" i="24" s="1"/>
  <c r="G247" i="24"/>
  <c r="I243" i="24" s="1"/>
  <c r="I242" i="24" s="1"/>
  <c r="I238" i="24"/>
  <c r="G236" i="24"/>
  <c r="I233" i="24" s="1"/>
  <c r="I232" i="24" s="1"/>
  <c r="G229" i="24"/>
  <c r="G230" i="24" s="1"/>
  <c r="I225" i="24" s="1"/>
  <c r="G223" i="24"/>
  <c r="I221" i="24"/>
  <c r="G216" i="24"/>
  <c r="G217" i="24" s="1"/>
  <c r="I213" i="24" s="1"/>
  <c r="G215" i="24"/>
  <c r="G211" i="24"/>
  <c r="I210" i="24" s="1"/>
  <c r="G207" i="24"/>
  <c r="G206" i="24"/>
  <c r="G205" i="24"/>
  <c r="G200" i="24"/>
  <c r="G199" i="24"/>
  <c r="G198" i="24"/>
  <c r="G193" i="24"/>
  <c r="G192" i="24"/>
  <c r="G187" i="24"/>
  <c r="G186" i="24"/>
  <c r="G188" i="24" s="1"/>
  <c r="G179" i="24"/>
  <c r="G178" i="24"/>
  <c r="G173" i="24"/>
  <c r="G174" i="24" s="1"/>
  <c r="G166" i="24"/>
  <c r="I165" i="24" s="1"/>
  <c r="G161" i="24"/>
  <c r="I160" i="24" s="1"/>
  <c r="G152" i="24"/>
  <c r="G145" i="24"/>
  <c r="I144" i="24" s="1"/>
  <c r="I143" i="24" s="1"/>
  <c r="G137" i="24"/>
  <c r="G154" i="24" s="1"/>
  <c r="G131" i="24"/>
  <c r="G130" i="24"/>
  <c r="G129" i="24"/>
  <c r="G127" i="24"/>
  <c r="G126" i="24"/>
  <c r="G125" i="24"/>
  <c r="G124" i="24"/>
  <c r="I116" i="24"/>
  <c r="G114" i="24"/>
  <c r="I113" i="24" s="1"/>
  <c r="I112" i="24" s="1"/>
  <c r="G109" i="24"/>
  <c r="G151" i="24" s="1"/>
  <c r="I103" i="24"/>
  <c r="I102" i="24"/>
  <c r="I99" i="24"/>
  <c r="I98" i="24"/>
  <c r="I92" i="24"/>
  <c r="G88" i="24"/>
  <c r="G87" i="24"/>
  <c r="G86" i="24"/>
  <c r="G82" i="24"/>
  <c r="G81" i="24"/>
  <c r="G80" i="24"/>
  <c r="G75" i="24"/>
  <c r="G74" i="24"/>
  <c r="G72" i="24"/>
  <c r="G70" i="24"/>
  <c r="G65" i="24"/>
  <c r="I62" i="24" s="1"/>
  <c r="G60" i="24"/>
  <c r="I56" i="24" s="1"/>
  <c r="G54" i="24"/>
  <c r="I52" i="24" s="1"/>
  <c r="I51" i="24" s="1"/>
  <c r="G49" i="24"/>
  <c r="I48" i="24" s="1"/>
  <c r="G45" i="24"/>
  <c r="I44" i="24" s="1"/>
  <c r="G40" i="24"/>
  <c r="G39" i="24"/>
  <c r="G38" i="24"/>
  <c r="G37" i="24"/>
  <c r="I27" i="24"/>
  <c r="I17" i="24"/>
  <c r="I11" i="24"/>
  <c r="B11" i="24"/>
  <c r="K9" i="25" l="1"/>
  <c r="K41" i="25"/>
  <c r="K53" i="25"/>
  <c r="K16" i="25"/>
  <c r="K24" i="25"/>
  <c r="K28" i="25"/>
  <c r="K32" i="25"/>
  <c r="K36" i="25"/>
  <c r="K52" i="25"/>
  <c r="K14" i="25"/>
  <c r="K18" i="25"/>
  <c r="K26" i="25"/>
  <c r="K34" i="25"/>
  <c r="K38" i="25"/>
  <c r="K42" i="25"/>
  <c r="K46" i="25"/>
  <c r="K54" i="25"/>
  <c r="K58" i="25"/>
  <c r="K62" i="25"/>
  <c r="K70" i="25"/>
  <c r="K74" i="25"/>
  <c r="K80" i="25"/>
  <c r="K78" i="25"/>
  <c r="K77" i="25"/>
  <c r="K73" i="25"/>
  <c r="K72" i="25"/>
  <c r="K69" i="25"/>
  <c r="K68" i="25"/>
  <c r="K65" i="25"/>
  <c r="K64" i="25"/>
  <c r="K61" i="25"/>
  <c r="K60" i="25"/>
  <c r="K56" i="25"/>
  <c r="K49" i="25"/>
  <c r="K45" i="25"/>
  <c r="K44" i="25"/>
  <c r="K33" i="25"/>
  <c r="K29" i="25"/>
  <c r="K25" i="25"/>
  <c r="K22" i="25"/>
  <c r="K17" i="25"/>
  <c r="K13" i="25"/>
  <c r="K12" i="25"/>
  <c r="K15" i="25"/>
  <c r="K19" i="25"/>
  <c r="K23" i="25"/>
  <c r="K27" i="25"/>
  <c r="K31" i="25"/>
  <c r="K39" i="25"/>
  <c r="K47" i="25"/>
  <c r="K55" i="25"/>
  <c r="K59" i="25"/>
  <c r="K63" i="25"/>
  <c r="K67" i="25"/>
  <c r="K71" i="25"/>
  <c r="K79" i="25"/>
  <c r="K8" i="25"/>
  <c r="K82" i="23"/>
  <c r="G7" i="22" s="1"/>
  <c r="G194" i="24"/>
  <c r="I270" i="24"/>
  <c r="I330" i="24"/>
  <c r="G357" i="24"/>
  <c r="I354" i="24" s="1"/>
  <c r="I353" i="24" s="1"/>
  <c r="G470" i="24"/>
  <c r="G132" i="24"/>
  <c r="G153" i="24" s="1"/>
  <c r="G155" i="24" s="1"/>
  <c r="G83" i="24"/>
  <c r="I78" i="24" s="1"/>
  <c r="G201" i="24"/>
  <c r="I197" i="24" s="1"/>
  <c r="I196" i="24" s="1"/>
  <c r="G89" i="24"/>
  <c r="I85" i="24" s="1"/>
  <c r="G299" i="24"/>
  <c r="I294" i="24" s="1"/>
  <c r="G405" i="24"/>
  <c r="I400" i="24" s="1"/>
  <c r="I164" i="24"/>
  <c r="G372" i="24"/>
  <c r="I369" i="24" s="1"/>
  <c r="I368" i="24" s="1"/>
  <c r="G398" i="24"/>
  <c r="I395" i="24" s="1"/>
  <c r="G456" i="24"/>
  <c r="I451" i="24" s="1"/>
  <c r="G485" i="24"/>
  <c r="I479" i="24" s="1"/>
  <c r="I474" i="24" s="1"/>
  <c r="G349" i="24"/>
  <c r="I346" i="24" s="1"/>
  <c r="I345" i="24" s="1"/>
  <c r="G42" i="24"/>
  <c r="I35" i="24" s="1"/>
  <c r="G180" i="24"/>
  <c r="I176" i="24" s="1"/>
  <c r="G386" i="24"/>
  <c r="I383" i="24" s="1"/>
  <c r="I382" i="24" s="1"/>
  <c r="G208" i="24"/>
  <c r="I204" i="24" s="1"/>
  <c r="I203" i="24" s="1"/>
  <c r="G435" i="24"/>
  <c r="I430" i="24" s="1"/>
  <c r="G464" i="24"/>
  <c r="I458" i="24" s="1"/>
  <c r="G76" i="24"/>
  <c r="I67" i="24" s="1"/>
  <c r="I108" i="24"/>
  <c r="I134" i="24"/>
  <c r="I159" i="24"/>
  <c r="G364" i="24"/>
  <c r="I359" i="24" s="1"/>
  <c r="G424" i="24"/>
  <c r="I420" i="24" s="1"/>
  <c r="I414" i="24" s="1"/>
  <c r="I184" i="24"/>
  <c r="I185" i="24"/>
  <c r="I68" i="24"/>
  <c r="I168" i="24"/>
  <c r="I169" i="24"/>
  <c r="I122" i="24"/>
  <c r="I121" i="24" s="1"/>
  <c r="I191" i="24"/>
  <c r="I190" i="24"/>
  <c r="I293" i="24"/>
  <c r="I302" i="24"/>
  <c r="I301" i="24"/>
  <c r="I214" i="24"/>
  <c r="I47" i="24"/>
  <c r="I313" i="24"/>
  <c r="B13" i="24"/>
  <c r="K82" i="25" l="1"/>
  <c r="K83" i="25" s="1"/>
  <c r="K84" i="25" s="1"/>
  <c r="K83" i="23"/>
  <c r="K84" i="23" s="1"/>
  <c r="I177" i="24"/>
  <c r="I401" i="24"/>
  <c r="B15" i="24"/>
  <c r="I149" i="24"/>
  <c r="I13" i="24"/>
  <c r="I150" i="24"/>
  <c r="B17" i="24"/>
  <c r="B25" i="24" l="1"/>
  <c r="I7" i="22" l="1"/>
  <c r="I8" i="22" s="1"/>
  <c r="G8" i="22"/>
  <c r="B27" i="24"/>
  <c r="B35" i="24" s="1"/>
  <c r="K7" i="22" l="1"/>
  <c r="K8" i="22" s="1"/>
  <c r="B44" i="24"/>
  <c r="B47" i="24" s="1"/>
  <c r="B51" i="24" s="1"/>
  <c r="B56" i="24" l="1"/>
  <c r="B62" i="24" s="1"/>
  <c r="B67" i="24" s="1"/>
  <c r="B78" i="24" l="1"/>
  <c r="B85" i="24" s="1"/>
  <c r="B92" i="24" s="1"/>
  <c r="B98" i="24" s="1"/>
  <c r="B102" i="24" s="1"/>
  <c r="B108" i="24" s="1"/>
  <c r="B112" i="24" s="1"/>
  <c r="B116" i="24" l="1"/>
  <c r="B121" i="24" s="1"/>
  <c r="B134" i="24" s="1"/>
  <c r="B139" i="24" l="1"/>
  <c r="B143" i="24" s="1"/>
  <c r="B149" i="24" s="1"/>
  <c r="B159" i="24" s="1"/>
  <c r="B164" i="24" s="1"/>
  <c r="B168" i="24" s="1"/>
  <c r="B176" i="24" s="1"/>
  <c r="B184" i="24" s="1"/>
  <c r="B190" i="24" s="1"/>
  <c r="B196" i="24" s="1"/>
  <c r="B203" i="24" s="1"/>
  <c r="B210" i="24" s="1"/>
  <c r="B213" i="24" s="1"/>
  <c r="B221" i="24" s="1"/>
  <c r="B225" i="24" s="1"/>
  <c r="B232" i="24" l="1"/>
  <c r="B238" i="24" s="1"/>
  <c r="B242" i="24" s="1"/>
  <c r="B250" i="24" s="1"/>
  <c r="B257" i="24" s="1"/>
  <c r="B260" i="24" l="1"/>
  <c r="B266" i="24" s="1"/>
  <c r="B270" i="24" l="1"/>
  <c r="B277" i="24" s="1"/>
  <c r="B286" i="24" s="1"/>
  <c r="B293" i="24" l="1"/>
  <c r="B301" i="24" s="1"/>
  <c r="B308" i="24" s="1"/>
  <c r="B312" i="24" s="1"/>
  <c r="B319" i="24" s="1"/>
  <c r="B326" i="24" s="1"/>
  <c r="B330" i="24" s="1"/>
  <c r="B338" i="24" s="1"/>
  <c r="B345" i="24" l="1"/>
  <c r="B353" i="24" s="1"/>
  <c r="B359" i="24" s="1"/>
  <c r="B368" i="24" s="1"/>
  <c r="B374" i="24" s="1"/>
  <c r="B382" i="24" s="1"/>
  <c r="B388" i="24" s="1"/>
  <c r="B395" i="24" s="1"/>
  <c r="B400" i="24" s="1"/>
  <c r="B407" i="24" s="1"/>
  <c r="B414" i="24" s="1"/>
  <c r="B426" i="24" s="1"/>
  <c r="B430" i="24" s="1"/>
  <c r="B440" i="24" s="1"/>
  <c r="B447" i="24" l="1"/>
  <c r="B451" i="24" s="1"/>
  <c r="B458" i="24" s="1"/>
  <c r="B474" i="24" s="1"/>
  <c r="F343" i="19" l="1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F202" i="19" l="1"/>
  <c r="H198" i="19" s="1"/>
  <c r="F241" i="19" l="1"/>
  <c r="H204" i="19"/>
  <c r="F258" i="19"/>
  <c r="H257" i="19" s="1"/>
  <c r="F250" i="19" l="1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F229" i="19" l="1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F54" i="19" l="1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9" i="18" s="1"/>
  <c r="F544" i="18"/>
  <c r="H543" i="18" s="1"/>
  <c r="F77" i="18"/>
  <c r="H76" i="18" s="1"/>
  <c r="F514" i="18"/>
  <c r="F513" i="18"/>
  <c r="F316" i="18"/>
  <c r="A62" i="19" l="1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</calcChain>
</file>

<file path=xl/sharedStrings.xml><?xml version="1.0" encoding="utf-8"?>
<sst xmlns="http://schemas.openxmlformats.org/spreadsheetml/2006/main" count="3220" uniqueCount="991">
  <si>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</si>
  <si>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</si>
  <si>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</si>
  <si>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</si>
  <si>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</si>
  <si>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</si>
  <si>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</si>
  <si>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</si>
  <si>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</si>
  <si>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</si>
  <si>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</si>
  <si>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</si>
  <si>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</si>
  <si>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</si>
  <si>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</si>
  <si>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</si>
  <si>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</si>
  <si>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</si>
  <si>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</si>
  <si>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</si>
  <si>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</si>
  <si>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</si>
  <si>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</si>
  <si>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</si>
  <si>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</si>
  <si>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</si>
  <si>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</si>
  <si>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</si>
  <si>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</si>
  <si>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</si>
  <si>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</si>
  <si>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</si>
  <si>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</si>
  <si>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</si>
  <si>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</si>
  <si>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</si>
  <si>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</si>
  <si>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</si>
  <si>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</si>
  <si>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</si>
  <si>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</si>
  <si>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</si>
  <si>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</si>
  <si>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</si>
  <si>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</si>
  <si>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</si>
  <si>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</si>
  <si>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</si>
  <si>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</si>
  <si>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</si>
  <si>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</si>
  <si>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</si>
  <si>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</si>
  <si>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</si>
  <si>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</si>
  <si>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</si>
  <si>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</si>
  <si>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</si>
  <si>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</si>
  <si>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</si>
  <si>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</si>
  <si>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</si>
  <si>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</si>
  <si>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</si>
  <si>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</si>
  <si>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</si>
  <si>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</si>
  <si>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</si>
  <si>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</si>
  <si>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</si>
  <si>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</si>
  <si>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</si>
  <si>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</si>
  <si>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</si>
  <si>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</si>
  <si>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</si>
  <si>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</si>
  <si>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</si>
  <si>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</si>
  <si>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</si>
  <si>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</si>
  <si>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</si>
  <si>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</si>
  <si>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</si>
  <si>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</si>
  <si>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</si>
  <si>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</si>
  <si>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</si>
  <si>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</si>
  <si>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</si>
  <si>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</si>
  <si>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</si>
  <si>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</si>
  <si>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</si>
  <si>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</si>
  <si>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</si>
  <si>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</si>
  <si>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</si>
  <si>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</si>
  <si>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</si>
  <si>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</si>
  <si>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</si>
  <si>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</si>
  <si>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</si>
  <si>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</si>
  <si>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</si>
  <si>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</si>
  <si>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</si>
  <si>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</si>
  <si>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</si>
  <si>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</si>
  <si>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</si>
  <si>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</si>
  <si>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</si>
  <si>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</si>
  <si>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</si>
  <si>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</si>
  <si>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</si>
  <si>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</si>
  <si>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</si>
  <si>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</si>
  <si>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</si>
  <si>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</si>
  <si>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</si>
  <si>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</si>
  <si>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</si>
  <si>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</si>
  <si>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</si>
  <si>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</si>
  <si>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</si>
  <si>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</si>
  <si>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</si>
  <si>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</si>
  <si>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</si>
  <si>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</si>
  <si>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</si>
  <si>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</si>
  <si>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</si>
  <si>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</si>
  <si>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</si>
  <si>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</si>
  <si>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</si>
  <si>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</si>
  <si>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</si>
  <si>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</si>
  <si>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</si>
  <si>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</si>
  <si>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</si>
  <si>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</si>
  <si>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</si>
  <si>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</si>
  <si>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</si>
  <si>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</si>
  <si>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</si>
  <si>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</si>
  <si>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</si>
  <si>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</si>
  <si>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</si>
  <si>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</si>
  <si>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</si>
  <si>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</si>
  <si>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</si>
  <si>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</si>
  <si>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</si>
  <si>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</si>
  <si>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</si>
  <si>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</si>
  <si>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</si>
  <si>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</si>
  <si>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</si>
  <si>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</si>
  <si>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</si>
  <si>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</si>
  <si>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</si>
  <si>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</si>
  <si>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</si>
  <si>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</si>
  <si>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</si>
  <si>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</si>
  <si>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</si>
  <si>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</si>
  <si>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</si>
  <si>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</si>
  <si>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</si>
  <si>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</si>
  <si>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</si>
  <si>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</si>
  <si>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</si>
  <si>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</si>
  <si>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</si>
  <si>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</si>
  <si>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</si>
  <si>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</si>
  <si>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</si>
  <si>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</si>
  <si>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</si>
  <si>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</si>
  <si>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</si>
  <si>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</si>
  <si>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</si>
  <si>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</si>
  <si>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</si>
  <si>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</si>
  <si>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</si>
  <si>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</si>
  <si>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</si>
  <si>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</si>
  <si>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</si>
  <si>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</si>
  <si>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</si>
  <si>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</si>
  <si>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</si>
  <si>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</si>
  <si>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</si>
  <si>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</si>
  <si>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</si>
  <si>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</si>
  <si>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</si>
  <si>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</si>
  <si>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</si>
  <si>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</si>
  <si>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</si>
  <si>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</si>
  <si>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</si>
  <si>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</si>
  <si>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</si>
  <si>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</si>
  <si>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</si>
  <si>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</si>
  <si>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</si>
  <si>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</si>
  <si>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</si>
  <si>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</si>
  <si>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</si>
  <si>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</si>
  <si>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</si>
  <si>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</si>
  <si>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</si>
  <si>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</si>
  <si>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</si>
  <si>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</si>
  <si>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</si>
  <si>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</si>
  <si>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</si>
  <si>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</si>
  <si>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</si>
  <si>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</si>
  <si>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</si>
  <si>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</si>
  <si>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</si>
  <si>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</si>
  <si>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</si>
  <si>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</si>
  <si>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</si>
  <si>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</si>
  <si>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</si>
  <si>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</si>
  <si>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</si>
  <si>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</si>
  <si>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</si>
  <si>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</si>
  <si>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</si>
  <si>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</si>
  <si>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</si>
  <si>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</si>
  <si>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</si>
  <si>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</si>
  <si>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</si>
  <si>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</si>
  <si>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</si>
  <si>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</si>
  <si>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</si>
  <si>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</si>
  <si>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</si>
  <si>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</si>
  <si>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</si>
  <si>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</si>
  <si>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</si>
  <si>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</si>
  <si>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</si>
  <si>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</si>
  <si>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</si>
  <si>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</si>
  <si>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</si>
  <si>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</si>
  <si>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</si>
  <si>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</si>
  <si>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</si>
  <si>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</si>
  <si>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</si>
  <si>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</si>
  <si>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</si>
  <si>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</si>
  <si>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</si>
  <si>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</si>
  <si>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</si>
  <si>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</si>
  <si>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</si>
  <si>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</si>
  <si>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</si>
  <si>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</si>
  <si>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</si>
  <si>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</si>
  <si>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</si>
  <si>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</si>
  <si>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</si>
  <si>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</si>
  <si>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</si>
  <si>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</si>
  <si>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</si>
  <si>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</si>
  <si>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</si>
  <si>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</si>
  <si>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</si>
  <si>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</si>
  <si>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</si>
  <si>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</si>
  <si>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</si>
  <si>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</si>
  <si>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</si>
  <si>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</si>
  <si>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</si>
  <si>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</si>
  <si>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</si>
  <si>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</si>
  <si>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</si>
  <si>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</si>
  <si>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</si>
  <si>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</si>
  <si>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</si>
  <si>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</si>
  <si>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</si>
  <si>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</si>
  <si>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</si>
  <si>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</si>
  <si>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</si>
  <si>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</si>
  <si>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</si>
  <si>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</si>
  <si>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</si>
  <si>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</si>
  <si>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</si>
  <si>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</si>
  <si>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</si>
  <si>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</si>
  <si>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</si>
  <si>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</si>
  <si>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</si>
  <si>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</si>
  <si>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</si>
  <si>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</si>
  <si>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</si>
  <si>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</si>
  <si>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</si>
  <si>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</si>
  <si>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</si>
  <si>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</si>
  <si>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</si>
  <si>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</si>
  <si>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</si>
  <si>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</si>
  <si>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</si>
  <si>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</si>
  <si>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</si>
  <si>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</si>
  <si>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</si>
  <si>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</si>
  <si>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</si>
  <si>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</si>
  <si>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</si>
  <si>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</si>
  <si>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</si>
  <si>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</si>
  <si>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</si>
  <si>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</si>
  <si>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</si>
  <si>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</si>
  <si>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</si>
  <si>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</si>
  <si>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</si>
  <si>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</si>
  <si>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</si>
  <si>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</si>
  <si>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</si>
  <si>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</si>
  <si>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</si>
  <si>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</si>
  <si>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</si>
  <si>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</si>
  <si>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</si>
  <si>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</si>
  <si>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</si>
  <si>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</si>
  <si>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</si>
  <si>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</si>
  <si>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</si>
  <si>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</si>
  <si>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</si>
  <si>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</si>
  <si>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</si>
  <si>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</si>
  <si>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</si>
  <si>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</si>
  <si>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</si>
  <si>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</si>
  <si>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</si>
  <si>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</si>
  <si>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</si>
  <si>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</si>
  <si>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</si>
  <si>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</si>
  <si>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</si>
  <si>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</si>
  <si>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</si>
  <si>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</si>
  <si>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</si>
  <si>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</si>
  <si>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</si>
  <si>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</si>
  <si>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</si>
  <si>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</si>
  <si>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</si>
  <si>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</si>
  <si>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</si>
  <si>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</si>
  <si>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</si>
  <si>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</si>
  <si>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</si>
  <si>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</si>
  <si>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</si>
  <si>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</si>
  <si>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</si>
  <si>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</si>
  <si>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</si>
  <si>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</si>
  <si>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</si>
  <si>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</si>
  <si>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</si>
  <si>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</si>
  <si>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</si>
  <si>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</si>
  <si>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</si>
  <si>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</si>
  <si>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</si>
  <si>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</si>
  <si>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</si>
  <si>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</si>
  <si>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</si>
  <si>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</si>
  <si>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</si>
  <si>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</si>
  <si>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</si>
  <si>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</si>
  <si>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</si>
  <si>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</si>
  <si>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</si>
  <si>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</si>
  <si>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</si>
  <si>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</si>
  <si>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</si>
  <si>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</si>
  <si>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</si>
  <si>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</si>
  <si>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</si>
  <si>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</si>
  <si>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</si>
  <si>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</si>
  <si>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</si>
  <si>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</si>
  <si>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</si>
  <si>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</si>
  <si>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</si>
  <si>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</si>
  <si>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</si>
  <si>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</si>
  <si>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</si>
  <si>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</si>
  <si>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</si>
  <si>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</si>
  <si>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</si>
  <si>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</si>
  <si>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</si>
  <si>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</si>
  <si>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</si>
  <si>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</si>
  <si>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</si>
  <si>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</si>
  <si>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</si>
  <si>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</si>
  <si>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</si>
  <si>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</si>
  <si>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</si>
  <si>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</si>
  <si>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</si>
  <si>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</si>
  <si>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</si>
  <si>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</si>
  <si>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</si>
  <si>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</si>
  <si>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</si>
  <si>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</si>
  <si>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</si>
  <si>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</si>
  <si>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</si>
  <si>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</si>
  <si>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</si>
  <si>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</si>
  <si>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</si>
  <si>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</si>
  <si>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</si>
  <si>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</si>
  <si>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</si>
  <si>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</si>
  <si>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</si>
  <si>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</si>
  <si>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</si>
  <si>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</si>
  <si>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</si>
  <si>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</si>
  <si>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</si>
  <si>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</si>
  <si>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</si>
  <si>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</si>
  <si>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</si>
  <si>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</si>
  <si>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</si>
  <si>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</si>
  <si>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</si>
  <si>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</si>
  <si>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</si>
  <si>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</si>
  <si>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</si>
  <si>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</si>
  <si>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</si>
  <si>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</si>
  <si>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</si>
  <si>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</si>
  <si>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</si>
  <si>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</si>
  <si>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</si>
  <si>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</si>
  <si>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</si>
  <si>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</si>
  <si>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</si>
  <si>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</si>
  <si>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</si>
  <si>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</si>
  <si>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</si>
  <si>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</si>
  <si>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</si>
  <si>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</si>
  <si>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</si>
  <si>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</si>
  <si>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</si>
  <si>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</si>
  <si>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</si>
  <si>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</si>
  <si>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</si>
  <si>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</si>
  <si>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</si>
  <si>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</si>
  <si>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</si>
  <si>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</si>
  <si>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</si>
  <si>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</si>
  <si>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</si>
  <si>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</si>
  <si>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</si>
  <si>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</si>
  <si>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</si>
  <si>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</si>
  <si>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</si>
  <si>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</si>
  <si>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</si>
  <si>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</si>
  <si>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</si>
  <si>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</si>
  <si>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</si>
  <si>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</si>
  <si>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</si>
  <si>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</si>
  <si>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</si>
  <si>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</si>
  <si>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</si>
  <si>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</si>
  <si>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</si>
  <si>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</si>
  <si>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</si>
  <si>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</si>
  <si>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</si>
  <si>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</si>
  <si>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</si>
  <si>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</si>
  <si>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</si>
  <si>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</si>
  <si>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</si>
  <si>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</si>
  <si>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</si>
  <si>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</si>
  <si>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</si>
  <si>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</si>
  <si>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</si>
  <si>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</si>
  <si>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</si>
  <si>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</si>
  <si>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</si>
  <si>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</si>
  <si>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</si>
  <si>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</si>
  <si>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</si>
  <si>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</si>
  <si>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</si>
  <si>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</si>
  <si>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</si>
  <si>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</si>
  <si>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</si>
  <si>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</si>
  <si>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</si>
  <si>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</si>
  <si>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</si>
  <si>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</si>
  <si>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</si>
  <si>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</si>
  <si>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</si>
  <si>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</si>
  <si>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</si>
  <si>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</si>
  <si>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</si>
  <si>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</si>
  <si>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</si>
  <si>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</si>
  <si>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</si>
  <si>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</si>
  <si>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</si>
  <si>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</si>
  <si>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</si>
  <si>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</si>
  <si>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</si>
  <si>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</si>
  <si>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</si>
  <si>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</si>
  <si>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</si>
  <si>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</si>
  <si>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</si>
  <si>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</si>
  <si>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</si>
  <si>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</si>
  <si>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</si>
  <si>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</si>
  <si>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</si>
  <si>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</si>
  <si>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</si>
  <si>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</si>
  <si>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</si>
  <si>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</si>
  <si>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</si>
  <si>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</si>
  <si>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</si>
  <si>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</si>
  <si>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</si>
  <si>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</si>
  <si>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</si>
  <si>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</si>
  <si>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</si>
  <si>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</si>
  <si>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</si>
  <si>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</si>
  <si>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</si>
  <si>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</si>
  <si>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</si>
  <si>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</si>
  <si>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</si>
  <si>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</si>
  <si>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</si>
  <si>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</si>
  <si>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</si>
  <si>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</si>
  <si>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</si>
  <si>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</si>
  <si>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</si>
  <si>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</si>
  <si>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</si>
  <si>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</si>
  <si>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</si>
  <si>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</si>
  <si>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</si>
  <si>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</si>
  <si>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</si>
  <si>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</si>
  <si>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</si>
  <si>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</si>
  <si>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</si>
  <si>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</si>
  <si>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</si>
  <si>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</si>
  <si>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</si>
  <si>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</si>
  <si>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</si>
  <si>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</si>
  <si>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</si>
  <si>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</si>
  <si>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</si>
  <si>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</si>
  <si>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</si>
  <si>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</si>
  <si>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</si>
  <si>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</si>
  <si>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</si>
  <si>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</si>
  <si>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</si>
  <si>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</si>
  <si>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</si>
  <si>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</si>
  <si>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</si>
  <si>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</si>
  <si>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</si>
  <si>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>odstránenie podkladov vozovky v mieste prechodových klinov   :</t>
  </si>
  <si>
    <t xml:space="preserve">odstránenie jestvujúceho pravostranného zábradlia : </t>
  </si>
  <si>
    <t xml:space="preserve">odstránenie jestvujúceho ľavostranného zábradlia : </t>
  </si>
  <si>
    <t>záverný múrik :</t>
  </si>
  <si>
    <t>1xpenetračný náter+2x asfaltový náter za studena na ploche :</t>
  </si>
  <si>
    <t xml:space="preserve">náter stien a okolia vrtu pre odvodnenie povrchu izolácie: </t>
  </si>
  <si>
    <t xml:space="preserve">ochranný a zjednocujúci náter spodného povrchu nosníkov: </t>
  </si>
  <si>
    <t xml:space="preserve">ochranný a zjednocujúci náter bočného povrchu nosníkov: </t>
  </si>
  <si>
    <t>Oprava mosta ev.č. 50-069 cez Žitkovský potok, Drietoma</t>
  </si>
  <si>
    <t>SO 02 Most ev. č. 50-069 cz Žitkovský potok, Drietoma</t>
  </si>
  <si>
    <t>spádová betonová vrstva pod izoláciou : 0,12*9,36*10,35</t>
  </si>
  <si>
    <t>záverný múrik : 2*(0,3*0,65*8,8)</t>
  </si>
  <si>
    <t>odstránenie izolácie mostovky:  (9,36*10,35)*1,2</t>
  </si>
  <si>
    <t>ľavá strana : 15,0*(0,38*0,65)</t>
  </si>
  <si>
    <t>pravá strana :14,5*(0,38*0,65)</t>
  </si>
  <si>
    <t xml:space="preserve">Odstránenie kamenných obrubníkov pozdĺž ríms-ľavá strana :  </t>
  </si>
  <si>
    <t xml:space="preserve">Odstránenie kamenných obrubníkov pozdĺž ríms-pravá strana :  </t>
  </si>
  <si>
    <t>odstránenie bituménových vrstiev vozovky: plocha 293,92+200,64 +(2x176); predpoklad štyri vrstvy po 4 cm</t>
  </si>
  <si>
    <t>vrty pre výstuž záverného múrika v.č. 04  : dlžka 30cm , počet 264ks</t>
  </si>
  <si>
    <t>vrty pre spriahujúcu dosku - výkres č.07 ; pol.č. 2.;  360ks</t>
  </si>
  <si>
    <t>vrty pre úpravu krídiel - výkres č.07 ; pol.č. 3.;  86ks</t>
  </si>
  <si>
    <t>prečistenie koryta rieky pod mostom : odhad 3,0m2 x20=60m3</t>
  </si>
  <si>
    <t>paženie-zaistenie výkopu pri oporách počas jednotlivých etáp(dlžka paženia 2x6,0m)</t>
  </si>
  <si>
    <t>2x(1,8m2 * 8,8m)</t>
  </si>
  <si>
    <t>záverný múrik : 2*8,75*0,65*0,4</t>
  </si>
  <si>
    <t xml:space="preserve"> výkr. č. 4 ; pol. č.1 až č.5</t>
  </si>
  <si>
    <t>ľavostranná rímsa  15*0,245*0,9</t>
  </si>
  <si>
    <t>pravostranná rímsa  14,50*0,245*0,9</t>
  </si>
  <si>
    <t>ľavostranná rímsa 2*15*0,245+2*0,9*0,245</t>
  </si>
  <si>
    <t>pravostranná rímsa 2*14,5*0,245+2*0,9*0,245</t>
  </si>
  <si>
    <t>oceľ B500B: 873,56kg</t>
  </si>
  <si>
    <t>kotvy : 205,92 kg</t>
  </si>
  <si>
    <t>spriahujúca doska  (1,35m2x9,36=12,64m3</t>
  </si>
  <si>
    <t>spriahujúca doska : 0,15x(10,35+9,36+10,35+9,36)</t>
  </si>
  <si>
    <t>výstuž spriahajúcej dosky  (oceľ B500B) 634,05kg</t>
  </si>
  <si>
    <t>2*(2,0m2*8,8)</t>
  </si>
  <si>
    <t>dodávka a montáž v zmysle PD v.č. 12; vrátane oplechovania ríms</t>
  </si>
  <si>
    <t>21250426</t>
  </si>
  <si>
    <t>Doplňujúce konštrukcie dilatačné zariadenia mostné závery povrchové posun</t>
  </si>
  <si>
    <t>2125042601</t>
  </si>
  <si>
    <t>Doplňujúce konštrukcie, dilatačné zariadenia, mostné závery povrchové posun do 60 mm</t>
  </si>
  <si>
    <t>nad oporou č.1</t>
  </si>
  <si>
    <t>nad oporou č.2</t>
  </si>
  <si>
    <t>dočasné zábradlie na okrajoch NK 14,5+15,0m</t>
  </si>
  <si>
    <t>vrátane povrchovej úpravy tŕňov vrubového kĺbu pre prechodovú dosku podľa PD</t>
  </si>
  <si>
    <t>prechodová doska pri opore č.1 = 8,6*4,0*0,25</t>
  </si>
  <si>
    <t>prechodová doska pri opore č.2 = 8,6*4,0*0,25</t>
  </si>
  <si>
    <t>podkladný betón C8/10 = (8,6+8,6)*4,0*0,1</t>
  </si>
  <si>
    <t>prechodová doska pri opore č.1 = (8,6+4,0)*0,25*2</t>
  </si>
  <si>
    <t>prechodová doska pri opore č.2 = (8,6+4,0)*0,25*2</t>
  </si>
  <si>
    <t>podkladný betón = (8,6+8,6+2*4,0)*2*0,1</t>
  </si>
  <si>
    <t>úprava krídiel: 0,32m3+0,36m3+0,31m3+0,32m3</t>
  </si>
  <si>
    <t>vrátane osadenia všetkých chráničiek pre prechod odvodnenia, okapových drážok a pod.</t>
  </si>
  <si>
    <t xml:space="preserve">vrátane povrchovej úpravy </t>
  </si>
  <si>
    <r>
      <t xml:space="preserve">zváraná sieť </t>
    </r>
    <r>
      <rPr>
        <i/>
        <sz val="10"/>
        <rFont val="Arial"/>
        <family val="2"/>
        <charset val="238"/>
      </rPr>
      <t>Φ</t>
    </r>
    <r>
      <rPr>
        <i/>
        <sz val="10"/>
        <rFont val="Arial CE"/>
        <family val="2"/>
        <charset val="238"/>
      </rPr>
      <t>8 mm oká 100x100 mm : 1714,30kg+102,38kg</t>
    </r>
  </si>
  <si>
    <t>vrubový kĺb pre uloženie prech.dosky pri opore č.1</t>
  </si>
  <si>
    <t>vrubový kĺb pre uloženie prech.dosky pri opore č.2</t>
  </si>
  <si>
    <t>zábradeľné zvodidlo s vodorovnou výplňou pre úroveň zachytenia H2 na ľavostrannej a pravostrannej rímse</t>
  </si>
  <si>
    <t>ĽS = 32,0m</t>
  </si>
  <si>
    <t>PS = 32,0m</t>
  </si>
  <si>
    <t>21250208</t>
  </si>
  <si>
    <t>Doplňujúce konštrukcie, zábradlia kompozitné</t>
  </si>
  <si>
    <t>zábradlie pozdĺž prístupového schodiska pri opore č.1</t>
  </si>
  <si>
    <t>zábradlie pozdĺž prístupového schodiska pri opore č.2</t>
  </si>
  <si>
    <t>výplň škáry medzi oporou a prechodovou doskou</t>
  </si>
  <si>
    <t xml:space="preserve">   (8,8+8,8)*0,25</t>
  </si>
  <si>
    <t>tesniaca zálievka  s predtesnení 20 mm , medzi obrubníkom a rímsou  : 15,0+1,5+1,5+14,5+1,5+1,5</t>
  </si>
  <si>
    <t>odvodňovacie rúrky DN 50 mm s drenážnou vpusťou 400x400 mm - odvodnenie povrchu izolácie vrátane jadrového vrtu cez nosnú konštrukciu priemeru 60 mm dĺžky 500 mm, steny a okolie vrtu natreté náterom v zmysle PD</t>
  </si>
  <si>
    <t>vrátane beton.lôžka hr. 150 mm</t>
  </si>
  <si>
    <t>kamenná dlažba hr. 250 mm : (3,0*2,35*2)+(1,5*10,35))*2</t>
  </si>
  <si>
    <t>podkladový beton rigol:( 5,0+5,0)*0,1*0,5m</t>
  </si>
  <si>
    <t>podkladový beton pod prechodovú dosku : 8,7*4,0*2*0,1m</t>
  </si>
  <si>
    <t>vrátane 4 ks tvaroky pre odvodnenie povrchu izolácie s s voľným vyústením pod NK</t>
  </si>
  <si>
    <t>ochrana izolácie pod rímsami  :1,0*(15,0+14,5)</t>
  </si>
  <si>
    <t>presah na prechodove dosky 1,0*10,35*2</t>
  </si>
  <si>
    <t xml:space="preserve">natavovacia asfaltová izolácia mostovky :10,35*9,36 </t>
  </si>
  <si>
    <t>zapečaťujúca vrstva mostovky (kotevno-impregnačný náter a zapečaťujúci náter)  : = 10,35*9,36m</t>
  </si>
  <si>
    <t>bočne ploch prechodovej dosky : = 0,25*(4,0+4,0+8,6)*2</t>
  </si>
  <si>
    <t>prechodové dosky = (8,6+8,6)*4,0</t>
  </si>
  <si>
    <t>kamenné obrubníky = 4*1,5m</t>
  </si>
  <si>
    <t>2225098001</t>
  </si>
  <si>
    <t>Doplňujúce konštrukcie,  obrubníky chodníkové betónové</t>
  </si>
  <si>
    <t>lemovanie dlažby okolo mosta</t>
  </si>
  <si>
    <t>4*(1,5+0,9)</t>
  </si>
  <si>
    <t>2225116102</t>
  </si>
  <si>
    <t>Doplňujúce konštrukcie,  otvorené žľaby z betónových tvárnic š. nad 500 mm</t>
  </si>
  <si>
    <t>odvodňovací žľab za krídlom = 5,0+5,0</t>
  </si>
  <si>
    <t>styk rímsy a vozovky = 15,0+14,5</t>
  </si>
  <si>
    <t>styk  prechododvej dosky s oporou = 8,6+8,6</t>
  </si>
  <si>
    <t>styk vozovky a mostných záverov = (8,8+8,8)*2*2</t>
  </si>
  <si>
    <t>drenáž pri tvarovkách pre odvod. Izol. = 0,5*0,5*4</t>
  </si>
  <si>
    <t>drenážny kanálik v osi odvodnenia = 2*9,36*0,1</t>
  </si>
  <si>
    <t>drenážny kanálik pri MZ = 8,30*0,1</t>
  </si>
  <si>
    <t>1109020106</t>
  </si>
  <si>
    <t>Schodiskové konštrukcie, stupne z betónu prostého, tr. C 25/30 (B 30)</t>
  </si>
  <si>
    <t>stupne pre prístupové schodisko pri opore č.1 = 0,25*0,75*2,8</t>
  </si>
  <si>
    <t>stupne pre prístupové schodisko pri opore č.2 = 0,25*0,75*2,8</t>
  </si>
  <si>
    <t>debnenie podkladného betónu prístupových schodov</t>
  </si>
  <si>
    <t>spolu:</t>
  </si>
  <si>
    <t>opora č.2 = 0,35*2*(0,75*2,8)+ 0,35*0,75*11</t>
  </si>
  <si>
    <t>opora č.1 = 0,35*2*(0,75+2,8)+0,35*0,75*11</t>
  </si>
  <si>
    <t>podkladný betón pod schodiskové stupne = 0,85*(2,8+2,8)*0,1</t>
  </si>
  <si>
    <t>vystuženie podkladu podschodiskové stupne</t>
  </si>
  <si>
    <t>KARI sieť 100/100x6/6 = 2*0,75x(2,8+2,8)*1,2x(4,44kg/m2)</t>
  </si>
  <si>
    <t>ochranný náter ríms vodorovná:  =(0,9+0,13)*(15,0+14,5)</t>
  </si>
  <si>
    <t xml:space="preserve">ochranný náter ríms zvislá: = (0,25+0,15)*(15,0+14,5)  </t>
  </si>
  <si>
    <t>(2*0,45*10*8,96)+(2*0,45*8,96)+(2*0,5*8,96)</t>
  </si>
  <si>
    <t>10,35*8,96</t>
  </si>
  <si>
    <t>10,35*8,96*0,5</t>
  </si>
  <si>
    <t>((2*0,45*10*8,96)+(2*0,45*8,96)+(2*0,5*8,96))x0,5</t>
  </si>
  <si>
    <t>spojovací náter na spojenie izolácie a ochrannej vrstvy izolácie = 9,36*8,8</t>
  </si>
  <si>
    <t>spojovací náter na spojenie ochrannej vrstvy izolácie s obrusnou vrstvou  = 9,36*8,8</t>
  </si>
  <si>
    <t>2203033001</t>
  </si>
  <si>
    <t>Podkladné a krycie vrstvy z asfaltových zmesí, bitúmenové postreky, nátery, posypy spojovací postrek z asfaltu</t>
  </si>
  <si>
    <t xml:space="preserve">    asfaltový spojovací postrek 0,5 kg/m2 na asfaltový betón      na konci prechodového klinu : (2x6,0*8,8)*2  </t>
  </si>
  <si>
    <t>spojovací postrek mimo mosta = 24,04*9,0*2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</si>
  <si>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</si>
  <si>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</si>
  <si>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</si>
  <si>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</si>
  <si>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obrusná vrstva vozovky SMA 11 PMB = 33,4*8,8*0,04</t>
  </si>
  <si>
    <t>na moste : AC11 PMB, 45 mm : 9,36*8,8</t>
  </si>
  <si>
    <t>asfaltový betón AC 16 PMB na konci prechodového klinu hr. 60 mm ; = 2*6,5*8,8m</t>
  </si>
  <si>
    <t>asfaltobetón AC22 PMB na konci prechodového klinu hr. 90 mm ;  2*5,5*8,8</t>
  </si>
  <si>
    <t>22020417</t>
  </si>
  <si>
    <t>Podkladné a krycie vrstvy s hydraulickým spojivom, cementobetónové jednovrstvové, beton prostý</t>
  </si>
  <si>
    <t>2202041706</t>
  </si>
  <si>
    <t>Podkladné a krycie vrstvy s hydraulickým spojivom, cementobetónové jednovrstvové, beton prostý tr. IV   C30/37 (B 35)</t>
  </si>
  <si>
    <t>spevnenie za krídlami opôr 1,5*0,9*4</t>
  </si>
  <si>
    <t>vrátane štrkového lôžka hr 100mm a s protišmykovou úpravou</t>
  </si>
  <si>
    <t>22010303</t>
  </si>
  <si>
    <t>Podkladné a krycie vrstvy bez spojiva pre obnovu a údržbu, kamenivo drvené</t>
  </si>
  <si>
    <t>2201030301</t>
  </si>
  <si>
    <t>Podkladné a krycie vrstvy bez spojiva pre obnovu a údržbu, kamenivo drvené frakcia 8-63 mm</t>
  </si>
  <si>
    <t>štrko drvina fr 0-22 hr 200mm: = 2*8,9*3,5</t>
  </si>
  <si>
    <t>štrkodrvina fr. 0-32 hr 250mm: = 2*8,9*2,5</t>
  </si>
  <si>
    <t>záverný múrik : 2*(2*8,75*0,4)</t>
  </si>
  <si>
    <t>kamenná dlažba hr. 100-150 mm :2x(2,8x0,25)m</t>
  </si>
  <si>
    <t>obsyp časti krídiel = 1,0*((2,51+2,6+2,94+2,67)*2+(4*0,8))</t>
  </si>
  <si>
    <t>hmoty búrania: rímsy, kamenné obrubníky, izolácia mostovky, vrstvy jestv. vozovky, spádový betón, záverných múrikov, zábradlie)</t>
  </si>
  <si>
    <t xml:space="preserve">Vodorovné premiestnenie odstránených hmôt,bitúmenových plôch, betónových plôch a ich podkladov na skládku , prípadne skládku spracovateľa recyklácie,vrátane všetkých poplatkov spojených zo skládkovaním , </t>
  </si>
  <si>
    <t>vrátane beton.lôžka hr. 100 mm (medzi schodiskom a krídlom)</t>
  </si>
  <si>
    <t>zaisťovací prah : 4*4,5*(0,5*0,8)m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</si>
  <si>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</si>
  <si>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</si>
  <si>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</si>
  <si>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</si>
  <si>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>8401081602</t>
  </si>
  <si>
    <t>Náter omietok a betónových povrchov, impregnačný cementový náter stien</t>
  </si>
  <si>
    <t>8401081601</t>
  </si>
  <si>
    <t>Náter omietok a betónových povrchov, impregnačný cementový náter, stropov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</si>
  <si>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</si>
  <si>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</si>
  <si>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</si>
  <si>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</si>
  <si>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</si>
  <si>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</si>
  <si>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</si>
  <si>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</si>
  <si>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Požiadavky objednávateľa pomocné práce zhotovovacie alebo zaisťovacie lešenia</t>
  </si>
  <si>
    <t>00020605</t>
  </si>
  <si>
    <t>0002060501</t>
  </si>
  <si>
    <t>Pohyblivá pracovná plošina</t>
  </si>
  <si>
    <t xml:space="preserve"> - pohyblivá pracovná plošina umožňujúca prístup pod ľavú a pravú konzolu nosnej konštrukcie po celej dĺžke mosta</t>
  </si>
  <si>
    <t>0002060502</t>
  </si>
  <si>
    <t>Ochranné konštrukcie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</si>
  <si>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</si>
  <si>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</si>
  <si>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</si>
  <si>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</si>
  <si>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</si>
  <si>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</si>
  <si>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</si>
  <si>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</si>
  <si>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 xml:space="preserve"> - dočasné ochranné konštrukcie zabraňujúce pádu predmetov, abraziva a odstránených jednotlivých časti príslušenstva pod most. </t>
  </si>
  <si>
    <t>Požiadavky objednávateľa ostatné požiadavky geodetické zabezpečenie - kontrolné merania vrátane predrealizačného a porealizačného zamerania</t>
  </si>
  <si>
    <t>oceľ B500B: 1701,53kg spolu pre 2 PD</t>
  </si>
  <si>
    <t>zaisťovacia pätka : 2*15*(0,5*0,8)m</t>
  </si>
  <si>
    <t xml:space="preserve">sanácia spodného povrchu nosníkov 50% plochy (Hrubá SM): </t>
  </si>
  <si>
    <t xml:space="preserve">sanácia spodného povrchu nosníkov 100% plochy (Jemná SM): </t>
  </si>
  <si>
    <t xml:space="preserve">bočného povrchu nosníkov 50% plochy (Hrubá SM): </t>
  </si>
  <si>
    <t>((2*0,45*10*8,96)+(2*0,45*8,96)+(2*0,5*8,96))</t>
  </si>
  <si>
    <t>opora č.1 a krídla : ((1,1*(10,35+2*1,2))+1,1*(2,51+2,67))</t>
  </si>
  <si>
    <t>Bočný povrch opôr a krídiel 50% plochy (Hrubá SM):</t>
  </si>
  <si>
    <t>Hruba SM spolu</t>
  </si>
  <si>
    <t>opora č.1 a krídla : ((1,1*(10,35+2*1,2))+1,1*(2,51+2,67))x0,5</t>
  </si>
  <si>
    <t>Jemná SM spolu</t>
  </si>
  <si>
    <t>opora č.2 a krídla : ((1,1*(10,35+2*1,2))+1,1*(2,6+2,94))</t>
  </si>
  <si>
    <t>opora č.2 a krídla : ((1,1*(10,35+2*1,2))+1,1*(2,6+2,94))x0,5</t>
  </si>
  <si>
    <t>Bočný povrch opôr a krídiel 100% plochy (Jemná SM):</t>
  </si>
  <si>
    <t xml:space="preserve">bočného povrchu nosníkov 100% plochy (Jemná SM): </t>
  </si>
  <si>
    <t>Ochranný a zjednocujúci náter bočného povrchu opôr a krídiel :</t>
  </si>
  <si>
    <t>km 0,000 až km 0,033 40 vrátane mosta: 8,8*33,40</t>
  </si>
  <si>
    <t>km 0,00530 až km 0,028 10 vrátane mosta: 8,8*22,8</t>
  </si>
  <si>
    <t>km 0,00670 až km 0,02670 vrátane mosta: 2*(8,8*20,00)</t>
  </si>
  <si>
    <t>očistenie spodného povrchu nosníkov: 10,35*8,96</t>
  </si>
  <si>
    <t xml:space="preserve">očistenie bočného povrchu nosníkov: </t>
  </si>
  <si>
    <t>očistenie bočného povrchu opôr a krídiel:</t>
  </si>
  <si>
    <t xml:space="preserve"> spolu</t>
  </si>
  <si>
    <t>odstránenie bituménových vrstiev vozovky: plocha 2*8,8*5,5 ; predpoklad dve vrstvy 5+5 cm (v mieste prechodových dosiek)</t>
  </si>
  <si>
    <t>Odkopávka pre spevnenie za oporami</t>
  </si>
  <si>
    <t>(1,5*0,9*0,2)*4</t>
  </si>
  <si>
    <t xml:space="preserve">výkop pre zaisťovacie prahy a pätky </t>
  </si>
  <si>
    <t>prahy = 0,5*0,8*4,5*4 =</t>
  </si>
  <si>
    <t>výkop pre drenážnu rúrku</t>
  </si>
  <si>
    <t>pri opore 2 = 0,6*0,50*20 =</t>
  </si>
  <si>
    <t>prečistenie koryta rieky pod mostom</t>
  </si>
  <si>
    <t>Hĺbené výkopávky rýh</t>
  </si>
  <si>
    <t>1101010103</t>
  </si>
  <si>
    <t>Základy, pásy z betónu prostého, tr. C 12/15 (B 15)</t>
  </si>
  <si>
    <t>podkladný pás pod drenážnou rúrkou za oporou č.2 = 20*0,5*0,15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</si>
  <si>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</si>
  <si>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</si>
  <si>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</si>
  <si>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</si>
  <si>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drenáž za oporou č.2 = 20,0*0,5*0,25</t>
  </si>
  <si>
    <t>0201030906</t>
  </si>
  <si>
    <t>Zlepšovanie základovej pôdy, trativody kompletné z potrubia plastického DN 160 mm</t>
  </si>
  <si>
    <t>drenáž za oporou č.1</t>
  </si>
  <si>
    <t>drenáž za oporou č.2</t>
  </si>
  <si>
    <t>podkladový beton dlaždena priekopa:7,0*0,1*0,6m</t>
  </si>
  <si>
    <t>drenáž za oporou č.1 = 20,0x0,5x0,25</t>
  </si>
  <si>
    <t>podkladný pás pod drenážnou rúrkou za oporou č.1 = 20*0,5*0,15</t>
  </si>
  <si>
    <t>úprava svahu okolo mosta = opč.1 (5x3+8x6) op.č.2(5x3+7x4)</t>
  </si>
  <si>
    <t>pätky = 0,5*0,8*(15,0+15,0) =</t>
  </si>
  <si>
    <t>výkop pre lôžko pod rygolové tvárnice = 0,7*0,2*(5,0+5,0)</t>
  </si>
  <si>
    <t>pri opore 1 = 0,6*0,50*20 =</t>
  </si>
  <si>
    <t>výkop pre schody = 0,75*0,3*(2,8+2,8)</t>
  </si>
  <si>
    <t>výkop pre dlaždenú priekopu = 0,7*0,2*7,0</t>
  </si>
  <si>
    <t>01020600</t>
  </si>
  <si>
    <t>Odkopávky a prekopávky korýt vodotokov</t>
  </si>
  <si>
    <t>0102060002</t>
  </si>
  <si>
    <t>Odkopávky a prekopávky korýt vodotokov, tr.horniny 3</t>
  </si>
  <si>
    <t>Odvedenie vody , usmernenie toku (hrádzkou) počas budovania opevnenia spodnej stavby 2*20m*1</t>
  </si>
  <si>
    <t>KÓD KP</t>
  </si>
  <si>
    <t>KÓD SP</t>
  </si>
  <si>
    <t>KÓD SPP</t>
  </si>
  <si>
    <t>Rekapitulácia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</si>
  <si>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</si>
  <si>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</si>
  <si>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</si>
  <si>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</si>
  <si>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</si>
  <si>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</si>
  <si>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počet</t>
  </si>
  <si>
    <t>02</t>
  </si>
  <si>
    <t>Súpis prác</t>
  </si>
  <si>
    <t>Klasifikácia produkcie</t>
  </si>
  <si>
    <t>Číslo položky</t>
  </si>
  <si>
    <t>Názov položky</t>
  </si>
  <si>
    <t>Množstvo</t>
  </si>
  <si>
    <t>Jednotkova cena</t>
  </si>
  <si>
    <t>45.00.00 - Všeobecné  položky  v  procese  obstarávania  stavieb</t>
  </si>
  <si>
    <t>45.00.00</t>
  </si>
  <si>
    <t>45.11.11 - Demolačné práce</t>
  </si>
  <si>
    <t>45.11.12 - Úprava staveniska a vyčisťovacie práce</t>
  </si>
  <si>
    <t>45.11.12</t>
  </si>
  <si>
    <t>45.11.24 - Výkopové práce</t>
  </si>
  <si>
    <t>45.11.24</t>
  </si>
  <si>
    <t>45.11.25 - Presun zemín</t>
  </si>
  <si>
    <t>45.22.11 - Stavebné práce na mostoch</t>
  </si>
  <si>
    <t>45.23.31 - STAVEBNÉ PRÁCE NA VÝSTAVBE DIAĽNIC A CIEST CHODNÍKOV A NEKRYTÝCH PARKOVÍSK</t>
  </si>
  <si>
    <t>45.23.33 - Práce na spodnej stavbe diaľníc, ciest, ulíc, chodníkov a nekrytých parkovísk</t>
  </si>
  <si>
    <t>45.23.32 - Práce na spodnej stavbe diaľníc, ciest, ulíc, chodníkov a nekrytých parkovísk</t>
  </si>
  <si>
    <t>45.24.70 - Práce na hrubej stavbe úprav tokov, hrádzí, zavlažovacích kanálov a akvaduktov</t>
  </si>
  <si>
    <t>45.26.22 - Základové práce a vŕtanie vodných studní</t>
  </si>
  <si>
    <t>45.26.23 - Betonárske práce</t>
  </si>
  <si>
    <t>45.26.14 - Izolačné práce proti vode</t>
  </si>
  <si>
    <t>45.26.21 - Lešenárske práce</t>
  </si>
  <si>
    <t>45.41.10 - Omietkarské práce</t>
  </si>
  <si>
    <t>45.44.20 - Nanášanie ochranných vrstiev - maliarske a natieračské práce</t>
  </si>
  <si>
    <t>Spolu (bez DPH)</t>
  </si>
  <si>
    <t>DPH( 20%)</t>
  </si>
  <si>
    <t>Spolu (s DPH)</t>
  </si>
  <si>
    <t>Časti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</si>
</sst>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0000000"/>
    <numFmt numFmtId="166" formatCode="0000000000"/>
    <numFmt numFmtId="167" formatCode="0.000"/>
  </numFmts>
  <fonts count="7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"/>
      <family val="2"/>
      <charset val="238"/>
    </font>
    <font>
      <b/>
      <sz val="11"/>
      <color rgb="FF00B0F0"/>
      <name val="Arial"/>
      <family val="2"/>
      <charset val="238"/>
    </font>
    <font>
      <u/>
      <sz val="10"/>
      <name val="Arial"/>
      <family val="2"/>
      <charset val="238"/>
    </font>
    <font>
      <sz val="11"/>
      <color rgb="FF00B0F0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rgb="FF00B050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</cellStyleXfs>
  <cellXfs count="1035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4" fontId="7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3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44" fillId="0" borderId="0" xfId="0" applyFont="1" applyAlignment="1" applyProtection="1">
      <alignment horizontal="left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/>
      <protection hidden="1"/>
    </xf>
    <xf numFmtId="0" fontId="71" fillId="5" borderId="11" xfId="0" applyFont="1" applyFill="1" applyBorder="1" applyAlignment="1" applyProtection="1">
      <alignment vertical="center" wrapText="1"/>
      <protection hidden="1"/>
    </xf>
    <xf numFmtId="0" fontId="71" fillId="5" borderId="4" xfId="0" applyFont="1" applyFill="1" applyBorder="1" applyAlignment="1" applyProtection="1">
      <alignment vertical="center" wrapText="1"/>
      <protection hidden="1"/>
    </xf>
    <xf numFmtId="0" fontId="64" fillId="0" borderId="1" xfId="0" applyFont="1" applyFill="1" applyBorder="1" applyAlignment="1" applyProtection="1">
      <alignment horizontal="center" vertical="center" wrapText="1"/>
      <protection hidden="1"/>
    </xf>
    <xf numFmtId="49" fontId="64" fillId="0" borderId="1" xfId="0" quotePrefix="1" applyNumberFormat="1" applyFont="1" applyBorder="1" applyAlignment="1" applyProtection="1">
      <alignment horizontal="left" vertical="center"/>
      <protection hidden="1"/>
    </xf>
    <xf numFmtId="0" fontId="64" fillId="0" borderId="0" xfId="0" applyFont="1" applyBorder="1" applyAlignment="1" applyProtection="1">
      <alignment vertical="center" wrapText="1"/>
      <protection hidden="1"/>
    </xf>
    <xf numFmtId="167" fontId="64" fillId="0" borderId="0" xfId="0" applyNumberFormat="1" applyFont="1" applyBorder="1" applyAlignment="1" applyProtection="1">
      <alignment vertical="center" wrapText="1"/>
      <protection hidden="1"/>
    </xf>
    <xf numFmtId="0" fontId="64" fillId="0" borderId="1" xfId="0" applyFont="1" applyBorder="1" applyAlignment="1" applyProtection="1">
      <alignment horizontal="center" vertical="center"/>
      <protection hidden="1"/>
    </xf>
    <xf numFmtId="167" fontId="64" fillId="0" borderId="14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22" xfId="0" applyNumberFormat="1" applyFont="1" applyBorder="1" applyAlignment="1" applyProtection="1">
      <alignment vertical="center"/>
      <protection hidden="1"/>
    </xf>
    <xf numFmtId="49" fontId="6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4" fillId="0" borderId="0" xfId="0" applyFont="1" applyFill="1" applyBorder="1" applyAlignment="1" applyProtection="1">
      <alignment horizontal="left" vertical="center" wrapText="1"/>
      <protection hidden="1"/>
    </xf>
    <xf numFmtId="167" fontId="5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1" xfId="0" quotePrefix="1" applyFont="1" applyFill="1" applyBorder="1" applyAlignment="1" applyProtection="1">
      <alignment horizontal="center" vertical="center" wrapText="1"/>
      <protection hidden="1"/>
    </xf>
    <xf numFmtId="0" fontId="64" fillId="0" borderId="7" xfId="0" applyFont="1" applyFill="1" applyBorder="1" applyAlignment="1" applyProtection="1">
      <alignment horizontal="center" vertical="center" wrapText="1"/>
      <protection hidden="1"/>
    </xf>
    <xf numFmtId="49" fontId="6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64" fillId="0" borderId="4" xfId="0" applyFont="1" applyFill="1" applyBorder="1" applyAlignment="1" applyProtection="1">
      <alignment horizontal="left" vertical="center" wrapText="1"/>
      <protection hidden="1"/>
    </xf>
    <xf numFmtId="167" fontId="57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7" xfId="0" quotePrefix="1" applyFont="1" applyFill="1" applyBorder="1" applyAlignment="1" applyProtection="1">
      <alignment horizontal="center" vertical="center" wrapText="1"/>
      <protection hidden="1"/>
    </xf>
    <xf numFmtId="167" fontId="64" fillId="0" borderId="29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9" xfId="0" applyFont="1" applyFill="1" applyBorder="1" applyAlignment="1" applyProtection="1">
      <alignment horizontal="center" vertical="center" wrapText="1"/>
      <protection hidden="1"/>
    </xf>
    <xf numFmtId="49" fontId="64" fillId="0" borderId="9" xfId="0" quotePrefix="1" applyNumberFormat="1" applyFont="1" applyBorder="1" applyAlignment="1" applyProtection="1">
      <alignment horizontal="left" vertical="center"/>
      <protection hidden="1"/>
    </xf>
    <xf numFmtId="0" fontId="64" fillId="0" borderId="11" xfId="0" applyFont="1" applyBorder="1" applyAlignment="1" applyProtection="1">
      <alignment horizontal="left" vertical="center" wrapText="1"/>
      <protection hidden="1"/>
    </xf>
    <xf numFmtId="167" fontId="57" fillId="0" borderId="11" xfId="0" applyNumberFormat="1" applyFont="1" applyBorder="1" applyAlignment="1" applyProtection="1">
      <alignment horizontal="left" vertical="center" wrapText="1"/>
      <protection hidden="1"/>
    </xf>
    <xf numFmtId="0" fontId="64" fillId="0" borderId="9" xfId="0" applyFont="1" applyBorder="1" applyAlignment="1" applyProtection="1">
      <alignment horizontal="center" vertical="center"/>
      <protection hidden="1"/>
    </xf>
    <xf numFmtId="167" fontId="64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0" xfId="0" applyFont="1" applyBorder="1" applyAlignment="1" applyProtection="1">
      <alignment horizontal="left" vertical="center" wrapText="1"/>
      <protection hidden="1"/>
    </xf>
    <xf numFmtId="167" fontId="57" fillId="0" borderId="0" xfId="0" applyNumberFormat="1" applyFont="1" applyBorder="1" applyAlignment="1" applyProtection="1">
      <alignment horizontal="left" vertical="center" wrapText="1"/>
      <protection hidden="1"/>
    </xf>
    <xf numFmtId="0" fontId="1" fillId="4" borderId="0" xfId="0" applyFont="1" applyFill="1" applyAlignment="1" applyProtection="1">
      <alignment vertical="center" wrapText="1"/>
      <protection hidden="1"/>
    </xf>
    <xf numFmtId="167" fontId="64" fillId="0" borderId="0" xfId="0" applyNumberFormat="1" applyFont="1" applyBorder="1" applyAlignment="1" applyProtection="1">
      <alignment horizontal="left" vertical="center" wrapText="1"/>
      <protection hidden="1"/>
    </xf>
    <xf numFmtId="49" fontId="64" fillId="0" borderId="7" xfId="0" quotePrefix="1" applyNumberFormat="1" applyFont="1" applyBorder="1" applyAlignment="1" applyProtection="1">
      <alignment horizontal="left" vertical="center"/>
      <protection hidden="1"/>
    </xf>
    <xf numFmtId="0" fontId="64" fillId="0" borderId="4" xfId="0" applyFont="1" applyBorder="1" applyAlignment="1" applyProtection="1">
      <alignment horizontal="left" vertical="center" wrapText="1"/>
      <protection hidden="1"/>
    </xf>
    <xf numFmtId="167" fontId="57" fillId="0" borderId="4" xfId="0" applyNumberFormat="1" applyFont="1" applyBorder="1" applyAlignment="1" applyProtection="1">
      <alignment horizontal="left" vertical="center" wrapText="1"/>
      <protection hidden="1"/>
    </xf>
    <xf numFmtId="0" fontId="64" fillId="0" borderId="7" xfId="0" applyFont="1" applyBorder="1" applyAlignment="1" applyProtection="1">
      <alignment horizontal="center" vertical="center"/>
      <protection hidden="1"/>
    </xf>
    <xf numFmtId="49" fontId="64" fillId="4" borderId="9" xfId="0" quotePrefix="1" applyNumberFormat="1" applyFont="1" applyFill="1" applyBorder="1" applyAlignment="1" applyProtection="1">
      <alignment horizontal="left" vertical="center"/>
      <protection hidden="1"/>
    </xf>
    <xf numFmtId="0" fontId="64" fillId="4" borderId="11" xfId="0" applyFont="1" applyFill="1" applyBorder="1" applyAlignment="1" applyProtection="1">
      <alignment horizontal="left" vertical="center" wrapText="1"/>
      <protection hidden="1"/>
    </xf>
    <xf numFmtId="167" fontId="57" fillId="4" borderId="11" xfId="0" applyNumberFormat="1" applyFont="1" applyFill="1" applyBorder="1" applyAlignment="1" applyProtection="1">
      <alignment horizontal="right" vertical="center" wrapText="1"/>
      <protection hidden="1"/>
    </xf>
    <xf numFmtId="0" fontId="64" fillId="4" borderId="9" xfId="0" applyFont="1" applyFill="1" applyBorder="1" applyAlignment="1" applyProtection="1">
      <alignment horizontal="center" vertical="center"/>
      <protection hidden="1"/>
    </xf>
    <xf numFmtId="167" fontId="64" fillId="4" borderId="13" xfId="0" applyNumberFormat="1" applyFont="1" applyFill="1" applyBorder="1" applyAlignment="1" applyProtection="1">
      <alignment horizontal="right" vertical="center" wrapText="1"/>
      <protection hidden="1"/>
    </xf>
    <xf numFmtId="0" fontId="72" fillId="0" borderId="0" xfId="0" applyFont="1" applyAlignment="1" applyProtection="1">
      <alignment vertical="center" wrapText="1"/>
      <protection hidden="1"/>
    </xf>
    <xf numFmtId="0" fontId="64" fillId="0" borderId="0" xfId="0" applyFont="1" applyAlignment="1" applyProtection="1">
      <alignment vertical="center"/>
      <protection hidden="1"/>
    </xf>
    <xf numFmtId="49" fontId="64" fillId="4" borderId="7" xfId="0" quotePrefix="1" applyNumberFormat="1" applyFont="1" applyFill="1" applyBorder="1" applyAlignment="1" applyProtection="1">
      <alignment horizontal="left" vertical="center"/>
      <protection hidden="1"/>
    </xf>
    <xf numFmtId="0" fontId="64" fillId="4" borderId="4" xfId="0" applyFont="1" applyFill="1" applyBorder="1" applyAlignment="1" applyProtection="1">
      <alignment horizontal="left" vertical="center" wrapText="1"/>
      <protection hidden="1"/>
    </xf>
    <xf numFmtId="167" fontId="57" fillId="4" borderId="4" xfId="0" applyNumberFormat="1" applyFont="1" applyFill="1" applyBorder="1" applyAlignment="1" applyProtection="1">
      <alignment horizontal="right" vertical="center" wrapText="1"/>
      <protection hidden="1"/>
    </xf>
    <xf numFmtId="0" fontId="64" fillId="4" borderId="7" xfId="0" applyFont="1" applyFill="1" applyBorder="1" applyAlignment="1" applyProtection="1">
      <alignment horizontal="center" vertical="center"/>
      <protection hidden="1"/>
    </xf>
    <xf numFmtId="167" fontId="64" fillId="4" borderId="29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0" xfId="0" applyFont="1" applyAlignment="1" applyProtection="1">
      <alignment vertical="center" wrapText="1"/>
      <protection hidden="1"/>
    </xf>
    <xf numFmtId="49" fontId="64" fillId="0" borderId="9" xfId="0" applyNumberFormat="1" applyFont="1" applyBorder="1" applyAlignment="1" applyProtection="1">
      <alignment horizontal="center" vertical="center"/>
      <protection hidden="1"/>
    </xf>
    <xf numFmtId="49" fontId="64" fillId="0" borderId="9" xfId="0" quotePrefix="1" applyNumberFormat="1" applyFont="1" applyBorder="1" applyAlignment="1" applyProtection="1">
      <alignment vertical="top"/>
      <protection hidden="1"/>
    </xf>
    <xf numFmtId="0" fontId="64" fillId="0" borderId="11" xfId="0" applyFont="1" applyBorder="1" applyAlignment="1" applyProtection="1">
      <alignment vertical="top" wrapText="1"/>
      <protection hidden="1"/>
    </xf>
    <xf numFmtId="167" fontId="64" fillId="0" borderId="11" xfId="0" applyNumberFormat="1" applyFont="1" applyBorder="1" applyAlignment="1" applyProtection="1">
      <alignment wrapText="1"/>
      <protection hidden="1"/>
    </xf>
    <xf numFmtId="167" fontId="64" fillId="0" borderId="13" xfId="0" applyNumberFormat="1" applyFont="1" applyBorder="1" applyAlignment="1" applyProtection="1">
      <alignment horizontal="right" vertical="center" wrapText="1"/>
      <protection hidden="1"/>
    </xf>
    <xf numFmtId="49" fontId="64" fillId="0" borderId="1" xfId="0" applyNumberFormat="1" applyFont="1" applyBorder="1" applyAlignment="1" applyProtection="1">
      <alignment horizontal="center" vertical="center"/>
      <protection hidden="1"/>
    </xf>
    <xf numFmtId="49" fontId="64" fillId="0" borderId="1" xfId="0" quotePrefix="1" applyNumberFormat="1" applyFont="1" applyBorder="1" applyAlignment="1" applyProtection="1">
      <alignment vertical="top"/>
      <protection hidden="1"/>
    </xf>
    <xf numFmtId="0" fontId="64" fillId="0" borderId="0" xfId="0" applyFont="1" applyBorder="1" applyAlignment="1" applyProtection="1">
      <alignment vertical="top" wrapText="1"/>
      <protection hidden="1"/>
    </xf>
    <xf numFmtId="167" fontId="64" fillId="0" borderId="0" xfId="0" applyNumberFormat="1" applyFont="1" applyBorder="1" applyAlignment="1" applyProtection="1">
      <alignment wrapText="1"/>
      <protection hidden="1"/>
    </xf>
    <xf numFmtId="167" fontId="64" fillId="0" borderId="14" xfId="0" applyNumberFormat="1" applyFont="1" applyBorder="1" applyAlignment="1" applyProtection="1">
      <alignment horizontal="right" vertical="center"/>
      <protection hidden="1"/>
    </xf>
    <xf numFmtId="49" fontId="64" fillId="0" borderId="1" xfId="0" quotePrefix="1" applyNumberFormat="1" applyFont="1" applyBorder="1" applyAlignment="1" applyProtection="1">
      <alignment vertical="center"/>
      <protection hidden="1"/>
    </xf>
    <xf numFmtId="49" fontId="70" fillId="0" borderId="1" xfId="0" quotePrefix="1" applyNumberFormat="1" applyFont="1" applyBorder="1" applyAlignment="1" applyProtection="1">
      <alignment vertical="top"/>
      <protection hidden="1"/>
    </xf>
    <xf numFmtId="0" fontId="70" fillId="0" borderId="0" xfId="0" applyFont="1" applyBorder="1" applyAlignment="1" applyProtection="1">
      <alignment vertical="top" wrapText="1"/>
      <protection hidden="1"/>
    </xf>
    <xf numFmtId="167" fontId="70" fillId="0" borderId="0" xfId="0" applyNumberFormat="1" applyFont="1" applyBorder="1" applyAlignment="1" applyProtection="1">
      <alignment wrapText="1"/>
      <protection hidden="1"/>
    </xf>
    <xf numFmtId="0" fontId="70" fillId="0" borderId="1" xfId="0" applyFont="1" applyBorder="1" applyAlignment="1" applyProtection="1">
      <alignment horizontal="center" vertical="center"/>
      <protection hidden="1"/>
    </xf>
    <xf numFmtId="167" fontId="70" fillId="0" borderId="14" xfId="0" applyNumberFormat="1" applyFont="1" applyBorder="1" applyAlignment="1" applyProtection="1">
      <alignment horizontal="right" vertical="center" wrapText="1"/>
      <protection hidden="1"/>
    </xf>
    <xf numFmtId="167" fontId="57" fillId="0" borderId="0" xfId="0" applyNumberFormat="1" applyFont="1" applyBorder="1" applyAlignment="1" applyProtection="1">
      <alignment horizontal="right" vertical="center" wrapText="1"/>
      <protection hidden="1"/>
    </xf>
    <xf numFmtId="167" fontId="64" fillId="4" borderId="14" xfId="0" applyNumberFormat="1" applyFont="1" applyFill="1" applyBorder="1" applyAlignment="1" applyProtection="1">
      <alignment horizontal="right" vertical="center" wrapText="1"/>
      <protection hidden="1"/>
    </xf>
    <xf numFmtId="0" fontId="64" fillId="4" borderId="0" xfId="0" applyFont="1" applyFill="1" applyBorder="1" applyAlignment="1" applyProtection="1">
      <alignment horizontal="left" vertical="center" wrapText="1"/>
      <protection hidden="1"/>
    </xf>
    <xf numFmtId="49" fontId="70" fillId="0" borderId="7" xfId="0" quotePrefix="1" applyNumberFormat="1" applyFont="1" applyBorder="1" applyAlignment="1" applyProtection="1">
      <alignment vertical="top"/>
      <protection hidden="1"/>
    </xf>
    <xf numFmtId="0" fontId="70" fillId="0" borderId="4" xfId="0" applyFont="1" applyBorder="1" applyAlignment="1" applyProtection="1">
      <alignment vertical="top" wrapText="1"/>
      <protection hidden="1"/>
    </xf>
    <xf numFmtId="167" fontId="70" fillId="0" borderId="4" xfId="0" applyNumberFormat="1" applyFont="1" applyBorder="1" applyAlignment="1" applyProtection="1">
      <alignment wrapText="1"/>
      <protection hidden="1"/>
    </xf>
    <xf numFmtId="0" fontId="70" fillId="0" borderId="7" xfId="0" applyFont="1" applyBorder="1" applyAlignment="1" applyProtection="1">
      <alignment horizontal="center" vertical="center"/>
      <protection hidden="1"/>
    </xf>
    <xf numFmtId="167" fontId="70" fillId="0" borderId="29" xfId="0" applyNumberFormat="1" applyFont="1" applyBorder="1" applyAlignment="1" applyProtection="1">
      <alignment horizontal="right" vertical="center" wrapText="1"/>
      <protection hidden="1"/>
    </xf>
    <xf numFmtId="0" fontId="70" fillId="0" borderId="34" xfId="0" applyFont="1" applyFill="1" applyBorder="1" applyAlignment="1" applyProtection="1">
      <alignment horizontal="center" vertical="center"/>
      <protection hidden="1"/>
    </xf>
    <xf numFmtId="0" fontId="64" fillId="0" borderId="35" xfId="0" applyFont="1" applyFill="1" applyBorder="1" applyAlignment="1" applyProtection="1">
      <alignment vertical="center" wrapText="1"/>
      <protection hidden="1"/>
    </xf>
    <xf numFmtId="49" fontId="64" fillId="0" borderId="35" xfId="0" quotePrefix="1" applyNumberFormat="1" applyFont="1" applyBorder="1" applyAlignment="1" applyProtection="1">
      <alignment horizontal="left" vertical="center"/>
      <protection hidden="1"/>
    </xf>
    <xf numFmtId="0" fontId="64" fillId="0" borderId="36" xfId="0" applyFont="1" applyBorder="1" applyAlignment="1" applyProtection="1">
      <alignment horizontal="left" vertical="center" wrapText="1"/>
      <protection hidden="1"/>
    </xf>
    <xf numFmtId="167" fontId="57" fillId="0" borderId="36" xfId="0" applyNumberFormat="1" applyFont="1" applyBorder="1" applyAlignment="1" applyProtection="1">
      <alignment horizontal="right" vertical="center" wrapText="1"/>
      <protection hidden="1"/>
    </xf>
    <xf numFmtId="0" fontId="64" fillId="0" borderId="35" xfId="0" applyFont="1" applyBorder="1" applyAlignment="1" applyProtection="1">
      <alignment horizontal="center" vertical="center"/>
      <protection hidden="1"/>
    </xf>
    <xf numFmtId="167" fontId="64" fillId="4" borderId="37" xfId="0" applyNumberFormat="1" applyFont="1" applyFill="1" applyBorder="1" applyAlignment="1" applyProtection="1">
      <alignment horizontal="right" vertical="center" wrapText="1"/>
      <protection hidden="1"/>
    </xf>
    <xf numFmtId="0" fontId="64" fillId="4" borderId="0" xfId="0" applyFont="1" applyFill="1" applyAlignment="1" applyProtection="1">
      <alignment vertical="center" wrapText="1"/>
      <protection hidden="1"/>
    </xf>
    <xf numFmtId="0" fontId="64" fillId="4" borderId="0" xfId="0" applyFont="1" applyFill="1" applyAlignment="1" applyProtection="1">
      <alignment vertical="center"/>
      <protection hidden="1"/>
    </xf>
    <xf numFmtId="49" fontId="64" fillId="0" borderId="9" xfId="0" applyNumberFormat="1" applyFont="1" applyFill="1" applyBorder="1" applyAlignment="1" applyProtection="1">
      <alignment horizontal="center" vertical="center"/>
      <protection hidden="1"/>
    </xf>
    <xf numFmtId="49" fontId="64" fillId="0" borderId="9" xfId="0" quotePrefix="1" applyNumberFormat="1" applyFont="1" applyFill="1" applyBorder="1" applyAlignment="1" applyProtection="1">
      <alignment horizontal="left" vertical="center"/>
      <protection hidden="1"/>
    </xf>
    <xf numFmtId="0" fontId="64" fillId="0" borderId="11" xfId="0" applyFont="1" applyFill="1" applyBorder="1" applyAlignment="1" applyProtection="1">
      <alignment vertical="center" wrapText="1"/>
      <protection hidden="1"/>
    </xf>
    <xf numFmtId="167" fontId="57" fillId="0" borderId="11" xfId="0" applyNumberFormat="1" applyFont="1" applyFill="1" applyBorder="1" applyAlignment="1" applyProtection="1">
      <alignment horizontal="right" vertical="center" wrapText="1"/>
      <protection hidden="1"/>
    </xf>
    <xf numFmtId="0" fontId="64" fillId="0" borderId="9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vertical="center" wrapText="1"/>
      <protection hidden="1"/>
    </xf>
    <xf numFmtId="0" fontId="1" fillId="0" borderId="0" xfId="0" applyFont="1" applyFill="1" applyAlignment="1" applyProtection="1">
      <alignment vertical="center"/>
      <protection hidden="1"/>
    </xf>
    <xf numFmtId="49" fontId="64" fillId="0" borderId="1" xfId="0" applyNumberFormat="1" applyFont="1" applyFill="1" applyBorder="1" applyAlignment="1" applyProtection="1">
      <alignment horizontal="center" vertical="center"/>
      <protection hidden="1"/>
    </xf>
    <xf numFmtId="167" fontId="73" fillId="0" borderId="0" xfId="0" applyNumberFormat="1" applyFont="1" applyBorder="1" applyAlignment="1" applyProtection="1">
      <alignment wrapText="1"/>
      <protection hidden="1"/>
    </xf>
    <xf numFmtId="0" fontId="73" fillId="0" borderId="1" xfId="0" applyFont="1" applyBorder="1" applyAlignment="1" applyProtection="1">
      <alignment horizontal="center" vertical="center"/>
      <protection hidden="1"/>
    </xf>
    <xf numFmtId="167" fontId="73" fillId="0" borderId="14" xfId="0" applyNumberFormat="1" applyFont="1" applyBorder="1" applyAlignment="1" applyProtection="1">
      <alignment horizontal="right" vertical="center" wrapText="1"/>
      <protection hidden="1"/>
    </xf>
    <xf numFmtId="49" fontId="64" fillId="4" borderId="1" xfId="0" quotePrefix="1" applyNumberFormat="1" applyFont="1" applyFill="1" applyBorder="1" applyAlignment="1" applyProtection="1">
      <alignment horizontal="left" vertical="center"/>
      <protection hidden="1"/>
    </xf>
    <xf numFmtId="167" fontId="57" fillId="4" borderId="0" xfId="0" applyNumberFormat="1" applyFont="1" applyFill="1" applyBorder="1" applyAlignment="1" applyProtection="1">
      <alignment vertical="center" wrapText="1"/>
      <protection hidden="1"/>
    </xf>
    <xf numFmtId="0" fontId="64" fillId="4" borderId="1" xfId="0" applyFont="1" applyFill="1" applyBorder="1" applyAlignment="1" applyProtection="1">
      <alignment horizontal="center" vertical="center"/>
      <protection hidden="1"/>
    </xf>
    <xf numFmtId="49" fontId="64" fillId="0" borderId="1" xfId="0" quotePrefix="1" applyNumberFormat="1" applyFont="1" applyBorder="1" applyAlignment="1" applyProtection="1">
      <alignment horizontal="left" vertical="top"/>
      <protection hidden="1"/>
    </xf>
    <xf numFmtId="167" fontId="64" fillId="0" borderId="14" xfId="0" applyNumberFormat="1" applyFont="1" applyBorder="1" applyAlignment="1" applyProtection="1">
      <alignment horizontal="right" vertical="center" wrapText="1"/>
      <protection hidden="1"/>
    </xf>
    <xf numFmtId="0" fontId="64" fillId="4" borderId="0" xfId="0" applyFont="1" applyFill="1" applyBorder="1" applyAlignment="1" applyProtection="1">
      <alignment vertical="center" wrapText="1"/>
      <protection hidden="1"/>
    </xf>
    <xf numFmtId="167" fontId="57" fillId="4" borderId="0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7" xfId="0" applyNumberFormat="1" applyFont="1" applyFill="1" applyBorder="1" applyAlignment="1" applyProtection="1">
      <alignment horizontal="center" vertical="center"/>
      <protection hidden="1"/>
    </xf>
    <xf numFmtId="0" fontId="64" fillId="0" borderId="4" xfId="0" applyFont="1" applyBorder="1" applyAlignment="1" applyProtection="1">
      <alignment vertical="center" wrapText="1"/>
      <protection hidden="1"/>
    </xf>
    <xf numFmtId="167" fontId="57" fillId="0" borderId="4" xfId="0" applyNumberFormat="1" applyFont="1" applyBorder="1" applyAlignment="1" applyProtection="1">
      <alignment horizontal="right" vertical="center" wrapText="1"/>
      <protection hidden="1"/>
    </xf>
    <xf numFmtId="0" fontId="70" fillId="0" borderId="34" xfId="0" applyFont="1" applyFill="1" applyBorder="1" applyAlignment="1" applyProtection="1">
      <alignment horizontal="left" vertical="center" wrapText="1"/>
      <protection hidden="1"/>
    </xf>
    <xf numFmtId="0" fontId="70" fillId="4" borderId="35" xfId="0" applyFont="1" applyFill="1" applyBorder="1" applyAlignment="1" applyProtection="1">
      <alignment horizontal="center" vertical="center" wrapText="1"/>
      <protection hidden="1"/>
    </xf>
    <xf numFmtId="0" fontId="64" fillId="0" borderId="36" xfId="0" applyFont="1" applyBorder="1" applyAlignment="1" applyProtection="1">
      <alignment vertical="center" wrapText="1"/>
      <protection hidden="1"/>
    </xf>
    <xf numFmtId="167" fontId="64" fillId="0" borderId="36" xfId="0" applyNumberFormat="1" applyFont="1" applyBorder="1" applyAlignment="1" applyProtection="1">
      <alignment wrapText="1"/>
      <protection hidden="1"/>
    </xf>
    <xf numFmtId="0" fontId="64" fillId="0" borderId="11" xfId="0" applyFont="1" applyBorder="1" applyAlignment="1" applyProtection="1">
      <alignment vertical="center" wrapText="1"/>
      <protection hidden="1"/>
    </xf>
    <xf numFmtId="167" fontId="57" fillId="0" borderId="11" xfId="0" applyNumberFormat="1" applyFont="1" applyBorder="1" applyAlignment="1" applyProtection="1">
      <alignment horizontal="right" vertical="center" wrapText="1"/>
      <protection hidden="1"/>
    </xf>
    <xf numFmtId="49" fontId="64" fillId="0" borderId="7" xfId="0" applyNumberFormat="1" applyFont="1" applyBorder="1" applyAlignment="1" applyProtection="1">
      <alignment horizontal="center" vertical="top"/>
      <protection hidden="1"/>
    </xf>
    <xf numFmtId="49" fontId="64" fillId="0" borderId="7" xfId="0" quotePrefix="1" applyNumberFormat="1" applyFont="1" applyBorder="1" applyAlignment="1" applyProtection="1">
      <alignment horizontal="left" vertical="top"/>
      <protection hidden="1"/>
    </xf>
    <xf numFmtId="0" fontId="64" fillId="0" borderId="4" xfId="0" applyFont="1" applyBorder="1" applyAlignment="1" applyProtection="1">
      <alignment vertical="top" wrapText="1"/>
      <protection hidden="1"/>
    </xf>
    <xf numFmtId="167" fontId="64" fillId="0" borderId="4" xfId="0" applyNumberFormat="1" applyFont="1" applyBorder="1" applyAlignment="1" applyProtection="1">
      <alignment wrapText="1"/>
      <protection hidden="1"/>
    </xf>
    <xf numFmtId="167" fontId="64" fillId="0" borderId="29" xfId="0" applyNumberFormat="1" applyFont="1" applyBorder="1" applyAlignment="1" applyProtection="1">
      <alignment horizontal="right" vertical="center" wrapText="1"/>
      <protection hidden="1"/>
    </xf>
    <xf numFmtId="49" fontId="64" fillId="0" borderId="35" xfId="0" applyNumberFormat="1" applyFont="1" applyFill="1" applyBorder="1" applyAlignment="1" applyProtection="1">
      <alignment horizontal="center" vertical="center"/>
      <protection hidden="1"/>
    </xf>
    <xf numFmtId="49" fontId="70" fillId="0" borderId="9" xfId="0" applyNumberFormat="1" applyFont="1" applyBorder="1" applyAlignment="1" applyProtection="1">
      <alignment horizontal="center" vertical="center"/>
      <protection hidden="1"/>
    </xf>
    <xf numFmtId="49" fontId="70" fillId="0" borderId="9" xfId="0" quotePrefix="1" applyNumberFormat="1" applyFont="1" applyBorder="1" applyAlignment="1" applyProtection="1">
      <alignment horizontal="left" vertical="center"/>
      <protection hidden="1"/>
    </xf>
    <xf numFmtId="0" fontId="70" fillId="0" borderId="11" xfId="0" applyFont="1" applyBorder="1" applyAlignment="1" applyProtection="1">
      <alignment vertical="center" wrapText="1"/>
      <protection hidden="1"/>
    </xf>
    <xf numFmtId="167" fontId="70" fillId="0" borderId="11" xfId="0" applyNumberFormat="1" applyFont="1" applyBorder="1" applyAlignment="1" applyProtection="1">
      <alignment wrapText="1"/>
      <protection hidden="1"/>
    </xf>
    <xf numFmtId="0" fontId="70" fillId="0" borderId="9" xfId="0" applyFont="1" applyBorder="1" applyAlignment="1" applyProtection="1">
      <alignment horizontal="center" vertical="center"/>
      <protection hidden="1"/>
    </xf>
    <xf numFmtId="167" fontId="70" fillId="0" borderId="13" xfId="0" applyNumberFormat="1" applyFont="1" applyBorder="1" applyAlignment="1" applyProtection="1">
      <alignment horizontal="right" vertical="center" wrapText="1"/>
      <protection hidden="1"/>
    </xf>
    <xf numFmtId="167" fontId="64" fillId="0" borderId="4" xfId="0" applyNumberFormat="1" applyFont="1" applyBorder="1" applyAlignment="1" applyProtection="1">
      <alignment vertical="center" wrapText="1"/>
      <protection hidden="1"/>
    </xf>
    <xf numFmtId="0" fontId="70" fillId="0" borderId="11" xfId="0" applyFont="1" applyBorder="1" applyAlignment="1" applyProtection="1">
      <alignment vertical="top" wrapText="1"/>
      <protection hidden="1"/>
    </xf>
    <xf numFmtId="49" fontId="70" fillId="0" borderId="7" xfId="0" applyNumberFormat="1" applyFont="1" applyBorder="1" applyAlignment="1" applyProtection="1">
      <alignment horizontal="center" vertical="center"/>
      <protection hidden="1"/>
    </xf>
    <xf numFmtId="49" fontId="70" fillId="0" borderId="7" xfId="0" quotePrefix="1" applyNumberFormat="1" applyFont="1" applyBorder="1" applyAlignment="1" applyProtection="1">
      <alignment horizontal="left"/>
      <protection hidden="1"/>
    </xf>
    <xf numFmtId="0" fontId="70" fillId="0" borderId="4" xfId="0" applyFont="1" applyBorder="1" applyAlignment="1" applyProtection="1">
      <alignment horizontal="left" wrapText="1"/>
      <protection hidden="1"/>
    </xf>
    <xf numFmtId="167" fontId="70" fillId="0" borderId="4" xfId="0" applyNumberFormat="1" applyFont="1" applyBorder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/>
      <protection hidden="1"/>
    </xf>
    <xf numFmtId="49" fontId="64" fillId="0" borderId="9" xfId="0" applyNumberFormat="1" applyFont="1" applyBorder="1" applyAlignment="1" applyProtection="1">
      <alignment horizontal="center" vertical="top"/>
      <protection hidden="1"/>
    </xf>
    <xf numFmtId="49" fontId="64" fillId="0" borderId="9" xfId="0" quotePrefix="1" applyNumberFormat="1" applyFont="1" applyBorder="1" applyAlignment="1" applyProtection="1">
      <alignment vertical="center"/>
      <protection hidden="1"/>
    </xf>
    <xf numFmtId="49" fontId="64" fillId="0" borderId="1" xfId="0" applyNumberFormat="1" applyFont="1" applyBorder="1" applyAlignment="1" applyProtection="1">
      <alignment horizontal="center" vertical="top"/>
      <protection hidden="1"/>
    </xf>
    <xf numFmtId="49" fontId="64" fillId="4" borderId="12" xfId="0" quotePrefix="1" applyNumberFormat="1" applyFont="1" applyFill="1" applyBorder="1" applyAlignment="1" applyProtection="1">
      <alignment vertical="center"/>
      <protection hidden="1"/>
    </xf>
    <xf numFmtId="167" fontId="57" fillId="4" borderId="12" xfId="0" applyNumberFormat="1" applyFont="1" applyFill="1" applyBorder="1" applyAlignment="1" applyProtection="1">
      <alignment vertical="center" wrapText="1"/>
      <protection hidden="1"/>
    </xf>
    <xf numFmtId="0" fontId="64" fillId="4" borderId="12" xfId="0" applyFont="1" applyFill="1" applyBorder="1" applyAlignment="1" applyProtection="1">
      <alignment horizontal="center" vertical="center"/>
      <protection hidden="1"/>
    </xf>
    <xf numFmtId="167" fontId="70" fillId="4" borderId="14" xfId="0" applyNumberFormat="1" applyFont="1" applyFill="1" applyBorder="1" applyAlignment="1" applyProtection="1">
      <alignment horizontal="right" vertical="center"/>
      <protection hidden="1"/>
    </xf>
    <xf numFmtId="49" fontId="64" fillId="4" borderId="1" xfId="0" quotePrefix="1" applyNumberFormat="1" applyFont="1" applyFill="1" applyBorder="1" applyAlignment="1" applyProtection="1">
      <alignment vertical="center"/>
      <protection hidden="1"/>
    </xf>
    <xf numFmtId="49" fontId="64" fillId="0" borderId="7" xfId="0" quotePrefix="1" applyNumberFormat="1" applyFont="1" applyBorder="1" applyAlignment="1" applyProtection="1">
      <alignment vertical="center"/>
      <protection hidden="1"/>
    </xf>
    <xf numFmtId="49" fontId="64" fillId="4" borderId="9" xfId="0" applyNumberFormat="1" applyFont="1" applyFill="1" applyBorder="1" applyAlignment="1" applyProtection="1">
      <alignment horizontal="center" vertical="center"/>
      <protection hidden="1"/>
    </xf>
    <xf numFmtId="0" fontId="64" fillId="4" borderId="11" xfId="0" applyFont="1" applyFill="1" applyBorder="1" applyAlignment="1" applyProtection="1">
      <alignment vertical="center" wrapText="1"/>
      <protection hidden="1"/>
    </xf>
    <xf numFmtId="0" fontId="70" fillId="0" borderId="34" xfId="0" applyFont="1" applyFill="1" applyBorder="1" applyAlignment="1" applyProtection="1">
      <alignment horizontal="left" vertical="center"/>
      <protection hidden="1"/>
    </xf>
    <xf numFmtId="49" fontId="64" fillId="0" borderId="11" xfId="0" applyNumberFormat="1" applyFont="1" applyFill="1" applyBorder="1" applyAlignment="1" applyProtection="1">
      <alignment horizontal="center" vertical="center"/>
      <protection hidden="1"/>
    </xf>
    <xf numFmtId="167" fontId="64" fillId="0" borderId="11" xfId="0" applyNumberFormat="1" applyFont="1" applyBorder="1" applyAlignment="1" applyProtection="1">
      <alignment horizontal="right" vertical="center" wrapText="1"/>
      <protection hidden="1"/>
    </xf>
    <xf numFmtId="167" fontId="64" fillId="4" borderId="38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0" xfId="0" applyNumberFormat="1" applyFont="1" applyFill="1" applyBorder="1" applyAlignment="1" applyProtection="1">
      <alignment horizontal="center" vertical="center"/>
      <protection hidden="1"/>
    </xf>
    <xf numFmtId="167" fontId="64" fillId="0" borderId="0" xfId="0" applyNumberFormat="1" applyFont="1" applyBorder="1" applyAlignment="1" applyProtection="1">
      <alignment horizontal="right" vertical="center" wrapText="1"/>
      <protection hidden="1"/>
    </xf>
    <xf numFmtId="167" fontId="64" fillId="4" borderId="24" xfId="0" applyNumberFormat="1" applyFont="1" applyFill="1" applyBorder="1" applyAlignment="1" applyProtection="1">
      <alignment horizontal="right" vertical="center" wrapText="1"/>
      <protection hidden="1"/>
    </xf>
    <xf numFmtId="49" fontId="64" fillId="0" borderId="4" xfId="0" applyNumberFormat="1" applyFont="1" applyFill="1" applyBorder="1" applyAlignment="1" applyProtection="1">
      <alignment horizontal="center" vertical="center"/>
      <protection hidden="1"/>
    </xf>
    <xf numFmtId="167" fontId="64" fillId="0" borderId="4" xfId="0" applyNumberFormat="1" applyFont="1" applyBorder="1" applyAlignment="1" applyProtection="1">
      <alignment horizontal="right" vertical="center" wrapText="1"/>
      <protection hidden="1"/>
    </xf>
    <xf numFmtId="167" fontId="64" fillId="4" borderId="16" xfId="0" applyNumberFormat="1" applyFont="1" applyFill="1" applyBorder="1" applyAlignment="1" applyProtection="1">
      <alignment horizontal="right" vertical="center" wrapText="1"/>
      <protection hidden="1"/>
    </xf>
    <xf numFmtId="0" fontId="70" fillId="0" borderId="34" xfId="0" applyFont="1" applyFill="1" applyBorder="1" applyAlignment="1" applyProtection="1">
      <alignment vertical="center" wrapText="1"/>
      <protection hidden="1"/>
    </xf>
    <xf numFmtId="49" fontId="64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64" fillId="0" borderId="35" xfId="0" quotePrefix="1" applyNumberFormat="1" applyFont="1" applyBorder="1" applyAlignment="1" applyProtection="1">
      <alignment vertical="center" wrapText="1"/>
      <protection hidden="1"/>
    </xf>
    <xf numFmtId="167" fontId="64" fillId="0" borderId="36" xfId="0" applyNumberFormat="1" applyFont="1" applyBorder="1" applyAlignment="1" applyProtection="1">
      <alignment vertical="center" wrapText="1"/>
      <protection hidden="1"/>
    </xf>
    <xf numFmtId="0" fontId="64" fillId="0" borderId="35" xfId="0" applyFont="1" applyBorder="1" applyAlignment="1" applyProtection="1">
      <alignment horizontal="center" vertical="center" wrapText="1"/>
      <protection hidden="1"/>
    </xf>
    <xf numFmtId="167" fontId="64" fillId="4" borderId="39" xfId="0" applyNumberFormat="1" applyFont="1" applyFill="1" applyBorder="1" applyAlignment="1" applyProtection="1">
      <alignment horizontal="right" vertical="center" wrapText="1"/>
      <protection hidden="1"/>
    </xf>
    <xf numFmtId="4" fontId="7" fillId="0" borderId="0" xfId="0" applyNumberFormat="1" applyFont="1" applyAlignment="1" applyProtection="1">
      <alignment horizontal="right" vertical="center"/>
      <protection hidden="1"/>
    </xf>
    <xf numFmtId="3" fontId="1" fillId="4" borderId="0" xfId="0" applyNumberFormat="1" applyFont="1" applyFill="1" applyAlignment="1" applyProtection="1">
      <alignment horizontal="right" vertical="center"/>
      <protection hidden="1"/>
    </xf>
    <xf numFmtId="4" fontId="64" fillId="5" borderId="40" xfId="0" applyNumberFormat="1" applyFont="1" applyFill="1" applyBorder="1" applyAlignment="1" applyProtection="1">
      <alignment horizontal="center" vertical="center"/>
      <protection hidden="1"/>
    </xf>
    <xf numFmtId="4" fontId="64" fillId="5" borderId="41" xfId="0" applyNumberFormat="1" applyFont="1" applyFill="1" applyBorder="1" applyAlignment="1" applyProtection="1">
      <alignment vertical="center"/>
      <protection hidden="1"/>
    </xf>
    <xf numFmtId="4" fontId="64" fillId="5" borderId="30" xfId="0" applyNumberFormat="1" applyFont="1" applyFill="1" applyBorder="1" applyAlignment="1" applyProtection="1">
      <alignment horizontal="center" vertical="center"/>
      <protection hidden="1"/>
    </xf>
    <xf numFmtId="4" fontId="64" fillId="5" borderId="31" xfId="0" applyNumberFormat="1" applyFont="1" applyFill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center" vertical="center" wrapText="1"/>
      <protection hidden="1"/>
    </xf>
    <xf numFmtId="0" fontId="44" fillId="4" borderId="0" xfId="0" applyFont="1" applyFill="1" applyAlignment="1" applyProtection="1">
      <alignment horizontal="right" vertical="center" wrapText="1"/>
      <protection hidden="1"/>
    </xf>
    <xf numFmtId="4" fontId="64" fillId="5" borderId="6" xfId="0" applyNumberFormat="1" applyFont="1" applyFill="1" applyBorder="1" applyAlignment="1" applyProtection="1">
      <alignment horizontal="center" vertical="center"/>
      <protection hidden="1"/>
    </xf>
    <xf numFmtId="4" fontId="64" fillId="5" borderId="23" xfId="0" applyNumberFormat="1" applyFont="1" applyFill="1" applyBorder="1" applyAlignment="1" applyProtection="1">
      <alignment vertical="center"/>
      <protection hidden="1"/>
    </xf>
    <xf numFmtId="4" fontId="1" fillId="6" borderId="19" xfId="0" applyNumberFormat="1" applyFont="1" applyFill="1" applyBorder="1" applyAlignment="1" applyProtection="1">
      <alignment vertical="center"/>
      <protection locked="0"/>
    </xf>
    <xf numFmtId="4" fontId="1" fillId="6" borderId="30" xfId="0" applyNumberFormat="1" applyFont="1" applyFill="1" applyBorder="1" applyAlignment="1" applyProtection="1">
      <alignment vertical="center"/>
      <protection locked="0"/>
    </xf>
    <xf numFmtId="4" fontId="1" fillId="6" borderId="6" xfId="0" applyNumberFormat="1" applyFont="1" applyFill="1" applyBorder="1" applyAlignment="1" applyProtection="1">
      <alignment vertical="center"/>
      <protection locked="0"/>
    </xf>
    <xf numFmtId="4" fontId="64" fillId="6" borderId="19" xfId="0" applyNumberFormat="1" applyFont="1" applyFill="1" applyBorder="1" applyAlignment="1" applyProtection="1">
      <alignment vertical="center"/>
      <protection locked="0"/>
    </xf>
    <xf numFmtId="4" fontId="64" fillId="6" borderId="6" xfId="0" applyNumberFormat="1" applyFont="1" applyFill="1" applyBorder="1" applyAlignment="1" applyProtection="1">
      <alignment vertical="center"/>
      <protection locked="0"/>
    </xf>
    <xf numFmtId="4" fontId="64" fillId="6" borderId="30" xfId="0" applyNumberFormat="1" applyFont="1" applyFill="1" applyBorder="1" applyAlignment="1" applyProtection="1">
      <alignment vertical="center"/>
      <protection locked="0"/>
    </xf>
    <xf numFmtId="4" fontId="64" fillId="6" borderId="34" xfId="0" applyNumberFormat="1" applyFont="1" applyFill="1" applyBorder="1" applyAlignment="1" applyProtection="1">
      <alignment vertical="center"/>
      <protection locked="0"/>
    </xf>
    <xf numFmtId="4" fontId="1" fillId="6" borderId="34" xfId="0" applyNumberFormat="1" applyFont="1" applyFill="1" applyBorder="1" applyAlignment="1" applyProtection="1">
      <alignment vertical="center"/>
      <protection locked="0"/>
    </xf>
    <xf numFmtId="4" fontId="1" fillId="6" borderId="6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4" fontId="2" fillId="0" borderId="22" xfId="0" applyNumberFormat="1" applyFont="1" applyBorder="1" applyAlignment="1" applyProtection="1">
      <alignment vertical="center"/>
      <protection hidden="1"/>
    </xf>
    <xf numFmtId="0" fontId="1" fillId="0" borderId="27" xfId="0" applyFont="1" applyBorder="1" applyAlignment="1" applyProtection="1">
      <alignment vertical="center"/>
      <protection hidden="1"/>
    </xf>
    <xf numFmtId="0" fontId="70" fillId="0" borderId="27" xfId="0" applyFont="1" applyBorder="1" applyAlignment="1" applyProtection="1">
      <alignment vertical="center" wrapText="1"/>
      <protection hidden="1"/>
    </xf>
    <xf numFmtId="4" fontId="64" fillId="0" borderId="31" xfId="0" applyNumberFormat="1" applyFont="1" applyBorder="1" applyAlignment="1" applyProtection="1">
      <alignment vertical="center"/>
      <protection hidden="1"/>
    </xf>
    <xf numFmtId="0" fontId="1" fillId="0" borderId="21" xfId="0" applyFont="1" applyBorder="1" applyAlignment="1" applyProtection="1">
      <alignment vertical="center"/>
      <protection hidden="1"/>
    </xf>
    <xf numFmtId="4" fontId="64" fillId="0" borderId="23" xfId="0" applyNumberFormat="1" applyFont="1" applyBorder="1" applyAlignment="1" applyProtection="1">
      <alignment vertical="center"/>
      <protection hidden="1"/>
    </xf>
    <xf numFmtId="167" fontId="64" fillId="0" borderId="19" xfId="0" applyNumberFormat="1" applyFont="1" applyFill="1" applyBorder="1" applyAlignment="1" applyProtection="1">
      <alignment horizontal="right" vertical="center" wrapText="1"/>
      <protection hidden="1"/>
    </xf>
    <xf numFmtId="167" fontId="64" fillId="0" borderId="30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31" xfId="0" applyNumberFormat="1" applyFont="1" applyBorder="1" applyAlignment="1" applyProtection="1">
      <alignment vertical="center"/>
      <protection hidden="1"/>
    </xf>
    <xf numFmtId="167" fontId="64" fillId="0" borderId="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23" xfId="0" applyNumberFormat="1" applyFont="1" applyBorder="1" applyAlignment="1" applyProtection="1">
      <alignment vertical="center"/>
      <protection hidden="1"/>
    </xf>
    <xf numFmtId="167" fontId="64" fillId="0" borderId="42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43" xfId="0" applyNumberFormat="1" applyFont="1" applyBorder="1" applyAlignment="1" applyProtection="1">
      <alignment vertical="center"/>
      <protection hidden="1"/>
    </xf>
    <xf numFmtId="167" fontId="64" fillId="0" borderId="34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37" xfId="0" applyNumberFormat="1" applyFont="1" applyBorder="1" applyAlignment="1" applyProtection="1">
      <alignment vertical="center"/>
      <protection hidden="1"/>
    </xf>
    <xf numFmtId="167" fontId="64" fillId="0" borderId="15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29" xfId="0" applyNumberFormat="1" applyFont="1" applyBorder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left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167" fontId="7" fillId="0" borderId="1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0" quotePrefix="1" applyFont="1" applyFill="1" applyBorder="1" applyAlignment="1" applyProtection="1">
      <alignment horizontal="center" vertical="center" wrapText="1"/>
      <protection hidden="1"/>
    </xf>
    <xf numFmtId="167" fontId="1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49" fontId="2" fillId="5" borderId="1" xfId="5" applyNumberFormat="1" applyFont="1" applyFill="1" applyBorder="1" applyAlignment="1" applyProtection="1">
      <alignment vertical="top"/>
      <protection hidden="1"/>
    </xf>
    <xf numFmtId="49" fontId="2" fillId="5" borderId="1" xfId="5" applyNumberFormat="1" applyFont="1" applyFill="1" applyBorder="1" applyAlignment="1" applyProtection="1">
      <alignment horizontal="left" vertical="top"/>
      <protection hidden="1"/>
    </xf>
    <xf numFmtId="0" fontId="2" fillId="5" borderId="0" xfId="5" applyFont="1" applyFill="1" applyAlignment="1" applyProtection="1">
      <alignment vertical="top" wrapText="1"/>
      <protection hidden="1"/>
    </xf>
    <xf numFmtId="167" fontId="7" fillId="5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5" borderId="1" xfId="0" quotePrefix="1" applyFont="1" applyFill="1" applyBorder="1" applyAlignment="1" applyProtection="1">
      <alignment horizontal="center" vertical="center" wrapText="1"/>
      <protection hidden="1"/>
    </xf>
    <xf numFmtId="167" fontId="1" fillId="5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167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quotePrefix="1" applyFont="1" applyFill="1" applyBorder="1" applyAlignment="1" applyProtection="1">
      <alignment horizontal="center" vertical="center" wrapText="1"/>
      <protection hidden="1"/>
    </xf>
    <xf numFmtId="167" fontId="1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9" fontId="2" fillId="0" borderId="1" xfId="0" quotePrefix="1" applyNumberFormat="1" applyFont="1" applyBorder="1" applyAlignment="1" applyProtection="1">
      <alignment horizontal="left" vertical="top"/>
      <protection hidden="1"/>
    </xf>
    <xf numFmtId="49" fontId="2" fillId="0" borderId="1" xfId="0" applyNumberFormat="1" applyFont="1" applyBorder="1" applyAlignment="1" applyProtection="1">
      <alignment horizontal="left"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167" fontId="2" fillId="0" borderId="0" xfId="0" applyNumberFormat="1" applyFont="1" applyAlignment="1" applyProtection="1">
      <alignment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7" fontId="2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1" xfId="0" quotePrefix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49" fontId="6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165" fontId="44" fillId="5" borderId="1" xfId="0" applyNumberFormat="1" applyFont="1" applyFill="1" applyBorder="1" applyAlignment="1" applyProtection="1">
      <alignment horizontal="left" vertical="center" wrapText="1"/>
      <protection hidden="1"/>
    </xf>
    <xf numFmtId="166" fontId="44" fillId="5" borderId="1" xfId="0" applyNumberFormat="1" applyFont="1" applyFill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left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49" fontId="2" fillId="0" borderId="1" xfId="0" quotePrefix="1" applyNumberFormat="1" applyFont="1" applyBorder="1" applyAlignment="1" applyProtection="1">
      <alignment horizontal="left" vertical="center"/>
      <protection hidden="1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167" fontId="18" fillId="0" borderId="0" xfId="0" applyNumberFormat="1" applyFont="1" applyAlignment="1" applyProtection="1">
      <alignment horizontal="right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49" fontId="2" fillId="0" borderId="12" xfId="0" applyNumberFormat="1" applyFont="1" applyFill="1" applyBorder="1" applyAlignment="1" applyProtection="1">
      <alignment vertical="center"/>
      <protection hidden="1"/>
    </xf>
    <xf numFmtId="49" fontId="1" fillId="0" borderId="1" xfId="0" applyNumberFormat="1" applyFont="1" applyFill="1" applyBorder="1" applyAlignment="1" applyProtection="1">
      <alignment horizontal="left" vertical="center"/>
      <protection hidden="1"/>
    </xf>
    <xf numFmtId="49" fontId="1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4" fontId="1" fillId="0" borderId="0" xfId="0" applyNumberFormat="1" applyFont="1" applyFill="1" applyAlignment="1" applyProtection="1">
      <alignment vertical="center"/>
      <protection hidden="1"/>
    </xf>
    <xf numFmtId="0" fontId="7" fillId="4" borderId="0" xfId="0" applyNumberFormat="1" applyFont="1" applyFill="1" applyBorder="1" applyAlignment="1" applyProtection="1">
      <alignment horizontal="left" vertical="center" wrapText="1"/>
      <protection hidden="1"/>
    </xf>
    <xf numFmtId="167" fontId="7" fillId="4" borderId="0" xfId="0" applyNumberFormat="1" applyFont="1" applyFill="1" applyBorder="1" applyAlignment="1" applyProtection="1">
      <alignment horizontal="right" vertical="center" wrapText="1"/>
      <protection hidden="1"/>
    </xf>
    <xf numFmtId="167" fontId="8" fillId="4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167" fontId="7" fillId="0" borderId="0" xfId="0" applyNumberFormat="1" applyFont="1" applyFill="1" applyAlignment="1" applyProtection="1">
      <alignment horizontal="right" vertical="center" wrapText="1"/>
      <protection hidden="1"/>
    </xf>
    <xf numFmtId="0" fontId="5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0" quotePrefix="1" applyNumberFormat="1" applyFont="1" applyBorder="1" applyAlignment="1" applyProtection="1">
      <alignment horizontal="left" vertical="center"/>
      <protection hidden="1"/>
    </xf>
    <xf numFmtId="0" fontId="64" fillId="0" borderId="0" xfId="0" applyFont="1" applyAlignment="1" applyProtection="1">
      <alignment horizontal="left" vertical="center" wrapText="1"/>
      <protection hidden="1"/>
    </xf>
    <xf numFmtId="49" fontId="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4" fontId="1" fillId="4" borderId="0" xfId="0" applyNumberFormat="1" applyFont="1" applyFill="1" applyAlignment="1" applyProtection="1">
      <alignment vertical="center"/>
      <protection hidden="1"/>
    </xf>
    <xf numFmtId="49" fontId="1" fillId="0" borderId="1" xfId="0" applyNumberFormat="1" applyFont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167" fontId="8" fillId="0" borderId="0" xfId="0" applyNumberFormat="1" applyFont="1" applyFill="1" applyBorder="1" applyAlignment="1" applyProtection="1">
      <alignment horizontal="right" vertical="center" wrapText="1"/>
      <protection hidden="1"/>
    </xf>
    <xf numFmtId="167" fontId="7" fillId="0" borderId="0" xfId="0" applyNumberFormat="1" applyFont="1" applyAlignment="1" applyProtection="1">
      <alignment horizontal="right" vertical="center" wrapText="1"/>
      <protection hidden="1"/>
    </xf>
    <xf numFmtId="49" fontId="7" fillId="0" borderId="3" xfId="0" applyNumberFormat="1" applyFont="1" applyFill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vertical="center" wrapText="1"/>
      <protection hidden="1"/>
    </xf>
    <xf numFmtId="0" fontId="57" fillId="0" borderId="0" xfId="0" applyFont="1" applyAlignment="1" applyProtection="1">
      <alignment vertical="center"/>
      <protection hidden="1"/>
    </xf>
    <xf numFmtId="0" fontId="57" fillId="0" borderId="0" xfId="0" applyFont="1" applyAlignment="1" applyProtection="1">
      <alignment horizontal="right"/>
      <protection hidden="1"/>
    </xf>
    <xf numFmtId="49" fontId="2" fillId="0" borderId="1" xfId="0" quotePrefix="1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167" fontId="2" fillId="0" borderId="0" xfId="0" applyNumberFormat="1" applyFont="1" applyAlignment="1" applyProtection="1">
      <alignment horizontal="left" vertical="center" wrapText="1"/>
      <protection hidden="1"/>
    </xf>
    <xf numFmtId="0" fontId="33" fillId="0" borderId="0" xfId="0" applyFont="1" applyAlignment="1" applyProtection="1">
      <alignment vertical="center" wrapText="1"/>
      <protection hidden="1"/>
    </xf>
    <xf numFmtId="4" fontId="33" fillId="0" borderId="0" xfId="0" applyNumberFormat="1" applyFont="1" applyAlignment="1" applyProtection="1">
      <alignment horizontal="center" vertical="center"/>
      <protection hidden="1"/>
    </xf>
    <xf numFmtId="4" fontId="33" fillId="0" borderId="0" xfId="0" applyNumberFormat="1" applyFont="1" applyAlignment="1" applyProtection="1">
      <alignment vertical="center"/>
      <protection hidden="1"/>
    </xf>
    <xf numFmtId="0" fontId="56" fillId="0" borderId="3" xfId="4" applyFont="1" applyBorder="1" applyAlignment="1" applyProtection="1">
      <alignment horizontal="left" wrapText="1" indent="1"/>
      <protection hidden="1"/>
    </xf>
    <xf numFmtId="49" fontId="2" fillId="5" borderId="1" xfId="0" applyNumberFormat="1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left" vertical="center"/>
      <protection hidden="1"/>
    </xf>
    <xf numFmtId="49" fontId="2" fillId="5" borderId="1" xfId="0" applyNumberFormat="1" applyFont="1" applyFill="1" applyBorder="1" applyAlignment="1" applyProtection="1">
      <alignment horizontal="left" vertical="center"/>
      <protection hidden="1"/>
    </xf>
    <xf numFmtId="0" fontId="6" fillId="5" borderId="0" xfId="0" applyFont="1" applyFill="1" applyBorder="1" applyAlignment="1" applyProtection="1">
      <alignment horizontal="left" vertical="center" wrapText="1"/>
      <protection hidden="1"/>
    </xf>
    <xf numFmtId="49" fontId="2" fillId="4" borderId="1" xfId="0" quotePrefix="1" applyNumberFormat="1" applyFont="1" applyFill="1" applyBorder="1" applyAlignment="1" applyProtection="1">
      <alignment horizontal="left" vertical="center"/>
      <protection hidden="1"/>
    </xf>
    <xf numFmtId="49" fontId="2" fillId="4" borderId="1" xfId="0" applyNumberFormat="1" applyFont="1" applyFill="1" applyBorder="1" applyAlignment="1" applyProtection="1">
      <alignment horizontal="left" vertical="center"/>
      <protection hidden="1"/>
    </xf>
    <xf numFmtId="0" fontId="2" fillId="4" borderId="0" xfId="0" applyFont="1" applyFill="1" applyAlignment="1" applyProtection="1">
      <alignment horizontal="left" vertical="center" wrapText="1"/>
      <protection hidden="1"/>
    </xf>
    <xf numFmtId="167" fontId="18" fillId="4" borderId="0" xfId="0" applyNumberFormat="1" applyFont="1" applyFill="1" applyAlignment="1" applyProtection="1">
      <alignment horizontal="right" vertical="center" wrapText="1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67" fontId="2" fillId="4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49" fontId="1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1" fillId="4" borderId="0" xfId="0" applyFont="1" applyFill="1" applyAlignment="1" applyProtection="1">
      <alignment horizontal="left" vertical="center" wrapText="1"/>
      <protection hidden="1"/>
    </xf>
    <xf numFmtId="167" fontId="7" fillId="4" borderId="0" xfId="0" applyNumberFormat="1" applyFont="1" applyFill="1" applyAlignment="1" applyProtection="1">
      <alignment horizontal="right" vertical="center" wrapText="1"/>
      <protection hidden="1"/>
    </xf>
    <xf numFmtId="0" fontId="1" fillId="4" borderId="1" xfId="0" applyFont="1" applyFill="1" applyBorder="1" applyAlignment="1" applyProtection="1">
      <alignment horizontal="center" vertical="center"/>
      <protection hidden="1"/>
    </xf>
    <xf numFmtId="167" fontId="1" fillId="4" borderId="14" xfId="0" applyNumberFormat="1" applyFont="1" applyFill="1" applyBorder="1" applyAlignment="1" applyProtection="1">
      <alignment horizontal="right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7" fillId="4" borderId="3" xfId="0" applyNumberFormat="1" applyFont="1" applyFill="1" applyBorder="1" applyAlignment="1" applyProtection="1">
      <alignment horizontal="left" vertical="center" wrapText="1"/>
      <protection hidden="1"/>
    </xf>
    <xf numFmtId="0" fontId="1" fillId="4" borderId="1" xfId="0" quotePrefix="1" applyFont="1" applyFill="1" applyBorder="1" applyAlignment="1" applyProtection="1">
      <alignment horizontal="center" vertical="center" wrapText="1"/>
      <protection hidden="1"/>
    </xf>
    <xf numFmtId="4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49" fontId="2" fillId="0" borderId="1" xfId="0" applyNumberFormat="1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Border="1" applyAlignment="1" applyProtection="1">
      <alignment horizontal="left" vertical="top"/>
      <protection hidden="1"/>
    </xf>
    <xf numFmtId="167" fontId="2" fillId="0" borderId="14" xfId="0" applyNumberFormat="1" applyFont="1" applyBorder="1" applyAlignment="1" applyProtection="1">
      <alignment horizontal="right" vertical="center" wrapText="1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1" fillId="0" borderId="1" xfId="0" quotePrefix="1" applyFont="1" applyBorder="1" applyAlignment="1" applyProtection="1">
      <alignment horizontal="center" vertical="center" wrapText="1"/>
      <protection hidden="1"/>
    </xf>
    <xf numFmtId="167" fontId="1" fillId="0" borderId="14" xfId="0" applyNumberFormat="1" applyFont="1" applyBorder="1" applyAlignment="1" applyProtection="1">
      <alignment horizontal="right" vertical="center" wrapText="1"/>
      <protection hidden="1"/>
    </xf>
    <xf numFmtId="49" fontId="7" fillId="4" borderId="0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4" xfId="0" applyNumberFormat="1" applyFont="1" applyBorder="1" applyAlignment="1" applyProtection="1">
      <alignment vertical="top"/>
      <protection hidden="1"/>
    </xf>
    <xf numFmtId="49" fontId="1" fillId="0" borderId="1" xfId="0" quotePrefix="1" applyNumberFormat="1" applyFont="1" applyBorder="1" applyAlignment="1" applyProtection="1">
      <alignment horizontal="left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167" fontId="1" fillId="0" borderId="0" xfId="0" applyNumberFormat="1" applyFont="1" applyAlignment="1" applyProtection="1">
      <alignment wrapText="1"/>
      <protection hidden="1"/>
    </xf>
    <xf numFmtId="0" fontId="1" fillId="0" borderId="1" xfId="0" applyFont="1" applyBorder="1" applyAlignment="1" applyProtection="1">
      <alignment horizontal="center" vertical="top"/>
      <protection hidden="1"/>
    </xf>
    <xf numFmtId="0" fontId="5" fillId="0" borderId="2" xfId="0" applyFont="1" applyFill="1" applyBorder="1" applyAlignment="1" applyProtection="1">
      <alignment horizontal="center" vertical="top"/>
      <protection hidden="1"/>
    </xf>
    <xf numFmtId="0" fontId="5" fillId="0" borderId="1" xfId="0" applyFont="1" applyBorder="1" applyAlignment="1" applyProtection="1">
      <alignment wrapText="1"/>
      <protection hidden="1"/>
    </xf>
    <xf numFmtId="49" fontId="5" fillId="0" borderId="1" xfId="0" quotePrefix="1" applyNumberFormat="1" applyFont="1" applyBorder="1" applyAlignment="1" applyProtection="1">
      <alignment horizontal="left" vertical="top"/>
      <protection hidden="1"/>
    </xf>
    <xf numFmtId="49" fontId="5" fillId="0" borderId="1" xfId="0" applyNumberFormat="1" applyFont="1" applyBorder="1" applyAlignment="1" applyProtection="1">
      <alignment horizontal="left" vertical="top"/>
      <protection hidden="1"/>
    </xf>
    <xf numFmtId="0" fontId="5" fillId="0" borderId="0" xfId="0" applyFont="1" applyAlignment="1" applyProtection="1">
      <alignment vertical="top" wrapText="1"/>
      <protection hidden="1"/>
    </xf>
    <xf numFmtId="167" fontId="5" fillId="0" borderId="0" xfId="0" applyNumberFormat="1" applyFont="1" applyAlignment="1" applyProtection="1">
      <alignment wrapText="1"/>
      <protection hidden="1"/>
    </xf>
    <xf numFmtId="0" fontId="5" fillId="0" borderId="1" xfId="0" applyFont="1" applyBorder="1" applyAlignment="1" applyProtection="1">
      <alignment horizontal="center" vertical="top"/>
      <protection hidden="1"/>
    </xf>
    <xf numFmtId="167" fontId="5" fillId="0" borderId="14" xfId="0" applyNumberFormat="1" applyFont="1" applyBorder="1" applyAlignment="1" applyProtection="1">
      <alignment horizontal="right" vertical="top" wrapText="1"/>
      <protection hidden="1"/>
    </xf>
    <xf numFmtId="0" fontId="55" fillId="0" borderId="2" xfId="0" applyFont="1" applyFill="1" applyBorder="1" applyAlignment="1" applyProtection="1">
      <alignment wrapText="1"/>
      <protection hidden="1"/>
    </xf>
    <xf numFmtId="0" fontId="60" fillId="0" borderId="1" xfId="0" applyFont="1" applyBorder="1" applyAlignment="1" applyProtection="1">
      <alignment wrapText="1"/>
      <protection hidden="1"/>
    </xf>
    <xf numFmtId="49" fontId="55" fillId="0" borderId="1" xfId="0" applyNumberFormat="1" applyFont="1" applyBorder="1" applyAlignment="1" applyProtection="1">
      <alignment horizontal="left" vertical="top"/>
      <protection hidden="1"/>
    </xf>
    <xf numFmtId="49" fontId="55" fillId="0" borderId="1" xfId="0" quotePrefix="1" applyNumberFormat="1" applyFont="1" applyBorder="1" applyAlignment="1" applyProtection="1">
      <alignment horizontal="left" vertical="top"/>
      <protection hidden="1"/>
    </xf>
    <xf numFmtId="0" fontId="55" fillId="0" borderId="0" xfId="0" applyFont="1" applyAlignment="1" applyProtection="1">
      <alignment vertical="top" wrapText="1"/>
      <protection hidden="1"/>
    </xf>
    <xf numFmtId="167" fontId="55" fillId="0" borderId="0" xfId="0" applyNumberFormat="1" applyFont="1" applyAlignment="1" applyProtection="1">
      <alignment wrapText="1"/>
      <protection hidden="1"/>
    </xf>
    <xf numFmtId="0" fontId="55" fillId="0" borderId="1" xfId="0" applyFont="1" applyBorder="1" applyAlignment="1" applyProtection="1">
      <alignment horizontal="center" vertical="top"/>
      <protection hidden="1"/>
    </xf>
    <xf numFmtId="167" fontId="55" fillId="0" borderId="14" xfId="0" applyNumberFormat="1" applyFont="1" applyBorder="1" applyAlignment="1" applyProtection="1">
      <alignment horizontal="right" vertical="top" wrapText="1"/>
      <protection hidden="1"/>
    </xf>
    <xf numFmtId="0" fontId="56" fillId="0" borderId="0" xfId="0" applyFont="1" applyAlignment="1" applyProtection="1">
      <alignment horizontal="left" vertical="top" wrapText="1" indent="1"/>
      <protection hidden="1"/>
    </xf>
    <xf numFmtId="49" fontId="55" fillId="0" borderId="1" xfId="0" quotePrefix="1" applyNumberFormat="1" applyFont="1" applyFill="1" applyBorder="1" applyAlignment="1" applyProtection="1">
      <alignment horizontal="left" vertical="top"/>
      <protection hidden="1"/>
    </xf>
    <xf numFmtId="167" fontId="56" fillId="0" borderId="12" xfId="0" applyNumberFormat="1" applyFont="1" applyBorder="1" applyAlignment="1" applyProtection="1">
      <alignment vertical="top" wrapText="1"/>
      <protection hidden="1"/>
    </xf>
    <xf numFmtId="167" fontId="56" fillId="0" borderId="0" xfId="0" applyNumberFormat="1" applyFont="1" applyAlignment="1" applyProtection="1">
      <alignment vertical="top" wrapText="1"/>
      <protection hidden="1"/>
    </xf>
    <xf numFmtId="167" fontId="58" fillId="0" borderId="0" xfId="0" applyNumberFormat="1" applyFont="1" applyAlignment="1" applyProtection="1">
      <alignment vertical="top" wrapText="1"/>
      <protection hidden="1"/>
    </xf>
    <xf numFmtId="0" fontId="55" fillId="0" borderId="2" xfId="0" applyFont="1" applyBorder="1" applyAlignment="1" applyProtection="1">
      <alignment wrapText="1"/>
      <protection hidden="1"/>
    </xf>
    <xf numFmtId="49" fontId="56" fillId="0" borderId="0" xfId="0" applyNumberFormat="1" applyFont="1" applyAlignment="1" applyProtection="1">
      <alignment horizontal="right" vertical="top" wrapText="1" indent="1"/>
      <protection hidden="1"/>
    </xf>
    <xf numFmtId="167" fontId="56" fillId="0" borderId="0" xfId="0" applyNumberFormat="1" applyFont="1" applyAlignment="1" applyProtection="1">
      <alignment wrapText="1"/>
      <protection hidden="1"/>
    </xf>
    <xf numFmtId="0" fontId="2" fillId="4" borderId="1" xfId="0" applyFont="1" applyFill="1" applyBorder="1" applyAlignment="1" applyProtection="1">
      <alignment vertical="center" wrapText="1"/>
      <protection hidden="1"/>
    </xf>
    <xf numFmtId="0" fontId="1" fillId="4" borderId="0" xfId="0" applyFont="1" applyFill="1" applyAlignment="1" applyProtection="1">
      <alignment vertical="center"/>
      <protection hidden="1"/>
    </xf>
    <xf numFmtId="0" fontId="1" fillId="4" borderId="2" xfId="0" applyFont="1" applyFill="1" applyBorder="1" applyAlignment="1" applyProtection="1">
      <alignment vertical="center" wrapText="1"/>
      <protection hidden="1"/>
    </xf>
    <xf numFmtId="49" fontId="1" fillId="4" borderId="1" xfId="0" applyNumberFormat="1" applyFont="1" applyFill="1" applyBorder="1" applyAlignment="1" applyProtection="1">
      <alignment horizontal="left" vertical="center"/>
      <protection hidden="1"/>
    </xf>
    <xf numFmtId="0" fontId="7" fillId="4" borderId="0" xfId="0" applyNumberFormat="1" applyFont="1" applyFill="1" applyBorder="1" applyAlignment="1" applyProtection="1">
      <alignment vertical="center" wrapText="1"/>
      <protection hidden="1"/>
    </xf>
    <xf numFmtId="0" fontId="48" fillId="0" borderId="2" xfId="0" applyFont="1" applyFill="1" applyBorder="1" applyAlignment="1" applyProtection="1">
      <alignment wrapText="1"/>
      <protection hidden="1"/>
    </xf>
    <xf numFmtId="49" fontId="48" fillId="0" borderId="1" xfId="0" applyNumberFormat="1" applyFont="1" applyBorder="1" applyAlignment="1" applyProtection="1">
      <alignment horizontal="left" vertical="top"/>
      <protection hidden="1"/>
    </xf>
    <xf numFmtId="49" fontId="48" fillId="0" borderId="1" xfId="0" quotePrefix="1" applyNumberFormat="1" applyFont="1" applyBorder="1" applyAlignment="1" applyProtection="1">
      <alignment horizontal="left" vertical="top"/>
      <protection hidden="1"/>
    </xf>
    <xf numFmtId="0" fontId="48" fillId="0" borderId="0" xfId="0" applyFont="1" applyAlignment="1" applyProtection="1">
      <alignment vertical="top" wrapText="1"/>
      <protection hidden="1"/>
    </xf>
    <xf numFmtId="167" fontId="48" fillId="0" borderId="0" xfId="0" applyNumberFormat="1" applyFont="1" applyAlignment="1" applyProtection="1">
      <alignment wrapText="1"/>
      <protection hidden="1"/>
    </xf>
    <xf numFmtId="0" fontId="48" fillId="0" borderId="1" xfId="0" applyFont="1" applyBorder="1" applyAlignment="1" applyProtection="1">
      <alignment horizontal="center" vertical="top"/>
      <protection hidden="1"/>
    </xf>
    <xf numFmtId="167" fontId="48" fillId="0" borderId="14" xfId="0" applyNumberFormat="1" applyFont="1" applyBorder="1" applyAlignment="1" applyProtection="1">
      <alignment horizontal="right" vertical="top" wrapText="1"/>
      <protection hidden="1"/>
    </xf>
    <xf numFmtId="49" fontId="5" fillId="0" borderId="1" xfId="0" applyNumberFormat="1" applyFont="1" applyBorder="1" applyAlignment="1" applyProtection="1">
      <alignment wrapText="1"/>
      <protection hidden="1"/>
    </xf>
    <xf numFmtId="49" fontId="48" fillId="0" borderId="1" xfId="0" applyNumberFormat="1" applyFont="1" applyBorder="1" applyAlignment="1" applyProtection="1">
      <alignment wrapText="1"/>
      <protection hidden="1"/>
    </xf>
    <xf numFmtId="49" fontId="66" fillId="0" borderId="0" xfId="0" applyNumberFormat="1" applyFont="1" applyAlignment="1" applyProtection="1">
      <alignment vertical="top" wrapText="1"/>
      <protection hidden="1"/>
    </xf>
    <xf numFmtId="167" fontId="11" fillId="0" borderId="0" xfId="0" applyNumberFormat="1" applyFont="1" applyAlignment="1" applyProtection="1">
      <alignment horizontal="right" wrapText="1"/>
      <protection hidden="1"/>
    </xf>
    <xf numFmtId="0" fontId="48" fillId="0" borderId="1" xfId="0" applyFont="1" applyBorder="1" applyAlignment="1" applyProtection="1">
      <alignment horizontal="center" vertical="top" wrapText="1"/>
      <protection hidden="1"/>
    </xf>
    <xf numFmtId="0" fontId="1" fillId="0" borderId="2" xfId="0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167" fontId="7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1" fillId="5" borderId="2" xfId="0" applyFont="1" applyFill="1" applyBorder="1" applyAlignment="1" applyProtection="1">
      <alignment vertical="center" wrapText="1"/>
      <protection hidden="1"/>
    </xf>
    <xf numFmtId="167" fontId="45" fillId="5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 applyProtection="1">
      <alignment vertical="center" wrapText="1"/>
      <protection hidden="1"/>
    </xf>
    <xf numFmtId="49" fontId="11" fillId="4" borderId="3" xfId="0" applyNumberFormat="1" applyFont="1" applyFill="1" applyBorder="1" applyAlignment="1" applyProtection="1">
      <alignment horizontal="left" vertical="center" wrapText="1"/>
      <protection hidden="1"/>
    </xf>
    <xf numFmtId="167" fontId="11" fillId="0" borderId="0" xfId="0" applyNumberFormat="1" applyFont="1" applyAlignment="1" applyProtection="1">
      <alignment horizontal="right" vertical="center" wrapText="1"/>
      <protection hidden="1"/>
    </xf>
    <xf numFmtId="0" fontId="48" fillId="0" borderId="0" xfId="0" applyFont="1" applyAlignment="1" applyProtection="1">
      <alignment horizontal="left" vertical="center" wrapText="1"/>
      <protection hidden="1"/>
    </xf>
    <xf numFmtId="49" fontId="1" fillId="0" borderId="1" xfId="0" applyNumberFormat="1" applyFont="1" applyFill="1" applyBorder="1" applyAlignment="1" applyProtection="1">
      <alignment vertical="center" wrapText="1"/>
      <protection hidden="1"/>
    </xf>
    <xf numFmtId="167" fontId="8" fillId="0" borderId="0" xfId="0" applyNumberFormat="1" applyFont="1" applyAlignment="1" applyProtection="1">
      <alignment horizontal="right" vertical="center" wrapText="1"/>
      <protection hidden="1"/>
    </xf>
    <xf numFmtId="49" fontId="11" fillId="0" borderId="0" xfId="0" applyNumberFormat="1" applyFont="1" applyAlignment="1" applyProtection="1">
      <alignment horizontal="right" vertical="top" wrapText="1" indent="1"/>
      <protection hidden="1"/>
    </xf>
    <xf numFmtId="167" fontId="11" fillId="0" borderId="0" xfId="0" applyNumberFormat="1" applyFont="1" applyAlignment="1" applyProtection="1">
      <alignment wrapText="1"/>
      <protection hidden="1"/>
    </xf>
    <xf numFmtId="49" fontId="2" fillId="5" borderId="1" xfId="0" applyNumberFormat="1" applyFont="1" applyFill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vertical="center" wrapText="1"/>
      <protection hidden="1"/>
    </xf>
    <xf numFmtId="167" fontId="18" fillId="5" borderId="0" xfId="0" applyNumberFormat="1" applyFont="1" applyFill="1" applyBorder="1" applyAlignment="1" applyProtection="1">
      <alignment horizontal="right" vertical="center" wrapText="1"/>
      <protection hidden="1"/>
    </xf>
    <xf numFmtId="49" fontId="39" fillId="0" borderId="1" xfId="0" applyNumberFormat="1" applyFont="1" applyFill="1" applyBorder="1" applyAlignment="1" applyProtection="1">
      <alignment horizontal="center" vertical="center"/>
      <protection hidden="1"/>
    </xf>
    <xf numFmtId="0" fontId="40" fillId="0" borderId="1" xfId="0" applyFont="1" applyFill="1" applyBorder="1" applyAlignment="1" applyProtection="1">
      <alignment vertical="center"/>
      <protection hidden="1"/>
    </xf>
    <xf numFmtId="49" fontId="39" fillId="0" borderId="1" xfId="0" applyNumberFormat="1" applyFont="1" applyFill="1" applyBorder="1" applyAlignment="1" applyProtection="1">
      <alignment vertical="center"/>
      <protection hidden="1"/>
    </xf>
    <xf numFmtId="49" fontId="2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vertical="center" wrapText="1"/>
      <protection hidden="1"/>
    </xf>
    <xf numFmtId="167" fontId="18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49" fontId="3" fillId="0" borderId="1" xfId="0" quotePrefix="1" applyNumberFormat="1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167" fontId="11" fillId="0" borderId="0" xfId="0" applyNumberFormat="1" applyFont="1" applyFill="1" applyAlignment="1" applyProtection="1">
      <alignment horizontal="right" vertical="center" wrapText="1"/>
      <protection hidden="1"/>
    </xf>
    <xf numFmtId="0" fontId="39" fillId="0" borderId="0" xfId="0" applyFont="1" applyFill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167" fontId="8" fillId="0" borderId="0" xfId="0" applyNumberFormat="1" applyFont="1" applyFill="1" applyAlignment="1" applyProtection="1">
      <alignment horizontal="right" vertical="center" wrapText="1"/>
      <protection hidden="1"/>
    </xf>
    <xf numFmtId="49" fontId="3" fillId="0" borderId="1" xfId="0" quotePrefix="1" applyNumberFormat="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 wrapText="1"/>
      <protection hidden="1"/>
    </xf>
    <xf numFmtId="167" fontId="8" fillId="0" borderId="12" xfId="0" applyNumberFormat="1" applyFont="1" applyFill="1" applyBorder="1" applyAlignment="1" applyProtection="1">
      <alignment horizontal="right" vertical="center" wrapText="1"/>
      <protection hidden="1"/>
    </xf>
    <xf numFmtId="167" fontId="1" fillId="0" borderId="0" xfId="0" applyNumberFormat="1" applyFont="1" applyAlignment="1" applyProtection="1">
      <alignment vertical="center" wrapText="1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167" fontId="2" fillId="0" borderId="0" xfId="0" applyNumberFormat="1" applyFont="1" applyAlignment="1" applyProtection="1">
      <alignment vertical="center" wrapText="1"/>
      <protection hidden="1"/>
    </xf>
    <xf numFmtId="167" fontId="3" fillId="0" borderId="0" xfId="0" applyNumberFormat="1" applyFont="1" applyAlignment="1" applyProtection="1">
      <alignment vertical="center" wrapText="1"/>
      <protection hidden="1"/>
    </xf>
    <xf numFmtId="167" fontId="56" fillId="0" borderId="0" xfId="0" applyNumberFormat="1" applyFont="1" applyAlignment="1" applyProtection="1">
      <alignment horizontal="right" vertical="top" wrapText="1"/>
      <protection hidden="1"/>
    </xf>
    <xf numFmtId="167" fontId="58" fillId="0" borderId="0" xfId="0" applyNumberFormat="1" applyFont="1" applyAlignment="1" applyProtection="1">
      <alignment horizontal="right" vertical="top" wrapText="1"/>
      <protection hidden="1"/>
    </xf>
    <xf numFmtId="49" fontId="59" fillId="0" borderId="1" xfId="0" applyNumberFormat="1" applyFont="1" applyBorder="1" applyAlignment="1" applyProtection="1">
      <alignment vertical="top"/>
      <protection hidden="1"/>
    </xf>
    <xf numFmtId="49" fontId="56" fillId="0" borderId="0" xfId="0" applyNumberFormat="1" applyFont="1" applyAlignment="1" applyProtection="1">
      <alignment horizontal="left" vertical="top" wrapText="1" indent="1"/>
      <protection hidden="1"/>
    </xf>
    <xf numFmtId="49" fontId="59" fillId="0" borderId="1" xfId="0" applyNumberFormat="1" applyFont="1" applyBorder="1" applyAlignment="1" applyProtection="1">
      <alignment horizontal="center" vertical="top"/>
      <protection hidden="1"/>
    </xf>
    <xf numFmtId="167" fontId="60" fillId="0" borderId="0" xfId="0" applyNumberFormat="1" applyFont="1" applyAlignment="1" applyProtection="1">
      <alignment wrapText="1"/>
      <protection hidden="1"/>
    </xf>
    <xf numFmtId="167" fontId="2" fillId="0" borderId="14" xfId="0" applyNumberFormat="1" applyFont="1" applyBorder="1" applyAlignment="1" applyProtection="1">
      <alignment horizontal="right" vertical="top" wrapText="1"/>
      <protection hidden="1"/>
    </xf>
    <xf numFmtId="0" fontId="55" fillId="0" borderId="2" xfId="0" applyFont="1" applyBorder="1" applyAlignment="1" applyProtection="1">
      <alignment vertical="top" wrapText="1"/>
      <protection hidden="1"/>
    </xf>
    <xf numFmtId="167" fontId="1" fillId="0" borderId="14" xfId="0" applyNumberFormat="1" applyFont="1" applyBorder="1" applyAlignment="1" applyProtection="1">
      <alignment horizontal="right" vertical="top" wrapText="1"/>
      <protection hidden="1"/>
    </xf>
    <xf numFmtId="0" fontId="61" fillId="0" borderId="1" xfId="0" applyFont="1" applyBorder="1" applyAlignment="1" applyProtection="1">
      <alignment vertical="top"/>
      <protection hidden="1"/>
    </xf>
    <xf numFmtId="49" fontId="14" fillId="0" borderId="1" xfId="0" applyNumberFormat="1" applyFont="1" applyBorder="1" applyAlignment="1" applyProtection="1">
      <alignment vertical="top"/>
      <protection hidden="1"/>
    </xf>
    <xf numFmtId="49" fontId="7" fillId="0" borderId="0" xfId="0" applyNumberFormat="1" applyFont="1" applyAlignment="1" applyProtection="1">
      <alignment horizontal="left" vertical="top" wrapText="1" indent="1"/>
      <protection hidden="1"/>
    </xf>
    <xf numFmtId="167" fontId="7" fillId="0" borderId="0" xfId="0" applyNumberFormat="1" applyFont="1" applyAlignment="1" applyProtection="1">
      <alignment horizontal="right" vertical="top" wrapText="1"/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167" fontId="8" fillId="0" borderId="0" xfId="0" applyNumberFormat="1" applyFont="1" applyAlignment="1" applyProtection="1">
      <alignment horizontal="right" vertical="top" wrapText="1"/>
      <protection hidden="1"/>
    </xf>
    <xf numFmtId="49" fontId="2" fillId="4" borderId="1" xfId="0" quotePrefix="1" applyNumberFormat="1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left" vertical="center" wrapText="1"/>
      <protection hidden="1"/>
    </xf>
    <xf numFmtId="167" fontId="18" fillId="4" borderId="0" xfId="0" applyNumberFormat="1" applyFont="1" applyFill="1" applyBorder="1" applyAlignment="1" applyProtection="1">
      <alignment vertical="center" wrapText="1"/>
      <protection hidden="1"/>
    </xf>
    <xf numFmtId="0" fontId="40" fillId="4" borderId="1" xfId="0" applyFont="1" applyFill="1" applyBorder="1" applyAlignment="1" applyProtection="1">
      <alignment horizontal="center" vertical="center"/>
      <protection hidden="1"/>
    </xf>
    <xf numFmtId="49" fontId="39" fillId="4" borderId="1" xfId="0" applyNumberFormat="1" applyFont="1" applyFill="1" applyBorder="1" applyAlignment="1" applyProtection="1">
      <alignment vertical="center"/>
      <protection hidden="1"/>
    </xf>
    <xf numFmtId="0" fontId="2" fillId="0" borderId="2" xfId="0" applyFont="1" applyBorder="1" applyAlignment="1" applyProtection="1">
      <alignment horizontal="center" vertical="top"/>
      <protection hidden="1"/>
    </xf>
    <xf numFmtId="49" fontId="14" fillId="0" borderId="1" xfId="0" applyNumberFormat="1" applyFont="1" applyBorder="1" applyAlignment="1" applyProtection="1">
      <alignment horizontal="center" vertical="top"/>
      <protection hidden="1"/>
    </xf>
    <xf numFmtId="0" fontId="1" fillId="0" borderId="2" xfId="0" applyFont="1" applyBorder="1" applyAlignment="1" applyProtection="1">
      <alignment vertical="top" wrapText="1"/>
      <protection hidden="1"/>
    </xf>
    <xf numFmtId="49" fontId="7" fillId="0" borderId="0" xfId="0" applyNumberFormat="1" applyFont="1" applyAlignment="1" applyProtection="1">
      <alignment horizontal="right" vertical="top" wrapText="1" indent="1"/>
      <protection hidden="1"/>
    </xf>
    <xf numFmtId="167" fontId="62" fillId="0" borderId="0" xfId="0" applyNumberFormat="1" applyFont="1" applyAlignment="1" applyProtection="1">
      <alignment wrapText="1"/>
      <protection hidden="1"/>
    </xf>
    <xf numFmtId="0" fontId="2" fillId="4" borderId="0" xfId="0" applyFont="1" applyFill="1" applyAlignment="1" applyProtection="1">
      <alignment vertical="center" wrapText="1"/>
      <protection hidden="1"/>
    </xf>
    <xf numFmtId="49" fontId="55" fillId="0" borderId="1" xfId="0" quotePrefix="1" applyNumberFormat="1" applyFont="1" applyBorder="1" applyAlignment="1" applyProtection="1">
      <alignment horizontal="left" vertical="center"/>
      <protection hidden="1"/>
    </xf>
    <xf numFmtId="49" fontId="57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7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5" fillId="5" borderId="1" xfId="0" applyFont="1" applyFill="1" applyBorder="1" applyAlignment="1" applyProtection="1">
      <alignment horizontal="left" vertical="center" wrapText="1"/>
      <protection hidden="1"/>
    </xf>
    <xf numFmtId="49" fontId="5" fillId="5" borderId="1" xfId="0" quotePrefix="1" applyNumberFormat="1" applyFont="1" applyFill="1" applyBorder="1" applyAlignment="1" applyProtection="1">
      <alignment horizontal="center" vertical="center"/>
      <protection hidden="1"/>
    </xf>
    <xf numFmtId="49" fontId="48" fillId="5" borderId="1" xfId="0" quotePrefix="1" applyNumberFormat="1" applyFont="1" applyFill="1" applyBorder="1" applyAlignment="1" applyProtection="1">
      <alignment horizontal="left" vertical="center"/>
      <protection hidden="1"/>
    </xf>
    <xf numFmtId="0" fontId="5" fillId="5" borderId="3" xfId="0" applyNumberFormat="1" applyFont="1" applyFill="1" applyBorder="1" applyAlignment="1" applyProtection="1">
      <alignment horizontal="left" vertical="center" wrapText="1"/>
      <protection hidden="1"/>
    </xf>
    <xf numFmtId="0" fontId="1" fillId="5" borderId="1" xfId="0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9" fontId="5" fillId="4" borderId="1" xfId="0" quotePrefix="1" applyNumberFormat="1" applyFont="1" applyFill="1" applyBorder="1" applyAlignment="1" applyProtection="1">
      <alignment horizontal="center" vertical="center"/>
      <protection hidden="1"/>
    </xf>
    <xf numFmtId="49" fontId="48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5" fillId="4" borderId="0" xfId="0" applyNumberFormat="1" applyFont="1" applyFill="1" applyBorder="1" applyAlignment="1" applyProtection="1">
      <alignment horizontal="left" vertical="center" wrapText="1"/>
      <protection hidden="1"/>
    </xf>
    <xf numFmtId="0" fontId="64" fillId="0" borderId="0" xfId="0" applyFont="1" applyAlignment="1" applyProtection="1">
      <alignment vertical="top" wrapText="1"/>
      <protection hidden="1"/>
    </xf>
    <xf numFmtId="167" fontId="8" fillId="5" borderId="0" xfId="0" applyNumberFormat="1" applyFont="1" applyFill="1" applyBorder="1" applyAlignment="1" applyProtection="1">
      <alignment horizontal="right" vertical="center" wrapText="1"/>
      <protection hidden="1"/>
    </xf>
    <xf numFmtId="49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 wrapText="1"/>
      <protection hidden="1"/>
    </xf>
    <xf numFmtId="0" fontId="15" fillId="0" borderId="1" xfId="0" applyFont="1" applyBorder="1" applyAlignment="1" applyProtection="1">
      <alignment vertical="top"/>
      <protection hidden="1"/>
    </xf>
    <xf numFmtId="167" fontId="63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left" vertical="top" wrapText="1" indent="1"/>
      <protection hidden="1"/>
    </xf>
    <xf numFmtId="0" fontId="2" fillId="5" borderId="12" xfId="0" applyFont="1" applyFill="1" applyBorder="1" applyAlignment="1" applyProtection="1">
      <alignment vertical="top" wrapText="1"/>
      <protection hidden="1"/>
    </xf>
    <xf numFmtId="49" fontId="44" fillId="5" borderId="12" xfId="0" applyNumberFormat="1" applyFont="1" applyFill="1" applyBorder="1" applyAlignment="1" applyProtection="1">
      <alignment horizontal="left" vertical="top"/>
      <protection hidden="1"/>
    </xf>
    <xf numFmtId="49" fontId="44" fillId="5" borderId="12" xfId="0" applyNumberFormat="1" applyFont="1" applyFill="1" applyBorder="1" applyAlignment="1" applyProtection="1">
      <alignment horizontal="center" vertical="top"/>
      <protection hidden="1"/>
    </xf>
    <xf numFmtId="167" fontId="7" fillId="5" borderId="0" xfId="0" applyNumberFormat="1" applyFont="1" applyFill="1" applyAlignment="1" applyProtection="1">
      <alignment horizontal="right" vertical="center" wrapText="1"/>
      <protection hidden="1"/>
    </xf>
    <xf numFmtId="0" fontId="2" fillId="4" borderId="12" xfId="0" applyFont="1" applyFill="1" applyBorder="1" applyAlignment="1" applyProtection="1">
      <alignment vertical="top" wrapText="1"/>
      <protection hidden="1"/>
    </xf>
    <xf numFmtId="49" fontId="44" fillId="4" borderId="12" xfId="0" applyNumberFormat="1" applyFont="1" applyFill="1" applyBorder="1" applyAlignment="1" applyProtection="1">
      <alignment horizontal="left" vertical="top"/>
      <protection hidden="1"/>
    </xf>
    <xf numFmtId="49" fontId="44" fillId="4" borderId="12" xfId="0" applyNumberFormat="1" applyFont="1" applyFill="1" applyBorder="1" applyAlignment="1" applyProtection="1">
      <alignment horizontal="center" vertical="top"/>
      <protection hidden="1"/>
    </xf>
    <xf numFmtId="49" fontId="67" fillId="0" borderId="1" xfId="0" applyNumberFormat="1" applyFont="1" applyBorder="1" applyAlignment="1" applyProtection="1">
      <alignment horizontal="center" vertical="top"/>
      <protection hidden="1"/>
    </xf>
    <xf numFmtId="0" fontId="48" fillId="0" borderId="2" xfId="0" applyFont="1" applyFill="1" applyBorder="1" applyAlignment="1" applyProtection="1">
      <alignment vertical="top" wrapText="1"/>
      <protection hidden="1"/>
    </xf>
    <xf numFmtId="49" fontId="66" fillId="0" borderId="0" xfId="0" applyNumberFormat="1" applyFont="1" applyAlignment="1" applyProtection="1">
      <alignment horizontal="left" vertical="top" wrapText="1" indent="1"/>
      <protection hidden="1"/>
    </xf>
    <xf numFmtId="167" fontId="68" fillId="0" borderId="0" xfId="0" applyNumberFormat="1" applyFont="1" applyAlignment="1" applyProtection="1">
      <alignment wrapText="1"/>
      <protection hidden="1"/>
    </xf>
    <xf numFmtId="49" fontId="11" fillId="0" borderId="0" xfId="0" applyNumberFormat="1" applyFont="1" applyAlignment="1" applyProtection="1">
      <alignment horizontal="left" vertical="top" wrapText="1" indent="1"/>
      <protection hidden="1"/>
    </xf>
    <xf numFmtId="0" fontId="7" fillId="4" borderId="0" xfId="0" applyNumberFormat="1" applyFont="1" applyFill="1" applyBorder="1" applyAlignment="1" applyProtection="1">
      <alignment horizontal="right" vertical="center" wrapText="1"/>
      <protection hidden="1"/>
    </xf>
    <xf numFmtId="0" fontId="48" fillId="5" borderId="2" xfId="0" applyFont="1" applyFill="1" applyBorder="1" applyAlignment="1" applyProtection="1">
      <alignment vertical="top" wrapText="1"/>
      <protection hidden="1"/>
    </xf>
    <xf numFmtId="49" fontId="5" fillId="5" borderId="1" xfId="0" applyNumberFormat="1" applyFont="1" applyFill="1" applyBorder="1" applyAlignment="1" applyProtection="1">
      <alignment vertical="top"/>
      <protection hidden="1"/>
    </xf>
    <xf numFmtId="49" fontId="5" fillId="5" borderId="1" xfId="0" applyNumberFormat="1" applyFont="1" applyFill="1" applyBorder="1" applyAlignment="1" applyProtection="1">
      <alignment horizontal="left" vertical="top"/>
      <protection hidden="1"/>
    </xf>
    <xf numFmtId="0" fontId="5" fillId="5" borderId="0" xfId="0" applyFont="1" applyFill="1" applyAlignment="1" applyProtection="1">
      <alignment vertical="top" wrapText="1"/>
      <protection hidden="1"/>
    </xf>
    <xf numFmtId="167" fontId="5" fillId="5" borderId="0" xfId="0" applyNumberFormat="1" applyFont="1" applyFill="1" applyAlignment="1" applyProtection="1">
      <alignment vertical="center" wrapText="1"/>
      <protection hidden="1"/>
    </xf>
    <xf numFmtId="0" fontId="48" fillId="5" borderId="1" xfId="0" applyFont="1" applyFill="1" applyBorder="1" applyAlignment="1" applyProtection="1">
      <alignment horizontal="center" vertical="top" wrapText="1"/>
      <protection hidden="1"/>
    </xf>
    <xf numFmtId="167" fontId="48" fillId="5" borderId="14" xfId="0" applyNumberFormat="1" applyFont="1" applyFill="1" applyBorder="1" applyAlignment="1" applyProtection="1">
      <alignment horizontal="right" vertical="top" wrapText="1"/>
      <protection hidden="1"/>
    </xf>
    <xf numFmtId="0" fontId="69" fillId="0" borderId="1" xfId="0" applyFont="1" applyBorder="1" applyAlignment="1" applyProtection="1">
      <alignment vertical="top"/>
      <protection hidden="1"/>
    </xf>
    <xf numFmtId="49" fontId="67" fillId="0" borderId="1" xfId="0" applyNumberFormat="1" applyFont="1" applyBorder="1" applyAlignment="1" applyProtection="1">
      <alignment vertical="top"/>
      <protection hidden="1"/>
    </xf>
    <xf numFmtId="0" fontId="67" fillId="0" borderId="0" xfId="0" applyFont="1" applyAlignment="1" applyProtection="1">
      <alignment vertical="top" wrapText="1"/>
      <protection hidden="1"/>
    </xf>
    <xf numFmtId="167" fontId="27" fillId="0" borderId="0" xfId="0" applyNumberFormat="1" applyFont="1" applyAlignment="1" applyProtection="1">
      <alignment horizontal="right" vertical="top" wrapText="1"/>
      <protection hidden="1"/>
    </xf>
    <xf numFmtId="0" fontId="11" fillId="0" borderId="0" xfId="0" applyFont="1" applyAlignment="1" applyProtection="1">
      <alignment horizontal="left" vertical="top" wrapText="1" indent="1"/>
      <protection hidden="1"/>
    </xf>
    <xf numFmtId="0" fontId="1" fillId="0" borderId="0" xfId="0" applyFont="1" applyAlignment="1" applyProtection="1">
      <alignment wrapText="1"/>
      <protection hidden="1"/>
    </xf>
    <xf numFmtId="49" fontId="2" fillId="4" borderId="12" xfId="0" quotePrefix="1" applyNumberFormat="1" applyFont="1" applyFill="1" applyBorder="1" applyAlignment="1" applyProtection="1">
      <alignment horizontal="left" vertical="top"/>
      <protection hidden="1"/>
    </xf>
    <xf numFmtId="49" fontId="2" fillId="4" borderId="12" xfId="0" applyNumberFormat="1" applyFont="1" applyFill="1" applyBorder="1" applyAlignment="1" applyProtection="1">
      <alignment horizontal="center" vertical="top"/>
      <protection hidden="1"/>
    </xf>
    <xf numFmtId="0" fontId="2" fillId="4" borderId="0" xfId="0" applyFont="1" applyFill="1" applyBorder="1" applyAlignment="1" applyProtection="1">
      <alignment vertical="top" wrapText="1"/>
      <protection hidden="1"/>
    </xf>
    <xf numFmtId="167" fontId="18" fillId="4" borderId="12" xfId="0" applyNumberFormat="1" applyFont="1" applyFill="1" applyBorder="1" applyAlignment="1" applyProtection="1">
      <alignment vertical="center" wrapText="1"/>
      <protection hidden="1"/>
    </xf>
    <xf numFmtId="0" fontId="2" fillId="4" borderId="12" xfId="0" applyFont="1" applyFill="1" applyBorder="1" applyAlignment="1" applyProtection="1">
      <alignment horizontal="center" vertical="center"/>
      <protection hidden="1"/>
    </xf>
    <xf numFmtId="167" fontId="5" fillId="4" borderId="14" xfId="0" applyNumberFormat="1" applyFont="1" applyFill="1" applyBorder="1" applyAlignment="1" applyProtection="1">
      <alignment horizontal="right" vertical="center"/>
      <protection hidden="1"/>
    </xf>
    <xf numFmtId="49" fontId="2" fillId="4" borderId="1" xfId="0" quotePrefix="1" applyNumberFormat="1" applyFont="1" applyFill="1" applyBorder="1" applyAlignment="1" applyProtection="1">
      <alignment horizontal="left" vertical="top"/>
      <protection hidden="1"/>
    </xf>
    <xf numFmtId="49" fontId="2" fillId="4" borderId="1" xfId="0" applyNumberFormat="1" applyFont="1" applyFill="1" applyBorder="1" applyAlignment="1" applyProtection="1">
      <alignment horizontal="center" vertical="top"/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167" fontId="5" fillId="4" borderId="14" xfId="0" applyNumberFormat="1" applyFont="1" applyFill="1" applyBorder="1" applyAlignment="1" applyProtection="1">
      <alignment horizontal="right" vertical="top"/>
      <protection hidden="1"/>
    </xf>
    <xf numFmtId="49" fontId="2" fillId="4" borderId="1" xfId="0" applyNumberFormat="1" applyFont="1" applyFill="1" applyBorder="1" applyAlignment="1" applyProtection="1">
      <alignment horizontal="center" vertical="center"/>
      <protection hidden="1"/>
    </xf>
    <xf numFmtId="49" fontId="3" fillId="4" borderId="1" xfId="0" quotePrefix="1" applyNumberFormat="1" applyFont="1" applyFill="1" applyBorder="1" applyAlignment="1" applyProtection="1">
      <alignment horizontal="left" vertical="center"/>
      <protection hidden="1"/>
    </xf>
    <xf numFmtId="0" fontId="11" fillId="4" borderId="0" xfId="0" applyFont="1" applyFill="1" applyBorder="1" applyAlignment="1" applyProtection="1">
      <alignment horizontal="left" vertical="center" wrapText="1"/>
      <protection hidden="1"/>
    </xf>
    <xf numFmtId="167" fontId="53" fillId="4" borderId="0" xfId="0" applyNumberFormat="1" applyFont="1" applyFill="1" applyBorder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top" wrapText="1"/>
      <protection hidden="1"/>
    </xf>
    <xf numFmtId="167" fontId="54" fillId="4" borderId="0" xfId="0" applyNumberFormat="1" applyFont="1" applyFill="1" applyBorder="1" applyAlignment="1" applyProtection="1">
      <alignment vertical="center" wrapText="1"/>
      <protection hidden="1"/>
    </xf>
    <xf numFmtId="49" fontId="2" fillId="5" borderId="12" xfId="0" applyNumberFormat="1" applyFont="1" applyFill="1" applyBorder="1" applyAlignment="1" applyProtection="1">
      <alignment vertical="center"/>
      <protection hidden="1"/>
    </xf>
    <xf numFmtId="49" fontId="2" fillId="5" borderId="12" xfId="0" applyNumberFormat="1" applyFont="1" applyFill="1" applyBorder="1" applyAlignment="1" applyProtection="1">
      <alignment horizontal="left" vertical="center"/>
      <protection hidden="1"/>
    </xf>
    <xf numFmtId="0" fontId="5" fillId="4" borderId="2" xfId="0" applyFont="1" applyFill="1" applyBorder="1" applyAlignment="1" applyProtection="1">
      <alignment horizontal="center" vertical="center"/>
      <protection hidden="1"/>
    </xf>
    <xf numFmtId="49" fontId="39" fillId="4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right" vertical="top" wrapText="1" indent="1"/>
      <protection hidden="1"/>
    </xf>
    <xf numFmtId="167" fontId="1" fillId="5" borderId="24" xfId="0" applyNumberFormat="1" applyFont="1" applyFill="1" applyBorder="1" applyAlignment="1" applyProtection="1">
      <alignment horizontal="right" vertical="center" wrapText="1"/>
      <protection hidden="1"/>
    </xf>
    <xf numFmtId="49" fontId="39" fillId="0" borderId="0" xfId="0" applyNumberFormat="1" applyFont="1" applyFill="1" applyBorder="1" applyAlignment="1" applyProtection="1">
      <alignment horizontal="center" vertical="center"/>
      <protection hidden="1"/>
    </xf>
    <xf numFmtId="167" fontId="1" fillId="4" borderId="24" xfId="0" applyNumberFormat="1" applyFont="1" applyFill="1" applyBorder="1" applyAlignment="1" applyProtection="1">
      <alignment horizontal="right" vertical="center" wrapText="1"/>
      <protection hidden="1"/>
    </xf>
    <xf numFmtId="167" fontId="2" fillId="0" borderId="0" xfId="0" applyNumberFormat="1" applyFont="1" applyAlignment="1" applyProtection="1">
      <alignment horizontal="right" vertical="center" wrapText="1"/>
      <protection hidden="1"/>
    </xf>
    <xf numFmtId="167" fontId="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167" fontId="1" fillId="0" borderId="0" xfId="0" applyNumberFormat="1" applyFont="1" applyAlignment="1" applyProtection="1">
      <alignment horizontal="right" vertical="center" wrapText="1"/>
      <protection hidden="1"/>
    </xf>
    <xf numFmtId="0" fontId="1" fillId="0" borderId="15" xfId="0" applyFont="1" applyFill="1" applyBorder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vertical="center"/>
      <protection hidden="1"/>
    </xf>
    <xf numFmtId="0" fontId="1" fillId="0" borderId="7" xfId="0" applyFont="1" applyBorder="1" applyAlignment="1" applyProtection="1">
      <alignment vertical="center"/>
      <protection hidden="1"/>
    </xf>
    <xf numFmtId="0" fontId="1" fillId="0" borderId="17" xfId="0" applyFont="1" applyBorder="1" applyAlignment="1" applyProtection="1">
      <alignment vertical="center"/>
      <protection hidden="1"/>
    </xf>
    <xf numFmtId="167" fontId="7" fillId="0" borderId="18" xfId="0" applyNumberFormat="1" applyFont="1" applyBorder="1" applyAlignment="1" applyProtection="1">
      <alignment horizontal="right" vertical="center"/>
      <protection hidden="1"/>
    </xf>
    <xf numFmtId="167" fontId="1" fillId="4" borderId="16" xfId="0" applyNumberFormat="1" applyFont="1" applyFill="1" applyBorder="1" applyAlignment="1" applyProtection="1">
      <alignment horizontal="right" vertical="center"/>
      <protection hidden="1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64" fillId="0" borderId="6" xfId="0" applyFont="1" applyBorder="1" applyAlignment="1" applyProtection="1">
      <alignment horizontal="center" vertical="center"/>
      <protection hidden="1"/>
    </xf>
    <xf numFmtId="0" fontId="64" fillId="0" borderId="21" xfId="0" applyFont="1" applyBorder="1" applyAlignment="1" applyProtection="1">
      <alignment horizontal="center" vertical="center"/>
      <protection hidden="1"/>
    </xf>
    <xf numFmtId="4" fontId="64" fillId="0" borderId="21" xfId="0" applyNumberFormat="1" applyFont="1" applyBorder="1" applyAlignment="1" applyProtection="1">
      <alignment horizontal="center" vertical="center"/>
      <protection hidden="1"/>
    </xf>
    <xf numFmtId="4" fontId="64" fillId="4" borderId="21" xfId="0" applyNumberFormat="1" applyFont="1" applyFill="1" applyBorder="1" applyAlignment="1" applyProtection="1">
      <alignment horizontal="center" vertical="center"/>
      <protection hidden="1"/>
    </xf>
    <xf numFmtId="0" fontId="74" fillId="0" borderId="0" xfId="0" applyFont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4" fontId="2" fillId="0" borderId="5" xfId="0" applyNumberFormat="1" applyFont="1" applyBorder="1" applyAlignment="1" applyProtection="1">
      <alignment horizontal="center" vertical="center"/>
      <protection hidden="1"/>
    </xf>
    <xf numFmtId="3" fontId="2" fillId="4" borderId="5" xfId="0" applyNumberFormat="1" applyFont="1" applyFill="1" applyBorder="1" applyAlignment="1" applyProtection="1">
      <alignment horizontal="center" vertical="center"/>
      <protection hidden="1"/>
    </xf>
    <xf numFmtId="49" fontId="64" fillId="0" borderId="30" xfId="0" applyNumberFormat="1" applyFont="1" applyBorder="1" applyAlignment="1" applyProtection="1">
      <alignment horizontal="center" vertical="center"/>
      <protection hidden="1"/>
    </xf>
    <xf numFmtId="49" fontId="64" fillId="0" borderId="27" xfId="0" applyNumberFormat="1" applyFont="1" applyBorder="1" applyAlignment="1" applyProtection="1">
      <alignment horizontal="center" vertical="center"/>
      <protection hidden="1"/>
    </xf>
    <xf numFmtId="4" fontId="64" fillId="0" borderId="27" xfId="0" applyNumberFormat="1" applyFont="1" applyBorder="1" applyAlignment="1" applyProtection="1">
      <alignment horizontal="center" vertical="center"/>
      <protection hidden="1"/>
    </xf>
    <xf numFmtId="4" fontId="64" fillId="4" borderId="27" xfId="0" applyNumberFormat="1" applyFont="1" applyFill="1" applyBorder="1" applyAlignment="1" applyProtection="1">
      <alignment horizontal="center" vertical="center"/>
      <protection hidden="1"/>
    </xf>
    <xf numFmtId="0" fontId="70" fillId="0" borderId="8" xfId="0" applyFont="1" applyFill="1" applyBorder="1" applyAlignment="1" applyProtection="1">
      <alignment horizontal="left" vertical="center" wrapText="1"/>
      <protection hidden="1"/>
    </xf>
    <xf numFmtId="0" fontId="70" fillId="0" borderId="2" xfId="0" applyFont="1" applyFill="1" applyBorder="1" applyAlignment="1" applyProtection="1">
      <alignment horizontal="left" vertical="center" wrapText="1"/>
      <protection hidden="1"/>
    </xf>
    <xf numFmtId="0" fontId="70" fillId="0" borderId="15" xfId="0" applyFont="1" applyFill="1" applyBorder="1" applyAlignment="1" applyProtection="1">
      <alignment horizontal="left" vertical="center" wrapText="1"/>
      <protection hidden="1"/>
    </xf>
    <xf numFmtId="0" fontId="71" fillId="5" borderId="10" xfId="0" applyFont="1" applyFill="1" applyBorder="1" applyAlignment="1" applyProtection="1">
      <alignment horizontal="center" vertical="center" wrapText="1"/>
      <protection hidden="1"/>
    </xf>
    <xf numFmtId="0" fontId="71" fillId="5" borderId="20" xfId="0" applyFont="1" applyFill="1" applyBorder="1" applyAlignment="1" applyProtection="1">
      <alignment horizontal="center" vertical="center" wrapText="1"/>
      <protection hidden="1"/>
    </xf>
    <xf numFmtId="0" fontId="71" fillId="5" borderId="17" xfId="0" applyFont="1" applyFill="1" applyBorder="1" applyAlignment="1" applyProtection="1">
      <alignment horizontal="center" vertical="center" wrapText="1"/>
      <protection hidden="1"/>
    </xf>
    <xf numFmtId="0" fontId="71" fillId="5" borderId="18" xfId="0" applyFont="1" applyFill="1" applyBorder="1" applyAlignment="1" applyProtection="1">
      <alignment horizontal="center" vertical="center" wrapText="1"/>
      <protection hidden="1"/>
    </xf>
    <xf numFmtId="0" fontId="71" fillId="5" borderId="5" xfId="0" quotePrefix="1" applyFont="1" applyFill="1" applyBorder="1" applyAlignment="1" applyProtection="1">
      <alignment horizontal="center" vertical="center"/>
      <protection hidden="1"/>
    </xf>
    <xf numFmtId="0" fontId="71" fillId="5" borderId="21" xfId="0" quotePrefix="1" applyFont="1" applyFill="1" applyBorder="1" applyAlignment="1" applyProtection="1">
      <alignment horizontal="center" vertical="center"/>
      <protection hidden="1"/>
    </xf>
    <xf numFmtId="3" fontId="71" fillId="5" borderId="13" xfId="0" applyNumberFormat="1" applyFont="1" applyFill="1" applyBorder="1" applyAlignment="1" applyProtection="1">
      <alignment horizontal="center" vertical="center"/>
      <protection hidden="1"/>
    </xf>
    <xf numFmtId="3" fontId="71" fillId="5" borderId="29" xfId="0" applyNumberFormat="1" applyFont="1" applyFill="1" applyBorder="1" applyAlignment="1" applyProtection="1">
      <alignment horizontal="center" vertical="center"/>
      <protection hidden="1"/>
    </xf>
    <xf numFmtId="0" fontId="71" fillId="5" borderId="8" xfId="0" applyFont="1" applyFill="1" applyBorder="1" applyAlignment="1" applyProtection="1">
      <alignment horizontal="center" vertical="center"/>
      <protection hidden="1"/>
    </xf>
    <xf numFmtId="0" fontId="71" fillId="5" borderId="15" xfId="0" applyFont="1" applyFill="1" applyBorder="1" applyAlignment="1" applyProtection="1">
      <alignment horizontal="center" vertical="center"/>
      <protection hidden="1"/>
    </xf>
    <xf numFmtId="0" fontId="71" fillId="5" borderId="10" xfId="0" applyFont="1" applyFill="1" applyBorder="1" applyAlignment="1" applyProtection="1">
      <alignment horizontal="center" vertical="center"/>
      <protection hidden="1"/>
    </xf>
    <xf numFmtId="0" fontId="71" fillId="5" borderId="20" xfId="0" applyFont="1" applyFill="1" applyBorder="1" applyAlignment="1" applyProtection="1">
      <alignment horizontal="center" vertical="center"/>
      <protection hidden="1"/>
    </xf>
    <xf numFmtId="0" fontId="71" fillId="5" borderId="17" xfId="0" applyFont="1" applyFill="1" applyBorder="1" applyAlignment="1" applyProtection="1">
      <alignment horizontal="center" vertical="center"/>
      <protection hidden="1"/>
    </xf>
    <xf numFmtId="0" fontId="71" fillId="5" borderId="18" xfId="0" applyFont="1" applyFill="1" applyBorder="1" applyAlignment="1" applyProtection="1">
      <alignment horizontal="center" vertical="center"/>
      <protection hidden="1"/>
    </xf>
    <xf numFmtId="4" fontId="71" fillId="5" borderId="32" xfId="0" applyNumberFormat="1" applyFont="1" applyFill="1" applyBorder="1" applyAlignment="1" applyProtection="1">
      <alignment horizontal="center" vertical="center"/>
      <protection hidden="1"/>
    </xf>
    <xf numFmtId="4" fontId="71" fillId="5" borderId="33" xfId="0" applyNumberFormat="1" applyFont="1" applyFill="1" applyBorder="1" applyAlignment="1" applyProtection="1">
      <alignment horizontal="center" vertical="center"/>
      <protection hidden="1"/>
    </xf>
    <xf numFmtId="0" fontId="71" fillId="5" borderId="32" xfId="0" applyFont="1" applyFill="1" applyBorder="1" applyAlignment="1" applyProtection="1">
      <alignment horizontal="center" vertical="center"/>
      <protection hidden="1"/>
    </xf>
    <xf numFmtId="0" fontId="71" fillId="5" borderId="33" xfId="0" applyFont="1" applyFill="1" applyBorder="1" applyAlignment="1" applyProtection="1">
      <alignment horizontal="center" vertical="center"/>
      <protection hidden="1"/>
    </xf>
    <xf numFmtId="0" fontId="64" fillId="0" borderId="8" xfId="0" applyFont="1" applyBorder="1" applyAlignment="1" applyProtection="1">
      <alignment vertical="center" wrapText="1"/>
      <protection hidden="1"/>
    </xf>
    <xf numFmtId="0" fontId="64" fillId="0" borderId="2" xfId="0" applyFont="1" applyBorder="1" applyAlignment="1" applyProtection="1">
      <alignment vertical="center" wrapText="1"/>
      <protection hidden="1"/>
    </xf>
    <xf numFmtId="0" fontId="64" fillId="0" borderId="15" xfId="0" applyFont="1" applyBorder="1" applyAlignment="1" applyProtection="1">
      <alignment vertical="center" wrapText="1"/>
      <protection hidden="1"/>
    </xf>
    <xf numFmtId="0" fontId="70" fillId="4" borderId="8" xfId="0" applyFont="1" applyFill="1" applyBorder="1" applyAlignment="1" applyProtection="1">
      <alignment horizontal="left" vertical="center" wrapText="1"/>
      <protection hidden="1"/>
    </xf>
    <xf numFmtId="0" fontId="70" fillId="4" borderId="2" xfId="0" applyFont="1" applyFill="1" applyBorder="1" applyAlignment="1" applyProtection="1">
      <alignment horizontal="left" vertical="center" wrapText="1"/>
      <protection hidden="1"/>
    </xf>
    <xf numFmtId="0" fontId="70" fillId="4" borderId="15" xfId="0" applyFont="1" applyFill="1" applyBorder="1" applyAlignment="1" applyProtection="1">
      <alignment horizontal="left" vertical="center" wrapText="1"/>
      <protection hidden="1"/>
    </xf>
    <xf numFmtId="0" fontId="70" fillId="0" borderId="8" xfId="0" applyFont="1" applyFill="1" applyBorder="1" applyAlignment="1" applyProtection="1">
      <alignment horizontal="left" vertical="center"/>
      <protection hidden="1"/>
    </xf>
    <xf numFmtId="0" fontId="70" fillId="0" borderId="2" xfId="0" applyFont="1" applyFill="1" applyBorder="1" applyAlignment="1" applyProtection="1">
      <alignment horizontal="left" vertical="center"/>
      <protection hidden="1"/>
    </xf>
    <xf numFmtId="0" fontId="70" fillId="0" borderId="15" xfId="0" applyFont="1" applyFill="1" applyBorder="1" applyAlignment="1" applyProtection="1">
      <alignment horizontal="left" vertical="center"/>
      <protection hidden="1"/>
    </xf>
    <xf numFmtId="0" fontId="70" fillId="0" borderId="8" xfId="0" applyFont="1" applyFill="1" applyBorder="1" applyAlignment="1" applyProtection="1">
      <alignment horizontal="left" vertical="top" wrapText="1"/>
      <protection hidden="1"/>
    </xf>
    <xf numFmtId="0" fontId="70" fillId="0" borderId="15" xfId="0" applyFont="1" applyFill="1" applyBorder="1" applyAlignment="1" applyProtection="1">
      <alignment horizontal="left" vertical="top" wrapText="1"/>
      <protection hidden="1"/>
    </xf>
    <xf numFmtId="0" fontId="70" fillId="0" borderId="2" xfId="0" applyFont="1" applyFill="1" applyBorder="1" applyAlignment="1" applyProtection="1">
      <alignment horizontal="left" vertical="top" wrapText="1"/>
      <protection hidden="1"/>
    </xf>
    <xf numFmtId="0" fontId="1" fillId="0" borderId="19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17" xfId="0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Fill="1" applyBorder="1" applyAlignment="1" applyProtection="1">
      <alignment horizontal="center" vertical="center" wrapText="1"/>
      <protection hidden="1"/>
    </xf>
    <xf numFmtId="0" fontId="1" fillId="0" borderId="5" xfId="0" quotePrefix="1" applyFont="1" applyFill="1" applyBorder="1" applyAlignment="1" applyProtection="1">
      <alignment horizontal="center" vertical="center"/>
      <protection hidden="1"/>
    </xf>
    <xf numFmtId="0" fontId="1" fillId="0" borderId="21" xfId="0" quotePrefix="1" applyFont="1" applyFill="1" applyBorder="1" applyAlignment="1" applyProtection="1">
      <alignment horizontal="center" vertical="center"/>
      <protection hidden="1"/>
    </xf>
    <xf numFmtId="3" fontId="1" fillId="0" borderId="13" xfId="0" applyNumberFormat="1" applyFont="1" applyFill="1" applyBorder="1" applyAlignment="1" applyProtection="1">
      <alignment horizontal="center" vertical="center"/>
      <protection hidden="1"/>
    </xf>
    <xf numFmtId="3" fontId="1" fillId="0" borderId="29" xfId="0" applyNumberFormat="1" applyFont="1" applyFill="1" applyBorder="1" applyAlignment="1" applyProtection="1">
      <alignment horizontal="center" vertical="center"/>
      <protection hidden="1"/>
    </xf>
  </cellXfs>
  <cellStyles count="6">
    <cellStyle name="Normálna" xfId="0" builtinId="0"/>
    <cellStyle name="Normálna 2" xfId="1" xr:uid="{00000000-0005-0000-0000-000001000000}"/>
    <cellStyle name="Normálna 2 2" xfId="4" xr:uid="{00000000-0005-0000-0000-000002000000}"/>
    <cellStyle name="Normálna 3" xfId="5" xr:uid="{300E6288-35D2-4C27-950B-80EF92645E34}"/>
    <cellStyle name="normálne 2" xfId="2" xr:uid="{00000000-0005-0000-0000-000003000000}"/>
    <cellStyle name="normálne 3" xfId="3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 x14ac:dyDescent="0.2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 x14ac:dyDescent="0.2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 x14ac:dyDescent="0.25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 x14ac:dyDescent="0.2">
      <c r="A3" s="964" t="s">
        <v>151</v>
      </c>
      <c r="B3" s="965"/>
      <c r="C3" s="965"/>
      <c r="D3" s="44"/>
      <c r="E3" s="966" t="s">
        <v>152</v>
      </c>
      <c r="F3" s="967"/>
      <c r="G3" s="970" t="s">
        <v>153</v>
      </c>
      <c r="H3" s="972" t="s">
        <v>154</v>
      </c>
    </row>
    <row r="4" spans="1:16" ht="13.5" thickBot="1" x14ac:dyDescent="0.25">
      <c r="A4" s="45" t="s">
        <v>155</v>
      </c>
      <c r="B4" s="46" t="s">
        <v>285</v>
      </c>
      <c r="C4" s="46" t="s">
        <v>286</v>
      </c>
      <c r="D4" s="46" t="s">
        <v>287</v>
      </c>
      <c r="E4" s="968"/>
      <c r="F4" s="969"/>
      <c r="G4" s="971"/>
      <c r="H4" s="973"/>
    </row>
    <row r="5" spans="1:16" x14ac:dyDescent="0.2">
      <c r="A5" s="47"/>
      <c r="B5" s="48"/>
      <c r="C5" s="48"/>
      <c r="D5" s="49"/>
      <c r="E5" s="50"/>
      <c r="F5" s="202"/>
      <c r="G5" s="51"/>
      <c r="H5" s="52"/>
    </row>
    <row r="6" spans="1:16" ht="15.75" x14ac:dyDescent="0.2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 x14ac:dyDescent="0.2">
      <c r="A7" s="53"/>
      <c r="B7" s="59"/>
      <c r="C7" s="59"/>
      <c r="D7" s="60"/>
      <c r="E7" s="61"/>
      <c r="F7" s="203"/>
      <c r="G7" s="57"/>
      <c r="H7" s="58"/>
    </row>
    <row r="8" spans="1:16" ht="25.5" x14ac:dyDescent="0.2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 x14ac:dyDescent="0.2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 x14ac:dyDescent="0.2">
      <c r="A10" s="64"/>
      <c r="B10" s="65"/>
      <c r="C10" s="66"/>
      <c r="D10" s="25"/>
      <c r="E10" s="69" t="s">
        <v>471</v>
      </c>
      <c r="F10" s="70">
        <f>1.25*0.25*(11.9+8.92)</f>
        <v>6.5062499999999996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 x14ac:dyDescent="0.2">
      <c r="A11" s="64"/>
      <c r="B11" s="65"/>
      <c r="C11" s="66"/>
      <c r="D11" s="25"/>
      <c r="E11" s="69" t="s">
        <v>472</v>
      </c>
      <c r="F11" s="71">
        <f>0.75*0.25*(15.36+9.94)</f>
        <v>4.7437499999999995</v>
      </c>
      <c r="G11" s="26"/>
      <c r="H11" s="68"/>
      <c r="I11" s="168" t="s">
        <v>470</v>
      </c>
      <c r="J11" s="160"/>
    </row>
    <row r="12" spans="1:16" s="8" customFormat="1" ht="13.5" customHeight="1" x14ac:dyDescent="0.2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 x14ac:dyDescent="0.2">
      <c r="A13" s="53"/>
      <c r="B13" s="59"/>
      <c r="C13" s="59"/>
      <c r="D13" s="60"/>
      <c r="E13" s="61"/>
      <c r="F13" s="203"/>
      <c r="G13" s="57"/>
      <c r="H13" s="58"/>
    </row>
    <row r="14" spans="1:16" ht="25.5" customHeight="1" x14ac:dyDescent="0.2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1.4000000000000001</v>
      </c>
    </row>
    <row r="15" spans="1:16" ht="13.5" customHeight="1" x14ac:dyDescent="0.2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 x14ac:dyDescent="0.2">
      <c r="A16" s="53"/>
      <c r="B16" s="59"/>
      <c r="C16" s="59"/>
      <c r="D16" s="60"/>
      <c r="E16" s="61"/>
      <c r="F16" s="203"/>
      <c r="G16" s="57"/>
      <c r="H16" s="58"/>
    </row>
    <row r="17" spans="1:10" ht="25.5" x14ac:dyDescent="0.2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 x14ac:dyDescent="0.2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 x14ac:dyDescent="0.2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 x14ac:dyDescent="0.2">
      <c r="A20" s="53"/>
      <c r="B20" s="59"/>
      <c r="C20" s="59"/>
      <c r="D20" s="60"/>
      <c r="E20" s="61"/>
      <c r="F20" s="203"/>
      <c r="G20" s="57"/>
      <c r="H20" s="58"/>
    </row>
    <row r="21" spans="1:10" ht="25.5" customHeight="1" x14ac:dyDescent="0.2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 x14ac:dyDescent="0.2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16.952000000000002</v>
      </c>
    </row>
    <row r="23" spans="1:10" ht="30.75" customHeight="1" x14ac:dyDescent="0.2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 x14ac:dyDescent="0.2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19.200000000000003</v>
      </c>
    </row>
    <row r="25" spans="1:10" ht="25.5" x14ac:dyDescent="0.2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 x14ac:dyDescent="0.2">
      <c r="A26" s="53"/>
      <c r="B26" s="59"/>
      <c r="C26" s="59"/>
      <c r="D26" s="60"/>
      <c r="E26" s="61"/>
      <c r="F26" s="203"/>
      <c r="G26" s="57"/>
      <c r="H26" s="58"/>
    </row>
    <row r="27" spans="1:10" ht="25.5" customHeight="1" x14ac:dyDescent="0.2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10.6076</v>
      </c>
    </row>
    <row r="28" spans="1:10" ht="25.5" x14ac:dyDescent="0.2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 x14ac:dyDescent="0.2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 x14ac:dyDescent="0.2">
      <c r="A30" s="53"/>
      <c r="B30" s="59"/>
      <c r="C30" s="59"/>
      <c r="D30" s="60"/>
      <c r="E30" s="61"/>
      <c r="F30" s="203"/>
      <c r="G30" s="57"/>
      <c r="H30" s="58"/>
    </row>
    <row r="31" spans="1:10" ht="25.5" customHeight="1" x14ac:dyDescent="0.2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1.3835999999999999</v>
      </c>
    </row>
    <row r="32" spans="1:10" ht="25.5" x14ac:dyDescent="0.2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 x14ac:dyDescent="0.2">
      <c r="A33" s="53"/>
      <c r="B33" s="59"/>
      <c r="C33" s="59"/>
      <c r="D33" s="60"/>
      <c r="E33" s="61"/>
      <c r="F33" s="203"/>
      <c r="G33" s="57"/>
      <c r="H33" s="58"/>
    </row>
    <row r="34" spans="1:12" ht="25.5" x14ac:dyDescent="0.2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 x14ac:dyDescent="0.2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 x14ac:dyDescent="0.2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 x14ac:dyDescent="0.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 x14ac:dyDescent="0.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 x14ac:dyDescent="0.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 x14ac:dyDescent="0.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 x14ac:dyDescent="0.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 x14ac:dyDescent="0.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 x14ac:dyDescent="0.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 x14ac:dyDescent="0.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 x14ac:dyDescent="0.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 x14ac:dyDescent="0.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 x14ac:dyDescent="0.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 x14ac:dyDescent="0.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 x14ac:dyDescent="0.2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 x14ac:dyDescent="0.2">
      <c r="A50" s="53"/>
      <c r="B50" s="59"/>
      <c r="C50" s="59"/>
      <c r="D50" s="60"/>
      <c r="E50" s="76"/>
      <c r="F50" s="203"/>
      <c r="G50" s="57"/>
      <c r="H50" s="58"/>
    </row>
    <row r="51" spans="1:10" ht="25.5" x14ac:dyDescent="0.2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 x14ac:dyDescent="0.2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 x14ac:dyDescent="0.2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 x14ac:dyDescent="0.2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 x14ac:dyDescent="0.2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10510.000000000002</v>
      </c>
      <c r="I55" s="120"/>
    </row>
    <row r="56" spans="1:10" x14ac:dyDescent="0.2">
      <c r="A56" s="53"/>
      <c r="B56" s="59"/>
      <c r="C56" s="163"/>
      <c r="D56" s="175"/>
      <c r="E56" s="74" t="s">
        <v>611</v>
      </c>
      <c r="F56" s="205">
        <f>71.4*100</f>
        <v>7140.0000000000009</v>
      </c>
      <c r="G56" s="176"/>
      <c r="H56" s="174"/>
      <c r="I56" s="120"/>
    </row>
    <row r="57" spans="1:10" x14ac:dyDescent="0.2">
      <c r="A57" s="53"/>
      <c r="B57" s="59"/>
      <c r="C57" s="163"/>
      <c r="D57" s="175"/>
      <c r="E57" s="74" t="s">
        <v>580</v>
      </c>
      <c r="F57" s="205">
        <f>33.7*100</f>
        <v>3370.0000000000005</v>
      </c>
      <c r="G57" s="176"/>
      <c r="H57" s="174"/>
      <c r="I57" s="120"/>
    </row>
    <row r="58" spans="1:10" x14ac:dyDescent="0.2">
      <c r="A58" s="53"/>
      <c r="B58" s="59"/>
      <c r="C58" s="163"/>
      <c r="D58" s="175"/>
      <c r="E58" s="74"/>
      <c r="F58" s="205">
        <f>SUM(F56:F57)</f>
        <v>10510.000000000002</v>
      </c>
      <c r="G58" s="176"/>
      <c r="H58" s="174"/>
      <c r="I58" s="120"/>
    </row>
    <row r="59" spans="1:10" x14ac:dyDescent="0.2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 x14ac:dyDescent="0.2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309.39320000000004</v>
      </c>
    </row>
    <row r="61" spans="1:10" x14ac:dyDescent="0.2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 x14ac:dyDescent="0.2">
      <c r="A62" s="169"/>
      <c r="B62" s="163"/>
      <c r="C62" s="163"/>
      <c r="D62" s="175"/>
      <c r="E62" s="178" t="s">
        <v>467</v>
      </c>
      <c r="F62" s="205">
        <f>J62</f>
        <v>309.39320000000004</v>
      </c>
      <c r="G62" s="176"/>
      <c r="H62" s="174"/>
      <c r="J62" s="159">
        <f>SUM(J6:J61)</f>
        <v>309.39320000000004</v>
      </c>
    </row>
    <row r="63" spans="1:10" x14ac:dyDescent="0.2">
      <c r="A63" s="53"/>
      <c r="B63" s="59"/>
      <c r="C63" s="59"/>
      <c r="D63" s="60"/>
      <c r="E63" s="72"/>
      <c r="F63" s="203"/>
      <c r="G63" s="57"/>
      <c r="H63" s="58"/>
    </row>
    <row r="64" spans="1:10" x14ac:dyDescent="0.2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 x14ac:dyDescent="0.2">
      <c r="A65" s="53"/>
      <c r="B65" s="59"/>
      <c r="C65" s="59"/>
      <c r="D65" s="60"/>
      <c r="E65" s="76"/>
      <c r="F65" s="203"/>
      <c r="G65" s="57"/>
      <c r="H65" s="58"/>
    </row>
    <row r="66" spans="1:8" x14ac:dyDescent="0.2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 x14ac:dyDescent="0.2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 x14ac:dyDescent="0.2">
      <c r="A69" s="169"/>
      <c r="B69" s="163"/>
      <c r="C69" s="187"/>
      <c r="D69" s="191"/>
      <c r="E69" s="192"/>
      <c r="F69" s="213"/>
      <c r="G69" s="193"/>
      <c r="H69" s="180"/>
    </row>
    <row r="70" spans="1:8" x14ac:dyDescent="0.2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 x14ac:dyDescent="0.2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 x14ac:dyDescent="0.2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 x14ac:dyDescent="0.2">
      <c r="A73" s="53"/>
      <c r="B73" s="59"/>
      <c r="C73" s="59"/>
      <c r="D73" s="60"/>
      <c r="E73" s="76"/>
      <c r="F73" s="203"/>
      <c r="G73" s="57"/>
      <c r="H73" s="58"/>
    </row>
    <row r="74" spans="1:8" x14ac:dyDescent="0.2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 x14ac:dyDescent="0.2">
      <c r="A75" s="53"/>
      <c r="B75" s="13"/>
      <c r="C75" s="14"/>
      <c r="D75" s="15"/>
      <c r="E75" s="21"/>
      <c r="F75" s="203"/>
      <c r="G75" s="57"/>
      <c r="H75" s="58"/>
    </row>
    <row r="76" spans="1:8" x14ac:dyDescent="0.2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 x14ac:dyDescent="0.2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 x14ac:dyDescent="0.2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 x14ac:dyDescent="0.2">
      <c r="A79" s="53"/>
      <c r="B79" s="59"/>
      <c r="C79" s="59"/>
      <c r="D79" s="60"/>
      <c r="E79" s="76"/>
      <c r="F79" s="203"/>
      <c r="G79" s="57"/>
      <c r="H79" s="58"/>
    </row>
    <row r="80" spans="1:8" x14ac:dyDescent="0.2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 x14ac:dyDescent="0.2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 x14ac:dyDescent="0.2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 x14ac:dyDescent="0.2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 x14ac:dyDescent="0.2">
      <c r="A84" s="53"/>
      <c r="B84" s="59"/>
      <c r="C84" s="59"/>
      <c r="D84" s="60"/>
      <c r="E84" s="76"/>
      <c r="F84" s="203"/>
      <c r="G84" s="57"/>
      <c r="H84" s="181"/>
    </row>
    <row r="85" spans="1:8" x14ac:dyDescent="0.2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 x14ac:dyDescent="0.2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 x14ac:dyDescent="0.2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 x14ac:dyDescent="0.2">
      <c r="A88" s="53"/>
      <c r="B88" s="59"/>
      <c r="C88" s="59"/>
      <c r="D88" s="60"/>
      <c r="E88" s="76"/>
      <c r="F88" s="203"/>
      <c r="G88" s="57"/>
      <c r="H88" s="84"/>
    </row>
    <row r="89" spans="1:8" x14ac:dyDescent="0.2">
      <c r="A89" s="53"/>
      <c r="B89" s="59"/>
      <c r="C89" s="59"/>
      <c r="D89" s="60"/>
      <c r="E89" s="76"/>
      <c r="F89" s="203"/>
      <c r="G89" s="57"/>
      <c r="H89" s="84"/>
    </row>
    <row r="90" spans="1:8" x14ac:dyDescent="0.2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 x14ac:dyDescent="0.2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 x14ac:dyDescent="0.2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 x14ac:dyDescent="0.2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 x14ac:dyDescent="0.2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 x14ac:dyDescent="0.2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 x14ac:dyDescent="0.2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 x14ac:dyDescent="0.2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 x14ac:dyDescent="0.2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 x14ac:dyDescent="0.2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 x14ac:dyDescent="0.2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 x14ac:dyDescent="0.2">
      <c r="A101" s="86"/>
      <c r="B101" s="87"/>
      <c r="C101" s="66"/>
      <c r="D101" s="25"/>
      <c r="E101" s="75"/>
      <c r="F101" s="219"/>
      <c r="G101" s="26"/>
      <c r="H101" s="58"/>
    </row>
    <row r="102" spans="1:10" x14ac:dyDescent="0.2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 x14ac:dyDescent="0.2">
      <c r="A103" s="86"/>
      <c r="B103" s="87"/>
      <c r="C103" s="66"/>
      <c r="D103" s="25"/>
      <c r="E103" s="75"/>
      <c r="F103" s="219"/>
      <c r="G103" s="26"/>
      <c r="H103" s="58"/>
    </row>
    <row r="104" spans="1:10" x14ac:dyDescent="0.2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 x14ac:dyDescent="0.2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 x14ac:dyDescent="0.2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 x14ac:dyDescent="0.2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 x14ac:dyDescent="0.2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974" t="s">
        <v>338</v>
      </c>
      <c r="J108" s="975"/>
    </row>
    <row r="109" spans="1:10" ht="20.25" customHeight="1" x14ac:dyDescent="0.2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974"/>
      <c r="J109" s="975"/>
    </row>
    <row r="110" spans="1:10" ht="25.5" x14ac:dyDescent="0.2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 x14ac:dyDescent="0.2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 x14ac:dyDescent="0.2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 x14ac:dyDescent="0.2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 x14ac:dyDescent="0.2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 x14ac:dyDescent="0.2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 x14ac:dyDescent="0.2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 x14ac:dyDescent="0.2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 x14ac:dyDescent="0.2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 x14ac:dyDescent="0.2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 x14ac:dyDescent="0.2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 x14ac:dyDescent="0.2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 x14ac:dyDescent="0.2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 x14ac:dyDescent="0.2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 x14ac:dyDescent="0.2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 x14ac:dyDescent="0.2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 x14ac:dyDescent="0.2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 x14ac:dyDescent="0.2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 x14ac:dyDescent="0.2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 x14ac:dyDescent="0.2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 x14ac:dyDescent="0.2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 x14ac:dyDescent="0.2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 x14ac:dyDescent="0.2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 x14ac:dyDescent="0.2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 x14ac:dyDescent="0.2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 x14ac:dyDescent="0.2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10.97412125</v>
      </c>
    </row>
    <row r="136" spans="1:10" ht="25.5" x14ac:dyDescent="0.2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 x14ac:dyDescent="0.2">
      <c r="A137" s="86"/>
      <c r="B137" s="110"/>
      <c r="C137" s="66"/>
      <c r="D137" s="114"/>
      <c r="E137" s="177" t="s">
        <v>485</v>
      </c>
      <c r="F137" s="246">
        <f>0.5*0.9*9.95</f>
        <v>4.4775</v>
      </c>
      <c r="G137" s="60"/>
      <c r="H137" s="58"/>
      <c r="I137" s="247"/>
    </row>
    <row r="138" spans="1:10" ht="25.5" x14ac:dyDescent="0.2">
      <c r="A138" s="86"/>
      <c r="B138" s="110"/>
      <c r="C138" s="66"/>
      <c r="D138" s="114"/>
      <c r="E138" s="177" t="s">
        <v>579</v>
      </c>
      <c r="F138" s="246">
        <f>0.6*0.1*9.95</f>
        <v>0.59699999999999998</v>
      </c>
      <c r="G138" s="60"/>
      <c r="H138" s="58"/>
      <c r="I138" s="247"/>
    </row>
    <row r="139" spans="1:10" ht="25.5" x14ac:dyDescent="0.2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1.0463024999999999</v>
      </c>
      <c r="G139" s="60"/>
      <c r="H139" s="58"/>
      <c r="I139" s="247"/>
    </row>
    <row r="140" spans="1:10" ht="33.75" customHeight="1" x14ac:dyDescent="0.2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0.93463125000000014</v>
      </c>
      <c r="G140" s="60"/>
      <c r="H140" s="58"/>
      <c r="I140" s="247"/>
    </row>
    <row r="141" spans="1:10" ht="25.5" x14ac:dyDescent="0.2">
      <c r="A141" s="86"/>
      <c r="B141" s="110"/>
      <c r="C141" s="111"/>
      <c r="D141" s="112"/>
      <c r="E141" s="177" t="s">
        <v>481</v>
      </c>
      <c r="F141" s="73">
        <f>0.95*0.25*((8.9+8.82)/2)</f>
        <v>2.10425</v>
      </c>
      <c r="G141" s="60"/>
      <c r="H141" s="58"/>
      <c r="I141" s="247"/>
    </row>
    <row r="142" spans="1:10" ht="25.5" x14ac:dyDescent="0.2">
      <c r="A142" s="86"/>
      <c r="B142" s="110"/>
      <c r="C142" s="111"/>
      <c r="D142" s="112"/>
      <c r="E142" s="177" t="s">
        <v>484</v>
      </c>
      <c r="F142" s="73">
        <f>0.65*0.25*9.935</f>
        <v>1.6144375000000002</v>
      </c>
      <c r="G142" s="60"/>
      <c r="H142" s="58"/>
      <c r="I142" s="247"/>
    </row>
    <row r="143" spans="1:10" ht="25.5" x14ac:dyDescent="0.2">
      <c r="A143" s="86"/>
      <c r="B143" s="110"/>
      <c r="C143" s="111"/>
      <c r="D143" s="112"/>
      <c r="E143" s="177" t="s">
        <v>492</v>
      </c>
      <c r="F143" s="248">
        <f>0.2*0.05*10*2</f>
        <v>0.20000000000000004</v>
      </c>
      <c r="G143" s="60"/>
      <c r="H143" s="58"/>
    </row>
    <row r="144" spans="1:10" ht="15" x14ac:dyDescent="0.2">
      <c r="A144" s="86"/>
      <c r="B144" s="110"/>
      <c r="C144" s="111"/>
      <c r="D144" s="112"/>
      <c r="E144" s="197" t="s">
        <v>298</v>
      </c>
      <c r="F144" s="73">
        <f>SUM(F137:F143)</f>
        <v>10.97412125</v>
      </c>
      <c r="G144" s="60"/>
      <c r="H144" s="58"/>
    </row>
    <row r="145" spans="1:8" ht="15" x14ac:dyDescent="0.2">
      <c r="A145" s="86"/>
      <c r="B145" s="110"/>
      <c r="C145" s="111"/>
      <c r="D145" s="112"/>
      <c r="E145" s="75"/>
      <c r="F145" s="113"/>
      <c r="G145" s="60"/>
      <c r="H145" s="58"/>
    </row>
    <row r="146" spans="1:8" ht="25.5" x14ac:dyDescent="0.2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 x14ac:dyDescent="0.2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 x14ac:dyDescent="0.2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 x14ac:dyDescent="0.2">
      <c r="A149" s="86"/>
      <c r="B149" s="110"/>
      <c r="C149" s="111"/>
      <c r="D149" s="112"/>
      <c r="E149" s="118"/>
      <c r="F149" s="113"/>
      <c r="G149" s="60"/>
      <c r="H149" s="58"/>
    </row>
    <row r="150" spans="1:8" ht="25.5" x14ac:dyDescent="0.2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14.669150000000002</v>
      </c>
    </row>
    <row r="151" spans="1:8" ht="25.5" x14ac:dyDescent="0.2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 x14ac:dyDescent="0.2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 x14ac:dyDescent="0.2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 x14ac:dyDescent="0.2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2.7339000000000002</v>
      </c>
      <c r="G154" s="175"/>
      <c r="H154" s="174"/>
    </row>
    <row r="155" spans="1:8" ht="25.5" x14ac:dyDescent="0.2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2.53775</v>
      </c>
      <c r="G155" s="175"/>
      <c r="H155" s="174"/>
    </row>
    <row r="156" spans="1:8" ht="25.5" x14ac:dyDescent="0.2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 x14ac:dyDescent="0.2">
      <c r="A157" s="199"/>
      <c r="B157" s="249"/>
      <c r="C157" s="260"/>
      <c r="D157" s="261"/>
      <c r="E157" s="177" t="s">
        <v>491</v>
      </c>
      <c r="F157" s="248">
        <f>2*0.25*9.935</f>
        <v>4.9675000000000002</v>
      </c>
      <c r="G157" s="175"/>
      <c r="H157" s="174"/>
    </row>
    <row r="158" spans="1:8" ht="15" x14ac:dyDescent="0.2">
      <c r="A158" s="199"/>
      <c r="B158" s="249"/>
      <c r="C158" s="260"/>
      <c r="D158" s="261"/>
      <c r="E158" s="197" t="s">
        <v>298</v>
      </c>
      <c r="F158" s="73">
        <f>SUM(F154:F157)</f>
        <v>14.669150000000002</v>
      </c>
      <c r="G158" s="175"/>
      <c r="H158" s="174"/>
    </row>
    <row r="159" spans="1:8" ht="15" x14ac:dyDescent="0.2">
      <c r="A159" s="86"/>
      <c r="B159" s="110"/>
      <c r="C159" s="111"/>
      <c r="D159" s="112"/>
      <c r="E159" s="118"/>
      <c r="F159" s="113"/>
      <c r="G159" s="60"/>
      <c r="H159" s="58"/>
    </row>
    <row r="160" spans="1:8" ht="25.5" x14ac:dyDescent="0.2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2.0590000000000002</v>
      </c>
    </row>
    <row r="161" spans="1:9" ht="25.5" x14ac:dyDescent="0.2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 x14ac:dyDescent="0.2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 x14ac:dyDescent="0.2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 x14ac:dyDescent="0.2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 x14ac:dyDescent="0.2">
      <c r="A165" s="86"/>
      <c r="B165" s="110"/>
      <c r="C165" s="111"/>
      <c r="D165" s="112"/>
      <c r="E165" s="197" t="s">
        <v>298</v>
      </c>
      <c r="F165" s="73">
        <f>SUM(F163:F164)</f>
        <v>2.0590000000000002</v>
      </c>
      <c r="G165" s="60"/>
      <c r="H165" s="181"/>
    </row>
    <row r="166" spans="1:9" ht="15" x14ac:dyDescent="0.2">
      <c r="A166" s="86"/>
      <c r="B166" s="110"/>
      <c r="C166" s="111"/>
      <c r="D166" s="112"/>
      <c r="E166" s="118"/>
      <c r="F166" s="113"/>
      <c r="G166" s="60"/>
      <c r="H166" s="181"/>
    </row>
    <row r="167" spans="1:9" ht="25.5" x14ac:dyDescent="0.2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 x14ac:dyDescent="0.2">
      <c r="A168" s="86"/>
      <c r="B168" s="110"/>
      <c r="C168" s="111"/>
      <c r="D168" s="112"/>
      <c r="E168" s="72"/>
      <c r="F168" s="113"/>
      <c r="G168" s="60"/>
      <c r="H168" s="181"/>
    </row>
    <row r="169" spans="1:9" ht="51" x14ac:dyDescent="0.2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 x14ac:dyDescent="0.2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 x14ac:dyDescent="0.2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 x14ac:dyDescent="0.2">
      <c r="A172" s="86"/>
      <c r="B172" s="110"/>
      <c r="C172" s="123"/>
      <c r="D172" s="124"/>
      <c r="E172" s="85"/>
      <c r="F172" s="125"/>
      <c r="G172" s="81"/>
      <c r="H172" s="80"/>
    </row>
    <row r="173" spans="1:9" ht="51" x14ac:dyDescent="0.2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 x14ac:dyDescent="0.2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 x14ac:dyDescent="0.2">
      <c r="A175" s="86"/>
      <c r="B175" s="110"/>
      <c r="C175" s="123"/>
      <c r="D175" s="124"/>
      <c r="E175" s="85"/>
      <c r="F175" s="125"/>
      <c r="G175" s="81"/>
      <c r="H175" s="80"/>
    </row>
    <row r="176" spans="1:9" ht="51" x14ac:dyDescent="0.2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 x14ac:dyDescent="0.2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 x14ac:dyDescent="0.2">
      <c r="A178" s="86"/>
      <c r="B178" s="110"/>
      <c r="C178" s="123"/>
      <c r="D178" s="124"/>
      <c r="E178" s="85"/>
      <c r="F178" s="125"/>
      <c r="G178" s="81"/>
      <c r="H178" s="80"/>
    </row>
    <row r="179" spans="1:9" ht="15" x14ac:dyDescent="0.2">
      <c r="A179" s="86"/>
      <c r="B179" s="110"/>
      <c r="C179" s="123"/>
      <c r="D179" s="124"/>
      <c r="E179" s="85"/>
      <c r="F179" s="125"/>
      <c r="G179" s="81"/>
      <c r="H179" s="80"/>
    </row>
    <row r="180" spans="1:9" ht="51" x14ac:dyDescent="0.2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 x14ac:dyDescent="0.2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 x14ac:dyDescent="0.2">
      <c r="A182" s="86"/>
      <c r="B182" s="110"/>
      <c r="C182" s="123"/>
      <c r="D182" s="124"/>
      <c r="E182" s="85"/>
      <c r="F182" s="125"/>
      <c r="G182" s="81"/>
      <c r="H182" s="80"/>
    </row>
    <row r="183" spans="1:9" ht="51" x14ac:dyDescent="0.2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 x14ac:dyDescent="0.2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 x14ac:dyDescent="0.2">
      <c r="A185" s="86"/>
      <c r="B185" s="110"/>
      <c r="C185" s="123"/>
      <c r="D185" s="124"/>
      <c r="E185" s="85"/>
      <c r="F185" s="125"/>
      <c r="G185" s="81"/>
      <c r="H185" s="80"/>
    </row>
    <row r="186" spans="1:9" ht="51" x14ac:dyDescent="0.2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 x14ac:dyDescent="0.2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 x14ac:dyDescent="0.2">
      <c r="A188" s="86"/>
      <c r="B188" s="110"/>
      <c r="C188" s="111"/>
      <c r="D188" s="112"/>
      <c r="E188" s="72"/>
      <c r="F188" s="113"/>
      <c r="G188" s="60"/>
      <c r="H188" s="181"/>
    </row>
    <row r="189" spans="1:9" ht="25.5" x14ac:dyDescent="0.2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13.539239999999999</v>
      </c>
    </row>
    <row r="190" spans="1:9" ht="25.5" x14ac:dyDescent="0.2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 x14ac:dyDescent="0.2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 x14ac:dyDescent="0.2">
      <c r="A192" s="199"/>
      <c r="B192" s="249"/>
      <c r="C192" s="200"/>
      <c r="D192" s="255"/>
      <c r="E192" s="177" t="s">
        <v>497</v>
      </c>
      <c r="F192" s="221">
        <f>((1*0.24)+(0.36*0.25))*(11.9+8.92)</f>
        <v>6.8705999999999996</v>
      </c>
      <c r="G192" s="175"/>
      <c r="H192" s="180"/>
    </row>
    <row r="193" spans="1:8" ht="15" x14ac:dyDescent="0.2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6.6686399999999999</v>
      </c>
      <c r="G193" s="175"/>
      <c r="H193" s="180"/>
    </row>
    <row r="194" spans="1:8" ht="15" x14ac:dyDescent="0.2">
      <c r="A194" s="199"/>
      <c r="B194" s="249"/>
      <c r="C194" s="260"/>
      <c r="D194" s="261"/>
      <c r="E194" s="197" t="s">
        <v>298</v>
      </c>
      <c r="F194" s="266">
        <f>SUM(F192:F193)</f>
        <v>13.539239999999999</v>
      </c>
      <c r="G194" s="175"/>
      <c r="H194" s="180"/>
    </row>
    <row r="195" spans="1:8" ht="15" x14ac:dyDescent="0.2">
      <c r="A195" s="86"/>
      <c r="B195" s="110"/>
      <c r="C195" s="111"/>
      <c r="D195" s="112"/>
      <c r="F195" s="113"/>
      <c r="G195" s="60"/>
      <c r="H195" s="181"/>
    </row>
    <row r="196" spans="1:8" ht="15" x14ac:dyDescent="0.2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 x14ac:dyDescent="0.2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 x14ac:dyDescent="0.2">
      <c r="A198" s="86"/>
      <c r="B198" s="110"/>
      <c r="C198" s="111"/>
      <c r="D198" s="112"/>
      <c r="E198" s="118"/>
      <c r="F198" s="113"/>
      <c r="G198" s="60"/>
      <c r="H198" s="181"/>
    </row>
    <row r="199" spans="1:8" ht="25.5" x14ac:dyDescent="0.2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41.644999999999996</v>
      </c>
    </row>
    <row r="200" spans="1:8" ht="25.5" x14ac:dyDescent="0.2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 x14ac:dyDescent="0.2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18.346999999999998</v>
      </c>
      <c r="G201" s="175"/>
      <c r="H201" s="180"/>
    </row>
    <row r="202" spans="1:8" ht="25.5" x14ac:dyDescent="0.2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23.297999999999995</v>
      </c>
      <c r="G202" s="175"/>
      <c r="H202" s="180"/>
    </row>
    <row r="203" spans="1:8" ht="15" x14ac:dyDescent="0.2">
      <c r="A203" s="199"/>
      <c r="B203" s="249"/>
      <c r="C203" s="260"/>
      <c r="D203" s="261"/>
      <c r="E203" s="177" t="s">
        <v>250</v>
      </c>
      <c r="F203" s="266">
        <f>SUM(F201:F202)</f>
        <v>41.644999999999996</v>
      </c>
      <c r="G203" s="175"/>
      <c r="H203" s="180"/>
    </row>
    <row r="204" spans="1:8" ht="15" x14ac:dyDescent="0.2">
      <c r="A204" s="86"/>
      <c r="B204" s="110"/>
      <c r="C204" s="111"/>
      <c r="D204" s="112"/>
      <c r="E204" s="75"/>
      <c r="F204" s="107"/>
      <c r="G204" s="60"/>
      <c r="H204" s="181"/>
    </row>
    <row r="205" spans="1:8" ht="25.5" x14ac:dyDescent="0.2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 x14ac:dyDescent="0.2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 x14ac:dyDescent="0.2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 x14ac:dyDescent="0.2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 x14ac:dyDescent="0.2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 x14ac:dyDescent="0.2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 x14ac:dyDescent="0.2">
      <c r="A211" s="86"/>
      <c r="B211" s="110"/>
      <c r="C211" s="111"/>
      <c r="D211" s="112"/>
      <c r="E211" s="75"/>
      <c r="F211" s="107"/>
      <c r="G211" s="60"/>
      <c r="H211" s="181"/>
    </row>
    <row r="212" spans="1:8" ht="25.5" x14ac:dyDescent="0.2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 x14ac:dyDescent="0.2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 x14ac:dyDescent="0.2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 x14ac:dyDescent="0.2">
      <c r="A215" s="86"/>
      <c r="B215" s="110"/>
      <c r="C215" s="111"/>
      <c r="D215" s="112"/>
      <c r="E215" s="118"/>
      <c r="F215" s="113"/>
      <c r="G215" s="60"/>
      <c r="H215" s="181"/>
    </row>
    <row r="216" spans="1:8" ht="25.5" x14ac:dyDescent="0.2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 x14ac:dyDescent="0.2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 x14ac:dyDescent="0.2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 x14ac:dyDescent="0.2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 x14ac:dyDescent="0.2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 x14ac:dyDescent="0.2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 x14ac:dyDescent="0.2">
      <c r="A222" s="86"/>
      <c r="B222" s="110"/>
      <c r="C222" s="111"/>
      <c r="D222" s="112"/>
      <c r="E222" s="118"/>
      <c r="F222" s="113"/>
      <c r="G222" s="60"/>
      <c r="H222" s="84"/>
    </row>
    <row r="223" spans="1:8" ht="25.5" x14ac:dyDescent="0.2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 x14ac:dyDescent="0.2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 x14ac:dyDescent="0.2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 x14ac:dyDescent="0.2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 x14ac:dyDescent="0.2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 x14ac:dyDescent="0.2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 x14ac:dyDescent="0.2">
      <c r="A229" s="86"/>
      <c r="B229" s="110"/>
      <c r="C229" s="111"/>
      <c r="D229" s="112"/>
      <c r="E229" s="72"/>
      <c r="F229" s="113"/>
      <c r="G229" s="60"/>
      <c r="H229" s="84"/>
    </row>
    <row r="230" spans="1:8" ht="25.5" x14ac:dyDescent="0.2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 x14ac:dyDescent="0.2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 x14ac:dyDescent="0.2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 x14ac:dyDescent="0.2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 x14ac:dyDescent="0.2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 x14ac:dyDescent="0.2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 x14ac:dyDescent="0.2">
      <c r="A236" s="86"/>
      <c r="B236" s="110"/>
      <c r="C236" s="111"/>
      <c r="D236" s="112"/>
      <c r="E236" s="118"/>
      <c r="F236" s="113"/>
      <c r="G236" s="60"/>
      <c r="H236" s="84"/>
    </row>
    <row r="237" spans="1:8" ht="25.5" x14ac:dyDescent="0.2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11.0466</v>
      </c>
    </row>
    <row r="238" spans="1:8" ht="25.5" x14ac:dyDescent="0.2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 x14ac:dyDescent="0.2">
      <c r="A239" s="199"/>
      <c r="B239" s="249"/>
      <c r="C239" s="260"/>
      <c r="D239" s="261"/>
      <c r="E239" s="74" t="s">
        <v>501</v>
      </c>
      <c r="F239" s="73">
        <f>9.5*6.46*0.18</f>
        <v>11.0466</v>
      </c>
      <c r="G239" s="175"/>
      <c r="H239" s="180"/>
    </row>
    <row r="240" spans="1:8" ht="15" x14ac:dyDescent="0.2">
      <c r="A240" s="86"/>
      <c r="B240" s="110"/>
      <c r="C240" s="111"/>
      <c r="D240" s="112"/>
      <c r="E240" s="77" t="s">
        <v>298</v>
      </c>
      <c r="F240" s="67">
        <f>SUM(F239:F239)</f>
        <v>11.0466</v>
      </c>
      <c r="G240" s="60"/>
      <c r="H240" s="181"/>
    </row>
    <row r="241" spans="1:9" ht="15" x14ac:dyDescent="0.2">
      <c r="A241" s="86"/>
      <c r="B241" s="110"/>
      <c r="C241" s="111"/>
      <c r="D241" s="112"/>
      <c r="E241" s="72"/>
      <c r="F241" s="113"/>
      <c r="G241" s="60"/>
      <c r="H241" s="181"/>
    </row>
    <row r="242" spans="1:9" ht="25.5" x14ac:dyDescent="0.2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6.8400000000000007</v>
      </c>
    </row>
    <row r="243" spans="1:9" ht="25.5" x14ac:dyDescent="0.2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 x14ac:dyDescent="0.2">
      <c r="A244" s="86"/>
      <c r="B244" s="110"/>
      <c r="C244" s="111"/>
      <c r="D244" s="112"/>
      <c r="E244" s="74" t="s">
        <v>582</v>
      </c>
      <c r="F244" s="73">
        <f>(10.6+10.6+6.5+6.5)*0.2</f>
        <v>6.8400000000000007</v>
      </c>
      <c r="G244" s="60"/>
      <c r="H244" s="181"/>
    </row>
    <row r="245" spans="1:9" ht="15" x14ac:dyDescent="0.2">
      <c r="A245" s="86"/>
      <c r="B245" s="110"/>
      <c r="C245" s="111"/>
      <c r="D245" s="112"/>
      <c r="E245" s="118"/>
      <c r="F245" s="113"/>
      <c r="G245" s="60"/>
      <c r="H245" s="181"/>
    </row>
    <row r="246" spans="1:9" ht="25.5" x14ac:dyDescent="0.2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1.5229999999999999</v>
      </c>
    </row>
    <row r="247" spans="1:9" ht="25.5" x14ac:dyDescent="0.2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 x14ac:dyDescent="0.2">
      <c r="A248" s="199"/>
      <c r="B248" s="249"/>
      <c r="C248" s="260"/>
      <c r="D248" s="261"/>
      <c r="E248" s="177" t="s">
        <v>583</v>
      </c>
      <c r="F248" s="73">
        <v>0.35699999999999998</v>
      </c>
      <c r="G248" s="175"/>
      <c r="H248" s="180"/>
    </row>
    <row r="249" spans="1:9" ht="25.5" x14ac:dyDescent="0.2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 x14ac:dyDescent="0.2">
      <c r="A250" s="199"/>
      <c r="B250" s="249"/>
      <c r="C250" s="260"/>
      <c r="D250" s="261"/>
      <c r="E250" s="74" t="s">
        <v>502</v>
      </c>
      <c r="F250" s="248">
        <v>1.1659999999999999</v>
      </c>
      <c r="G250" s="175"/>
      <c r="H250" s="180"/>
    </row>
    <row r="251" spans="1:9" ht="15" x14ac:dyDescent="0.2">
      <c r="A251" s="199"/>
      <c r="B251" s="249"/>
      <c r="C251" s="260"/>
      <c r="D251" s="261"/>
      <c r="E251" s="197" t="s">
        <v>298</v>
      </c>
      <c r="F251" s="73">
        <f>F248+F250</f>
        <v>1.5229999999999999</v>
      </c>
      <c r="G251" s="175"/>
      <c r="H251" s="180"/>
    </row>
    <row r="252" spans="1:9" ht="15" x14ac:dyDescent="0.2">
      <c r="A252" s="86"/>
      <c r="B252" s="110"/>
      <c r="C252" s="111"/>
      <c r="D252" s="112"/>
      <c r="E252" s="77"/>
      <c r="F252" s="67"/>
      <c r="G252" s="60"/>
      <c r="H252" s="84"/>
    </row>
    <row r="253" spans="1:9" ht="25.5" x14ac:dyDescent="0.2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 x14ac:dyDescent="0.2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 x14ac:dyDescent="0.2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 x14ac:dyDescent="0.2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 x14ac:dyDescent="0.2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 x14ac:dyDescent="0.2">
      <c r="A258" s="86"/>
      <c r="B258" s="110"/>
      <c r="C258" s="101"/>
      <c r="D258" s="10"/>
      <c r="E258" s="90"/>
      <c r="F258" s="217"/>
      <c r="G258" s="12"/>
      <c r="H258" s="80"/>
    </row>
    <row r="259" spans="1:9" ht="38.25" x14ac:dyDescent="0.2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 x14ac:dyDescent="0.2">
      <c r="A260" s="86"/>
      <c r="B260" s="110"/>
      <c r="C260" s="66"/>
      <c r="D260" s="25"/>
      <c r="E260" s="106"/>
      <c r="F260" s="227"/>
      <c r="G260" s="26"/>
      <c r="H260" s="84"/>
    </row>
    <row r="261" spans="1:9" ht="25.5" x14ac:dyDescent="0.2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 x14ac:dyDescent="0.2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 x14ac:dyDescent="0.2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 x14ac:dyDescent="0.2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 x14ac:dyDescent="0.2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 x14ac:dyDescent="0.2">
      <c r="A266" s="86"/>
      <c r="B266" s="110"/>
      <c r="C266" s="111"/>
      <c r="D266" s="112"/>
      <c r="E266" s="118"/>
      <c r="F266" s="113"/>
      <c r="G266" s="60"/>
      <c r="H266" s="84"/>
    </row>
    <row r="267" spans="1:9" ht="25.5" x14ac:dyDescent="0.2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 x14ac:dyDescent="0.2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 x14ac:dyDescent="0.2">
      <c r="A269" s="86"/>
      <c r="B269" s="110"/>
      <c r="C269" s="111"/>
      <c r="D269" s="112"/>
      <c r="E269" s="24"/>
      <c r="F269" s="113"/>
      <c r="G269" s="60"/>
      <c r="H269" s="84"/>
    </row>
    <row r="270" spans="1:9" ht="15" x14ac:dyDescent="0.2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 x14ac:dyDescent="0.2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 x14ac:dyDescent="0.2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 x14ac:dyDescent="0.2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 x14ac:dyDescent="0.2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 x14ac:dyDescent="0.2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 x14ac:dyDescent="0.2">
      <c r="A276" s="86"/>
      <c r="B276" s="110"/>
      <c r="C276" s="17"/>
      <c r="D276" s="18"/>
      <c r="E276" s="130"/>
      <c r="F276" s="226"/>
      <c r="G276" s="20"/>
      <c r="H276" s="181"/>
    </row>
    <row r="277" spans="1:8" ht="15" x14ac:dyDescent="0.2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 x14ac:dyDescent="0.2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 x14ac:dyDescent="0.2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 x14ac:dyDescent="0.2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 x14ac:dyDescent="0.2">
      <c r="A281" s="86"/>
      <c r="B281" s="110"/>
      <c r="C281" s="17"/>
      <c r="D281" s="18"/>
      <c r="E281" s="103"/>
      <c r="F281" s="226"/>
      <c r="G281" s="20"/>
      <c r="H281" s="58"/>
    </row>
    <row r="282" spans="1:8" ht="25.5" x14ac:dyDescent="0.2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 x14ac:dyDescent="0.2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 x14ac:dyDescent="0.2">
      <c r="A284" s="86"/>
      <c r="B284" s="110"/>
      <c r="C284" s="17"/>
      <c r="D284" s="18"/>
      <c r="E284" s="103"/>
      <c r="F284" s="226"/>
      <c r="G284" s="20"/>
      <c r="H284" s="58"/>
    </row>
    <row r="285" spans="1:8" ht="25.5" x14ac:dyDescent="0.2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 x14ac:dyDescent="0.2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 x14ac:dyDescent="0.2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 x14ac:dyDescent="0.2">
      <c r="A288" s="86"/>
      <c r="B288" s="110"/>
      <c r="C288" s="17"/>
      <c r="D288" s="18"/>
      <c r="E288" s="103"/>
      <c r="F288" s="226"/>
      <c r="G288" s="20"/>
      <c r="H288" s="58"/>
    </row>
    <row r="289" spans="1:9" ht="25.5" x14ac:dyDescent="0.2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 x14ac:dyDescent="0.2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 x14ac:dyDescent="0.2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 x14ac:dyDescent="0.2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 x14ac:dyDescent="0.2">
      <c r="A293" s="199"/>
      <c r="B293" s="249"/>
      <c r="C293" s="250"/>
      <c r="D293" s="195"/>
      <c r="E293" s="177" t="s">
        <v>607</v>
      </c>
      <c r="F293" s="337">
        <f>(2*0.29)+(2*0.35)</f>
        <v>1.2799999999999998</v>
      </c>
      <c r="G293" s="194"/>
      <c r="H293" s="180"/>
    </row>
    <row r="294" spans="1:9" ht="15" x14ac:dyDescent="0.2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 x14ac:dyDescent="0.2">
      <c r="A295" s="86"/>
      <c r="B295" s="110"/>
      <c r="C295" s="17"/>
      <c r="D295" s="18"/>
      <c r="E295" s="103"/>
      <c r="F295" s="226"/>
      <c r="G295" s="20"/>
      <c r="H295" s="181"/>
    </row>
    <row r="296" spans="1:9" ht="25.5" x14ac:dyDescent="0.2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 x14ac:dyDescent="0.2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 x14ac:dyDescent="0.2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 x14ac:dyDescent="0.2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 x14ac:dyDescent="0.2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 x14ac:dyDescent="0.2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 x14ac:dyDescent="0.2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 x14ac:dyDescent="0.2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 x14ac:dyDescent="0.2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 x14ac:dyDescent="0.2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 x14ac:dyDescent="0.2">
      <c r="A306" s="86"/>
      <c r="B306" s="110"/>
      <c r="C306" s="66"/>
      <c r="D306" s="25"/>
      <c r="E306" s="106"/>
      <c r="F306" s="227"/>
      <c r="G306" s="26"/>
      <c r="H306" s="181"/>
    </row>
    <row r="307" spans="1:10" ht="25.5" x14ac:dyDescent="0.2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 x14ac:dyDescent="0.2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 x14ac:dyDescent="0.2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 x14ac:dyDescent="0.2">
      <c r="A310" s="86"/>
      <c r="B310" s="110"/>
      <c r="C310" s="111"/>
      <c r="D310" s="112"/>
      <c r="E310" s="118"/>
      <c r="F310" s="113"/>
      <c r="G310" s="60"/>
      <c r="H310" s="181"/>
    </row>
    <row r="311" spans="1:10" ht="25.5" x14ac:dyDescent="0.2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 x14ac:dyDescent="0.2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 x14ac:dyDescent="0.2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 x14ac:dyDescent="0.2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 x14ac:dyDescent="0.2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 x14ac:dyDescent="0.2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 x14ac:dyDescent="0.2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 x14ac:dyDescent="0.2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 x14ac:dyDescent="0.2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 x14ac:dyDescent="0.2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 x14ac:dyDescent="0.2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 x14ac:dyDescent="0.2">
      <c r="A322" s="86"/>
      <c r="B322" s="110"/>
      <c r="C322" s="111"/>
      <c r="D322" s="112"/>
      <c r="E322" s="77"/>
      <c r="F322" s="131"/>
      <c r="G322" s="60"/>
      <c r="H322" s="181"/>
    </row>
    <row r="323" spans="1:10" ht="25.5" x14ac:dyDescent="0.2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 x14ac:dyDescent="0.2">
      <c r="A324" s="86"/>
      <c r="B324" s="108"/>
      <c r="C324" s="108"/>
      <c r="D324" s="15"/>
      <c r="E324" s="109"/>
      <c r="F324" s="131"/>
      <c r="G324" s="60"/>
      <c r="H324" s="181"/>
    </row>
    <row r="325" spans="1:10" ht="25.5" x14ac:dyDescent="0.2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 x14ac:dyDescent="0.2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 x14ac:dyDescent="0.2">
      <c r="A327" s="86"/>
      <c r="B327" s="110"/>
      <c r="C327" s="111"/>
      <c r="D327" s="112"/>
      <c r="E327" s="77"/>
      <c r="F327" s="131"/>
      <c r="G327" s="60"/>
      <c r="H327" s="181"/>
    </row>
    <row r="328" spans="1:10" ht="25.5" x14ac:dyDescent="0.2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 x14ac:dyDescent="0.2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 x14ac:dyDescent="0.2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 x14ac:dyDescent="0.2">
      <c r="A331" s="86"/>
      <c r="B331" s="110"/>
      <c r="C331" s="111"/>
      <c r="D331" s="112"/>
      <c r="E331" s="77"/>
      <c r="F331" s="131"/>
      <c r="G331" s="60"/>
      <c r="H331" s="181"/>
    </row>
    <row r="332" spans="1:10" ht="25.5" x14ac:dyDescent="0.2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 x14ac:dyDescent="0.2">
      <c r="A333" s="86"/>
      <c r="B333" s="108"/>
      <c r="C333" s="108"/>
      <c r="D333" s="15"/>
      <c r="E333" s="109"/>
      <c r="F333" s="113"/>
      <c r="G333" s="60"/>
      <c r="H333" s="181"/>
    </row>
    <row r="334" spans="1:10" ht="25.5" x14ac:dyDescent="0.2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 x14ac:dyDescent="0.2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 x14ac:dyDescent="0.2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 x14ac:dyDescent="0.2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 x14ac:dyDescent="0.2">
      <c r="A338" s="86"/>
      <c r="B338" s="110"/>
      <c r="C338" s="111"/>
      <c r="D338" s="112"/>
      <c r="E338" s="75"/>
      <c r="F338" s="113"/>
      <c r="G338" s="60"/>
      <c r="H338" s="181"/>
    </row>
    <row r="339" spans="1:8" ht="25.5" x14ac:dyDescent="0.2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 x14ac:dyDescent="0.2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 x14ac:dyDescent="0.2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 x14ac:dyDescent="0.2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 x14ac:dyDescent="0.2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 x14ac:dyDescent="0.2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 x14ac:dyDescent="0.2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 x14ac:dyDescent="0.2">
      <c r="A346" s="86"/>
      <c r="B346" s="110"/>
      <c r="C346" s="111"/>
      <c r="D346" s="112"/>
      <c r="E346" s="77"/>
      <c r="F346" s="67"/>
      <c r="G346" s="60"/>
      <c r="H346" s="181"/>
    </row>
    <row r="347" spans="1:8" ht="25.5" x14ac:dyDescent="0.2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30.549999999999997</v>
      </c>
    </row>
    <row r="348" spans="1:8" ht="25.5" x14ac:dyDescent="0.2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 x14ac:dyDescent="0.2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 x14ac:dyDescent="0.2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 x14ac:dyDescent="0.2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 x14ac:dyDescent="0.2">
      <c r="A352" s="199"/>
      <c r="B352" s="249"/>
      <c r="C352" s="200"/>
      <c r="D352" s="171"/>
      <c r="E352" s="177"/>
      <c r="F352" s="73"/>
      <c r="G352" s="173"/>
      <c r="H352" s="180"/>
    </row>
    <row r="353" spans="1:8" ht="15" x14ac:dyDescent="0.2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 x14ac:dyDescent="0.2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 x14ac:dyDescent="0.2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 x14ac:dyDescent="0.2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 x14ac:dyDescent="0.2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 x14ac:dyDescent="0.2">
      <c r="A358" s="199"/>
      <c r="B358" s="249"/>
      <c r="C358" s="200"/>
      <c r="D358" s="195"/>
      <c r="E358" s="197" t="s">
        <v>298</v>
      </c>
      <c r="F358" s="279">
        <f>SUM(F350:F357)</f>
        <v>30.549999999999997</v>
      </c>
      <c r="G358" s="194"/>
      <c r="H358" s="180"/>
    </row>
    <row r="359" spans="1:8" ht="15" x14ac:dyDescent="0.2">
      <c r="A359" s="86"/>
      <c r="B359" s="110"/>
      <c r="C359" s="66"/>
      <c r="D359" s="25"/>
      <c r="E359" s="106"/>
      <c r="F359" s="227"/>
      <c r="G359" s="26"/>
      <c r="H359" s="181"/>
    </row>
    <row r="360" spans="1:8" ht="25.5" x14ac:dyDescent="0.2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99.409999999999982</v>
      </c>
    </row>
    <row r="361" spans="1:8" ht="38.25" x14ac:dyDescent="0.2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94.609999999999985</v>
      </c>
    </row>
    <row r="362" spans="1:8" ht="15" x14ac:dyDescent="0.2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 x14ac:dyDescent="0.2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 x14ac:dyDescent="0.2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 x14ac:dyDescent="0.2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 x14ac:dyDescent="0.2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 x14ac:dyDescent="0.2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 x14ac:dyDescent="0.2">
      <c r="A368" s="86"/>
      <c r="B368" s="110"/>
      <c r="C368" s="2"/>
      <c r="D368" s="5"/>
      <c r="E368" s="197" t="s">
        <v>298</v>
      </c>
      <c r="F368" s="282">
        <f>SUM(F362:F367)</f>
        <v>94.609999999999985</v>
      </c>
      <c r="G368" s="7"/>
      <c r="H368" s="181"/>
    </row>
    <row r="369" spans="1:8" ht="15" x14ac:dyDescent="0.2">
      <c r="A369" s="86"/>
      <c r="B369" s="110"/>
      <c r="C369" s="2"/>
      <c r="D369" s="5"/>
      <c r="E369" s="120"/>
      <c r="F369" s="210"/>
      <c r="G369" s="7"/>
      <c r="H369" s="181"/>
    </row>
    <row r="370" spans="1:8" ht="38.25" x14ac:dyDescent="0.2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 x14ac:dyDescent="0.2">
      <c r="A371" s="86"/>
      <c r="B371" s="110"/>
      <c r="C371" s="111"/>
      <c r="D371" s="112"/>
      <c r="E371" s="75" t="s">
        <v>387</v>
      </c>
      <c r="F371" s="341">
        <f>(1.6+0.8)*2</f>
        <v>4.8000000000000007</v>
      </c>
      <c r="G371" s="60"/>
      <c r="H371" s="181"/>
    </row>
    <row r="372" spans="1:8" ht="15" x14ac:dyDescent="0.2">
      <c r="A372" s="86"/>
      <c r="B372" s="110"/>
      <c r="C372" s="111"/>
      <c r="D372" s="112"/>
      <c r="E372" s="118"/>
      <c r="F372" s="113"/>
      <c r="G372" s="60"/>
      <c r="H372" s="84"/>
    </row>
    <row r="373" spans="1:8" ht="25.5" x14ac:dyDescent="0.2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 x14ac:dyDescent="0.2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 x14ac:dyDescent="0.2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 x14ac:dyDescent="0.2">
      <c r="A376" s="276"/>
      <c r="B376" s="274"/>
      <c r="C376" s="277"/>
      <c r="D376" s="188"/>
      <c r="E376" s="278"/>
      <c r="F376" s="319"/>
      <c r="G376" s="190"/>
      <c r="H376" s="180"/>
    </row>
    <row r="377" spans="1:8" ht="15" x14ac:dyDescent="0.2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 x14ac:dyDescent="0.2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 x14ac:dyDescent="0.2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 x14ac:dyDescent="0.2">
      <c r="A380" s="276"/>
      <c r="B380" s="274"/>
      <c r="C380" s="277"/>
      <c r="D380" s="188"/>
      <c r="E380" s="278"/>
      <c r="F380" s="319"/>
      <c r="G380" s="190"/>
      <c r="H380" s="180"/>
    </row>
    <row r="381" spans="1:8" ht="25.5" x14ac:dyDescent="0.2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 x14ac:dyDescent="0.2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 x14ac:dyDescent="0.2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 x14ac:dyDescent="0.2">
      <c r="A384" s="86"/>
      <c r="B384" s="110"/>
      <c r="C384" s="66"/>
      <c r="D384" s="25"/>
      <c r="E384" s="106"/>
      <c r="F384" s="227"/>
      <c r="G384" s="26"/>
      <c r="H384" s="181"/>
    </row>
    <row r="385" spans="1:8" ht="15" x14ac:dyDescent="0.2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 x14ac:dyDescent="0.2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 x14ac:dyDescent="0.2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 x14ac:dyDescent="0.2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 x14ac:dyDescent="0.2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 x14ac:dyDescent="0.2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 x14ac:dyDescent="0.2">
      <c r="A391" s="86"/>
      <c r="B391" s="110"/>
      <c r="C391" s="66"/>
      <c r="D391" s="25"/>
      <c r="E391" s="72"/>
      <c r="F391" s="233"/>
      <c r="G391" s="26"/>
      <c r="H391" s="181"/>
    </row>
    <row r="392" spans="1:8" ht="15" x14ac:dyDescent="0.2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 x14ac:dyDescent="0.2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 x14ac:dyDescent="0.2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 x14ac:dyDescent="0.2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 x14ac:dyDescent="0.2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 x14ac:dyDescent="0.2">
      <c r="A397" s="86"/>
      <c r="B397" s="110"/>
      <c r="C397" s="66"/>
      <c r="D397" s="25"/>
      <c r="E397" s="77"/>
      <c r="F397" s="227"/>
      <c r="G397" s="26"/>
      <c r="H397" s="84"/>
    </row>
    <row r="398" spans="1:8" ht="15" x14ac:dyDescent="0.2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 x14ac:dyDescent="0.2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 x14ac:dyDescent="0.2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 x14ac:dyDescent="0.2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 x14ac:dyDescent="0.2">
      <c r="A402" s="86"/>
      <c r="B402" s="110"/>
      <c r="C402" s="66"/>
      <c r="D402" s="25"/>
      <c r="E402" s="106"/>
      <c r="F402" s="227"/>
      <c r="G402" s="26"/>
      <c r="H402" s="84"/>
    </row>
    <row r="403" spans="1:8" ht="25.5" x14ac:dyDescent="0.2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 x14ac:dyDescent="0.2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 x14ac:dyDescent="0.2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 x14ac:dyDescent="0.2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 x14ac:dyDescent="0.2">
      <c r="A407" s="86"/>
      <c r="B407" s="110"/>
      <c r="C407" s="66"/>
      <c r="D407" s="25"/>
      <c r="E407" s="72"/>
      <c r="F407" s="227"/>
      <c r="G407" s="26"/>
      <c r="H407" s="84"/>
    </row>
    <row r="408" spans="1:8" ht="25.5" x14ac:dyDescent="0.2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 x14ac:dyDescent="0.2">
      <c r="A409" s="86"/>
      <c r="B409" s="108"/>
      <c r="C409" s="108"/>
      <c r="D409" s="15"/>
      <c r="E409" s="109"/>
      <c r="F409" s="113"/>
      <c r="G409" s="60"/>
      <c r="H409" s="84"/>
    </row>
    <row r="410" spans="1:8" ht="15" x14ac:dyDescent="0.2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 x14ac:dyDescent="0.2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 x14ac:dyDescent="0.2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 x14ac:dyDescent="0.2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 x14ac:dyDescent="0.2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 x14ac:dyDescent="0.2">
      <c r="A415" s="86"/>
      <c r="B415" s="110"/>
      <c r="C415" s="17"/>
      <c r="D415" s="18"/>
      <c r="E415" s="103"/>
      <c r="F415" s="226"/>
      <c r="G415" s="20"/>
      <c r="H415" s="84"/>
    </row>
    <row r="416" spans="1:8" ht="15" x14ac:dyDescent="0.2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 x14ac:dyDescent="0.2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 x14ac:dyDescent="0.2">
      <c r="A418" s="86"/>
      <c r="B418" s="110"/>
      <c r="C418" s="111"/>
      <c r="D418" s="112"/>
      <c r="E418" s="75"/>
      <c r="F418" s="113"/>
      <c r="G418" s="60"/>
      <c r="H418" s="84"/>
    </row>
    <row r="419" spans="1:8" ht="15" x14ac:dyDescent="0.2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 x14ac:dyDescent="0.2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 x14ac:dyDescent="0.2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 x14ac:dyDescent="0.2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 x14ac:dyDescent="0.2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 x14ac:dyDescent="0.2">
      <c r="A424" s="86"/>
      <c r="B424" s="110"/>
      <c r="C424" s="111"/>
      <c r="D424" s="112"/>
      <c r="E424" s="118"/>
      <c r="F424" s="113"/>
      <c r="G424" s="60"/>
      <c r="H424" s="84"/>
    </row>
    <row r="425" spans="1:8" ht="15" x14ac:dyDescent="0.2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 x14ac:dyDescent="0.2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25.5" x14ac:dyDescent="0.2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25.5" x14ac:dyDescent="0.2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 x14ac:dyDescent="0.2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 x14ac:dyDescent="0.2">
      <c r="A430" s="86"/>
      <c r="B430" s="110"/>
      <c r="C430" s="111"/>
      <c r="D430" s="112"/>
      <c r="E430" s="118"/>
      <c r="F430" s="113"/>
      <c r="G430" s="60"/>
      <c r="H430" s="84"/>
    </row>
    <row r="431" spans="1:8" ht="15" x14ac:dyDescent="0.2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 x14ac:dyDescent="0.2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 x14ac:dyDescent="0.2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 x14ac:dyDescent="0.2">
      <c r="A434" s="86"/>
      <c r="B434" s="110"/>
      <c r="C434" s="111"/>
      <c r="D434" s="112"/>
      <c r="E434" s="118"/>
      <c r="F434" s="113"/>
      <c r="G434" s="60"/>
      <c r="H434" s="84"/>
    </row>
    <row r="435" spans="1:8" ht="25.5" x14ac:dyDescent="0.2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 x14ac:dyDescent="0.2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 x14ac:dyDescent="0.2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 x14ac:dyDescent="0.2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 x14ac:dyDescent="0.2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 x14ac:dyDescent="0.2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 x14ac:dyDescent="0.2">
      <c r="A441" s="86"/>
      <c r="B441" s="110"/>
      <c r="C441" s="66"/>
      <c r="D441" s="126"/>
      <c r="E441" s="77"/>
      <c r="F441" s="232"/>
      <c r="G441" s="60"/>
      <c r="H441" s="84"/>
    </row>
    <row r="442" spans="1:8" ht="25.5" x14ac:dyDescent="0.2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 x14ac:dyDescent="0.2">
      <c r="A443" s="86"/>
      <c r="B443" s="110"/>
      <c r="C443" s="66"/>
      <c r="D443" s="126"/>
      <c r="E443" s="127"/>
      <c r="F443" s="232"/>
      <c r="G443" s="60"/>
      <c r="H443" s="84"/>
    </row>
    <row r="444" spans="1:8" ht="25.5" x14ac:dyDescent="0.2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 x14ac:dyDescent="0.2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 x14ac:dyDescent="0.2">
      <c r="A446" s="86"/>
      <c r="B446" s="110"/>
      <c r="C446" s="111"/>
      <c r="D446" s="112"/>
      <c r="E446" s="118"/>
      <c r="F446" s="113"/>
      <c r="G446" s="60"/>
      <c r="H446" s="84"/>
    </row>
    <row r="447" spans="1:8" ht="25.5" x14ac:dyDescent="0.2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 x14ac:dyDescent="0.2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 x14ac:dyDescent="0.2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 x14ac:dyDescent="0.2">
      <c r="A450" s="86"/>
      <c r="B450" s="110"/>
      <c r="C450" s="111"/>
      <c r="D450" s="112"/>
      <c r="E450" s="75"/>
      <c r="F450" s="113"/>
      <c r="G450" s="60"/>
      <c r="H450" s="84"/>
    </row>
    <row r="451" spans="1:10" ht="25.5" x14ac:dyDescent="0.2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 x14ac:dyDescent="0.2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 x14ac:dyDescent="0.2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 x14ac:dyDescent="0.2">
      <c r="A454" s="86"/>
      <c r="B454" s="140"/>
      <c r="C454" s="141"/>
      <c r="D454" s="141"/>
      <c r="E454" s="142"/>
      <c r="F454" s="239"/>
      <c r="G454" s="141"/>
      <c r="H454" s="143"/>
    </row>
    <row r="455" spans="1:10" x14ac:dyDescent="0.2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 x14ac:dyDescent="0.2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 x14ac:dyDescent="0.2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 x14ac:dyDescent="0.2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 x14ac:dyDescent="0.2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 x14ac:dyDescent="0.2">
      <c r="A460" s="86"/>
      <c r="B460" s="110"/>
      <c r="C460" s="66"/>
      <c r="D460" s="25"/>
      <c r="E460" s="72"/>
      <c r="F460" s="227"/>
      <c r="G460" s="26"/>
      <c r="H460" s="84"/>
    </row>
    <row r="461" spans="1:10" x14ac:dyDescent="0.2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 x14ac:dyDescent="0.2">
      <c r="A462" s="86"/>
      <c r="B462" s="110"/>
      <c r="C462" s="111"/>
      <c r="D462" s="112"/>
      <c r="E462" s="118"/>
      <c r="F462" s="113"/>
      <c r="G462" s="60"/>
      <c r="H462" s="84"/>
    </row>
    <row r="463" spans="1:10" ht="25.5" x14ac:dyDescent="0.2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 x14ac:dyDescent="0.2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 x14ac:dyDescent="0.2">
      <c r="A465" s="276"/>
      <c r="B465" s="274"/>
      <c r="C465" s="277"/>
      <c r="D465" s="188"/>
      <c r="E465" s="69"/>
      <c r="F465" s="40"/>
      <c r="G465" s="190"/>
      <c r="H465" s="180"/>
    </row>
    <row r="466" spans="1:8" ht="15" x14ac:dyDescent="0.2">
      <c r="A466" s="86"/>
      <c r="B466" s="110"/>
      <c r="C466" s="66"/>
      <c r="D466" s="25"/>
      <c r="E466" s="72"/>
      <c r="F466" s="227"/>
      <c r="G466" s="26"/>
      <c r="H466" s="84"/>
    </row>
    <row r="467" spans="1:8" ht="25.5" x14ac:dyDescent="0.2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 x14ac:dyDescent="0.2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 x14ac:dyDescent="0.2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 x14ac:dyDescent="0.2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 x14ac:dyDescent="0.2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 x14ac:dyDescent="0.2">
      <c r="A472" s="86"/>
      <c r="B472" s="110"/>
      <c r="C472" s="66"/>
      <c r="D472" s="25"/>
      <c r="E472" s="106"/>
      <c r="F472" s="227"/>
      <c r="G472" s="26"/>
      <c r="H472" s="84"/>
    </row>
    <row r="473" spans="1:8" ht="25.5" x14ac:dyDescent="0.2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 x14ac:dyDescent="0.2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 x14ac:dyDescent="0.2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 x14ac:dyDescent="0.2">
      <c r="A476" s="86"/>
      <c r="B476" s="110"/>
      <c r="C476" s="111"/>
      <c r="D476" s="112"/>
      <c r="E476" s="118"/>
      <c r="F476" s="113"/>
      <c r="G476" s="60"/>
      <c r="H476" s="84"/>
    </row>
    <row r="477" spans="1:8" ht="25.5" x14ac:dyDescent="0.2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 x14ac:dyDescent="0.2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 x14ac:dyDescent="0.2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 x14ac:dyDescent="0.2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 x14ac:dyDescent="0.2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 x14ac:dyDescent="0.2">
      <c r="A482" s="86"/>
      <c r="B482" s="110"/>
      <c r="C482" s="17"/>
      <c r="D482" s="18"/>
      <c r="E482" s="103"/>
      <c r="F482" s="226"/>
      <c r="G482" s="20"/>
      <c r="H482" s="84"/>
    </row>
    <row r="483" spans="1:8" ht="25.5" x14ac:dyDescent="0.2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 x14ac:dyDescent="0.2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 x14ac:dyDescent="0.2">
      <c r="A485" s="86"/>
      <c r="B485" s="110"/>
      <c r="C485" s="111"/>
      <c r="D485" s="112"/>
      <c r="E485" s="118"/>
      <c r="F485" s="113"/>
      <c r="G485" s="60"/>
      <c r="H485" s="84"/>
    </row>
    <row r="486" spans="1:8" ht="25.5" x14ac:dyDescent="0.2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 x14ac:dyDescent="0.2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 x14ac:dyDescent="0.2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 x14ac:dyDescent="0.2">
      <c r="A489" s="86"/>
      <c r="B489" s="110"/>
      <c r="C489" s="111"/>
      <c r="D489" s="112"/>
      <c r="E489" s="118"/>
      <c r="F489" s="113"/>
      <c r="G489" s="60"/>
      <c r="H489" s="181"/>
    </row>
    <row r="490" spans="1:8" ht="15" x14ac:dyDescent="0.2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 x14ac:dyDescent="0.2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 x14ac:dyDescent="0.2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 x14ac:dyDescent="0.2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 x14ac:dyDescent="0.2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 x14ac:dyDescent="0.2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 x14ac:dyDescent="0.2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 x14ac:dyDescent="0.2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 x14ac:dyDescent="0.2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 x14ac:dyDescent="0.2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 x14ac:dyDescent="0.2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 x14ac:dyDescent="0.2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 x14ac:dyDescent="0.2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 x14ac:dyDescent="0.2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 x14ac:dyDescent="0.2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 x14ac:dyDescent="0.2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 x14ac:dyDescent="0.2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 x14ac:dyDescent="0.2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 x14ac:dyDescent="0.2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 x14ac:dyDescent="0.2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21.900000000000002</v>
      </c>
    </row>
    <row r="510" spans="1:10" ht="15" x14ac:dyDescent="0.2">
      <c r="A510" s="86"/>
      <c r="B510" s="110"/>
      <c r="C510" s="111"/>
      <c r="D510" s="112"/>
      <c r="E510" s="118"/>
      <c r="F510" s="113"/>
      <c r="G510" s="60"/>
      <c r="H510" s="181"/>
    </row>
    <row r="511" spans="1:10" ht="25.5" x14ac:dyDescent="0.2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21.900000000000002</v>
      </c>
    </row>
    <row r="512" spans="1:10" ht="25.5" x14ac:dyDescent="0.2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 x14ac:dyDescent="0.2">
      <c r="A513" s="199"/>
      <c r="B513" s="249"/>
      <c r="C513" s="200"/>
      <c r="D513" s="195"/>
      <c r="E513" s="74" t="s">
        <v>553</v>
      </c>
      <c r="F513" s="279">
        <f>10.65+0.3</f>
        <v>10.950000000000001</v>
      </c>
      <c r="G513" s="194"/>
      <c r="H513" s="180"/>
    </row>
    <row r="514" spans="1:8" ht="15" x14ac:dyDescent="0.2">
      <c r="A514" s="199"/>
      <c r="B514" s="249"/>
      <c r="C514" s="250"/>
      <c r="D514" s="251"/>
      <c r="E514" s="74" t="s">
        <v>554</v>
      </c>
      <c r="F514" s="280">
        <f>10.65+0.3</f>
        <v>10.950000000000001</v>
      </c>
      <c r="G514" s="254"/>
      <c r="H514" s="180"/>
    </row>
    <row r="515" spans="1:8" ht="15" x14ac:dyDescent="0.2">
      <c r="A515" s="199"/>
      <c r="B515" s="249"/>
      <c r="C515" s="250"/>
      <c r="D515" s="251"/>
      <c r="E515" s="197" t="s">
        <v>556</v>
      </c>
      <c r="F515" s="279">
        <f>SUM(F513:F514)</f>
        <v>21.900000000000002</v>
      </c>
      <c r="G515" s="254"/>
      <c r="H515" s="180"/>
    </row>
    <row r="516" spans="1:8" ht="15" x14ac:dyDescent="0.2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 x14ac:dyDescent="0.2">
      <c r="A517" s="86"/>
      <c r="B517" s="110"/>
      <c r="C517" s="66"/>
      <c r="D517" s="25"/>
      <c r="E517" s="106"/>
      <c r="F517" s="227"/>
      <c r="G517" s="26"/>
      <c r="H517" s="181"/>
    </row>
    <row r="518" spans="1:8" ht="15" x14ac:dyDescent="0.2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 x14ac:dyDescent="0.2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 x14ac:dyDescent="0.2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 x14ac:dyDescent="0.2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 x14ac:dyDescent="0.2">
      <c r="A522" s="86"/>
      <c r="B522" s="110"/>
      <c r="C522" s="9"/>
      <c r="D522" s="5"/>
      <c r="E522" s="120"/>
      <c r="F522" s="210"/>
      <c r="G522" s="7"/>
      <c r="H522" s="84"/>
    </row>
    <row r="523" spans="1:8" ht="15" x14ac:dyDescent="0.2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 x14ac:dyDescent="0.2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 x14ac:dyDescent="0.2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 x14ac:dyDescent="0.2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 x14ac:dyDescent="0.2">
      <c r="A527" s="86"/>
      <c r="B527" s="110"/>
      <c r="C527" s="66"/>
      <c r="D527" s="25"/>
      <c r="E527" s="106"/>
      <c r="F527" s="227"/>
      <c r="G527" s="26"/>
      <c r="H527" s="84"/>
    </row>
    <row r="528" spans="1:8" ht="15" x14ac:dyDescent="0.2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 x14ac:dyDescent="0.2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 x14ac:dyDescent="0.2">
      <c r="A530" s="62"/>
      <c r="B530" s="110"/>
      <c r="C530" s="66"/>
      <c r="D530" s="25"/>
      <c r="E530" s="106"/>
      <c r="F530" s="227"/>
      <c r="G530" s="149"/>
      <c r="H530" s="181"/>
    </row>
    <row r="531" spans="1:8" ht="25.5" x14ac:dyDescent="0.2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 x14ac:dyDescent="0.2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 x14ac:dyDescent="0.2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 x14ac:dyDescent="0.2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 x14ac:dyDescent="0.2">
      <c r="A535" s="86"/>
      <c r="B535" s="110"/>
      <c r="C535" s="111"/>
      <c r="D535" s="112"/>
      <c r="E535" s="118"/>
      <c r="F535" s="113"/>
      <c r="G535" s="60"/>
      <c r="H535" s="181"/>
    </row>
    <row r="536" spans="1:8" ht="25.5" x14ac:dyDescent="0.2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 x14ac:dyDescent="0.2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 x14ac:dyDescent="0.2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 x14ac:dyDescent="0.2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 x14ac:dyDescent="0.2">
      <c r="A540" s="86"/>
      <c r="B540" s="151"/>
      <c r="C540" s="111"/>
      <c r="D540" s="112"/>
      <c r="E540" s="75"/>
      <c r="F540" s="113"/>
      <c r="G540" s="60"/>
      <c r="H540" s="152"/>
    </row>
    <row r="541" spans="1:8" x14ac:dyDescent="0.2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 x14ac:dyDescent="0.2">
      <c r="A542" s="86"/>
      <c r="B542" s="151"/>
      <c r="C542" s="111"/>
      <c r="D542" s="112"/>
      <c r="E542" s="75"/>
      <c r="F542" s="113"/>
      <c r="G542" s="60"/>
      <c r="H542" s="152"/>
    </row>
    <row r="543" spans="1:8" ht="25.5" x14ac:dyDescent="0.2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0.24492000000000003</v>
      </c>
    </row>
    <row r="544" spans="1:8" ht="25.5" x14ac:dyDescent="0.2">
      <c r="A544" s="199"/>
      <c r="B544" s="323"/>
      <c r="C544" s="260"/>
      <c r="D544" s="261"/>
      <c r="E544" s="178" t="s">
        <v>440</v>
      </c>
      <c r="F544" s="73">
        <f>3.14*0.06*0.65*2</f>
        <v>0.24492000000000003</v>
      </c>
      <c r="G544" s="175"/>
      <c r="H544" s="326"/>
    </row>
    <row r="545" spans="1:8" ht="15" x14ac:dyDescent="0.2">
      <c r="A545" s="86"/>
      <c r="B545" s="151"/>
      <c r="C545" s="111"/>
      <c r="D545" s="112"/>
      <c r="E545" s="75"/>
      <c r="F545" s="113"/>
      <c r="G545" s="60"/>
      <c r="H545" s="322"/>
    </row>
    <row r="546" spans="1:8" ht="25.5" x14ac:dyDescent="0.2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 x14ac:dyDescent="0.2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 x14ac:dyDescent="0.2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 x14ac:dyDescent="0.2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 x14ac:dyDescent="0.2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 x14ac:dyDescent="0.2">
      <c r="A551" s="86"/>
      <c r="B551" s="151"/>
      <c r="C551" s="111"/>
      <c r="D551" s="112"/>
      <c r="F551" s="67"/>
      <c r="G551" s="60"/>
      <c r="H551" s="322"/>
    </row>
    <row r="552" spans="1:8" ht="25.5" x14ac:dyDescent="0.2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43.774999999999999</v>
      </c>
    </row>
    <row r="553" spans="1:8" ht="15" x14ac:dyDescent="0.2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 x14ac:dyDescent="0.2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 x14ac:dyDescent="0.2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 x14ac:dyDescent="0.2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 x14ac:dyDescent="0.2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43.774999999999999</v>
      </c>
      <c r="G557" s="60"/>
      <c r="H557" s="322"/>
    </row>
    <row r="558" spans="1:8" ht="15" x14ac:dyDescent="0.2">
      <c r="A558" s="86"/>
      <c r="B558" s="151"/>
      <c r="C558" s="111"/>
      <c r="D558" s="112"/>
      <c r="E558" s="75"/>
      <c r="F558" s="67"/>
      <c r="G558" s="60"/>
      <c r="H558" s="322"/>
    </row>
    <row r="559" spans="1:8" ht="25.5" x14ac:dyDescent="0.2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 x14ac:dyDescent="0.2">
      <c r="A560" s="86"/>
      <c r="B560" s="151"/>
      <c r="C560" s="111"/>
      <c r="D560" s="112"/>
      <c r="E560" s="75"/>
      <c r="F560" s="113"/>
      <c r="G560" s="60"/>
      <c r="H560" s="322"/>
    </row>
    <row r="561" spans="1:8" ht="15" x14ac:dyDescent="0.2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219.0488</v>
      </c>
    </row>
    <row r="562" spans="1:8" ht="24.75" customHeight="1" x14ac:dyDescent="0.2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 x14ac:dyDescent="0.2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 x14ac:dyDescent="0.2">
      <c r="A564" s="199"/>
      <c r="B564" s="323"/>
      <c r="C564" s="260"/>
      <c r="D564" s="261"/>
      <c r="E564" s="177"/>
      <c r="F564" s="300"/>
      <c r="G564" s="175"/>
      <c r="H564" s="326"/>
    </row>
    <row r="565" spans="1:8" ht="15" x14ac:dyDescent="0.2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 x14ac:dyDescent="0.2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 x14ac:dyDescent="0.2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 x14ac:dyDescent="0.2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 x14ac:dyDescent="0.2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 x14ac:dyDescent="0.2">
      <c r="A570" s="199"/>
      <c r="B570" s="323"/>
      <c r="C570" s="260"/>
      <c r="D570" s="261"/>
      <c r="E570" s="177"/>
      <c r="F570" s="300"/>
      <c r="G570" s="175"/>
      <c r="H570" s="326"/>
    </row>
    <row r="571" spans="1:8" ht="25.5" x14ac:dyDescent="0.2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81.498799999999989</v>
      </c>
    </row>
    <row r="572" spans="1:8" ht="15" x14ac:dyDescent="0.2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40.259800000000006</v>
      </c>
      <c r="G572" s="175"/>
      <c r="H572" s="326"/>
    </row>
    <row r="573" spans="1:8" ht="15" x14ac:dyDescent="0.2">
      <c r="A573" s="199"/>
      <c r="B573" s="323"/>
      <c r="C573" s="260"/>
      <c r="D573" s="261"/>
      <c r="E573" s="178" t="s">
        <v>571</v>
      </c>
      <c r="F573" s="248">
        <f>(15.36+9.94)*(0.3+0.6+0.73)</f>
        <v>41.23899999999999</v>
      </c>
      <c r="G573" s="175"/>
      <c r="H573" s="326"/>
    </row>
    <row r="574" spans="1:8" ht="15" x14ac:dyDescent="0.2">
      <c r="A574" s="199"/>
      <c r="B574" s="323"/>
      <c r="C574" s="260"/>
      <c r="D574" s="261"/>
      <c r="E574" s="177"/>
      <c r="F574" s="73">
        <f>SUM(F572:F573)</f>
        <v>81.498799999999989</v>
      </c>
      <c r="G574" s="175"/>
      <c r="H574" s="326"/>
    </row>
    <row r="575" spans="1:8" ht="13.5" thickBot="1" x14ac:dyDescent="0.25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 x14ac:dyDescent="0.2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 x14ac:dyDescent="0.2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 x14ac:dyDescent="0.2">
      <c r="A1" s="33" t="s">
        <v>626</v>
      </c>
      <c r="E1" s="36" t="s">
        <v>625</v>
      </c>
    </row>
    <row r="2" spans="1:16" x14ac:dyDescent="0.2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 x14ac:dyDescent="0.25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 x14ac:dyDescent="0.2">
      <c r="A4" s="964" t="s">
        <v>151</v>
      </c>
      <c r="B4" s="965"/>
      <c r="C4" s="965"/>
      <c r="D4" s="44"/>
      <c r="E4" s="966" t="s">
        <v>152</v>
      </c>
      <c r="F4" s="967"/>
      <c r="G4" s="970" t="s">
        <v>153</v>
      </c>
      <c r="H4" s="976" t="s">
        <v>154</v>
      </c>
    </row>
    <row r="5" spans="1:16" ht="13.5" thickBot="1" x14ac:dyDescent="0.25">
      <c r="A5" s="45" t="s">
        <v>155</v>
      </c>
      <c r="B5" s="46" t="s">
        <v>285</v>
      </c>
      <c r="C5" s="46" t="s">
        <v>286</v>
      </c>
      <c r="D5" s="46" t="s">
        <v>287</v>
      </c>
      <c r="E5" s="968"/>
      <c r="F5" s="969"/>
      <c r="G5" s="971"/>
      <c r="H5" s="977"/>
    </row>
    <row r="6" spans="1:16" x14ac:dyDescent="0.2">
      <c r="A6" s="47"/>
      <c r="B6" s="48"/>
      <c r="C6" s="48"/>
      <c r="D6" s="49"/>
      <c r="E6" s="377"/>
      <c r="F6" s="202"/>
      <c r="G6" s="51"/>
      <c r="H6" s="52"/>
    </row>
    <row r="7" spans="1:16" ht="15.75" x14ac:dyDescent="0.2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 x14ac:dyDescent="0.2">
      <c r="A8" s="53"/>
      <c r="B8" s="59"/>
      <c r="C8" s="59"/>
      <c r="D8" s="60"/>
      <c r="E8" s="61"/>
      <c r="F8" s="203"/>
      <c r="G8" s="57"/>
      <c r="H8" s="58"/>
    </row>
    <row r="9" spans="1:16" ht="25.5" x14ac:dyDescent="0.2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52.407905000000007</v>
      </c>
      <c r="I9" s="120">
        <v>2.4</v>
      </c>
      <c r="J9" s="299">
        <f>H9*I9</f>
        <v>125.77897200000001</v>
      </c>
    </row>
    <row r="10" spans="1:16" s="8" customFormat="1" ht="13.5" customHeight="1" x14ac:dyDescent="0.2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 x14ac:dyDescent="0.2">
      <c r="A11" s="405"/>
      <c r="B11" s="406"/>
      <c r="C11" s="200"/>
      <c r="D11" s="195"/>
      <c r="E11" s="69" t="s">
        <v>628</v>
      </c>
      <c r="F11" s="70">
        <f>14.2*(1.1+0.11)*0.3</f>
        <v>5.1546000000000003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 x14ac:dyDescent="0.2">
      <c r="A12" s="405"/>
      <c r="B12" s="406"/>
      <c r="C12" s="200"/>
      <c r="D12" s="195"/>
      <c r="E12" s="69" t="s">
        <v>646</v>
      </c>
      <c r="F12" s="70">
        <f>19.96*(1.1+0.11)*0.3</f>
        <v>7.2454800000000015</v>
      </c>
      <c r="G12" s="194"/>
      <c r="H12" s="407"/>
      <c r="J12" s="160"/>
    </row>
    <row r="13" spans="1:16" s="8" customFormat="1" ht="25.5" x14ac:dyDescent="0.2">
      <c r="A13" s="405"/>
      <c r="B13" s="406"/>
      <c r="C13" s="200"/>
      <c r="D13" s="195"/>
      <c r="E13" s="69" t="s">
        <v>633</v>
      </c>
      <c r="F13" s="70">
        <f>10.15*((1.015*0.5)+(0.5*0.5))</f>
        <v>7.688625</v>
      </c>
      <c r="G13" s="194"/>
      <c r="H13" s="407"/>
      <c r="J13" s="160"/>
    </row>
    <row r="14" spans="1:16" s="8" customFormat="1" x14ac:dyDescent="0.2">
      <c r="A14" s="405"/>
      <c r="B14" s="406"/>
      <c r="C14" s="200"/>
      <c r="D14" s="195"/>
      <c r="E14" s="69" t="s">
        <v>643</v>
      </c>
      <c r="F14" s="70">
        <f>14.2*9.5*0.2</f>
        <v>26.980000000000004</v>
      </c>
      <c r="G14" s="194"/>
      <c r="H14" s="407"/>
      <c r="J14" s="160"/>
    </row>
    <row r="15" spans="1:16" s="8" customFormat="1" x14ac:dyDescent="0.2">
      <c r="A15" s="405"/>
      <c r="B15" s="406"/>
      <c r="C15" s="200"/>
      <c r="D15" s="195"/>
      <c r="E15" s="69" t="s">
        <v>641</v>
      </c>
      <c r="F15" s="71">
        <f>2*(0.71*0.4*9.4)</f>
        <v>5.3391999999999999</v>
      </c>
      <c r="G15" s="194"/>
      <c r="H15" s="407"/>
      <c r="J15" s="160"/>
    </row>
    <row r="16" spans="1:16" s="8" customFormat="1" x14ac:dyDescent="0.2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 x14ac:dyDescent="0.2">
      <c r="A17" s="405"/>
      <c r="B17" s="406"/>
      <c r="C17" s="200"/>
      <c r="D17" s="195"/>
      <c r="E17" s="74"/>
      <c r="F17" s="73">
        <f>SUM(F11:F15)</f>
        <v>52.407905000000007</v>
      </c>
      <c r="G17" s="194"/>
      <c r="H17" s="407"/>
      <c r="J17" s="160"/>
    </row>
    <row r="18" spans="1:10" ht="13.5" customHeight="1" x14ac:dyDescent="0.2">
      <c r="A18" s="53"/>
      <c r="B18" s="59"/>
      <c r="C18" s="59"/>
      <c r="D18" s="60"/>
      <c r="E18" s="61"/>
      <c r="F18" s="203"/>
      <c r="G18" s="57"/>
      <c r="H18" s="58"/>
    </row>
    <row r="19" spans="1:10" ht="25.5" customHeight="1" x14ac:dyDescent="0.2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3.3228</v>
      </c>
    </row>
    <row r="20" spans="1:10" ht="13.5" customHeight="1" x14ac:dyDescent="0.2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 x14ac:dyDescent="0.2">
      <c r="A21" s="169"/>
      <c r="B21" s="163"/>
      <c r="C21" s="163"/>
      <c r="D21" s="175"/>
      <c r="E21" s="74"/>
      <c r="F21" s="205"/>
      <c r="G21" s="176"/>
      <c r="H21" s="174"/>
    </row>
    <row r="22" spans="1:10" ht="25.5" x14ac:dyDescent="0.2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 x14ac:dyDescent="0.2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 x14ac:dyDescent="0.2">
      <c r="A24" s="53"/>
      <c r="B24" s="59"/>
      <c r="C24" s="59"/>
      <c r="D24" s="60"/>
      <c r="E24" s="61"/>
      <c r="F24" s="203"/>
      <c r="G24" s="57"/>
      <c r="H24" s="58"/>
    </row>
    <row r="25" spans="1:10" ht="25.5" x14ac:dyDescent="0.2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29.678000000000001</v>
      </c>
    </row>
    <row r="26" spans="1:10" ht="25.5" x14ac:dyDescent="0.2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 x14ac:dyDescent="0.2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 x14ac:dyDescent="0.2">
      <c r="A28" s="53"/>
      <c r="B28" s="59"/>
      <c r="C28" s="59"/>
      <c r="D28" s="60"/>
      <c r="E28" s="61"/>
      <c r="F28" s="203"/>
      <c r="G28" s="57"/>
      <c r="H28" s="58"/>
    </row>
    <row r="29" spans="1:10" ht="25.5" customHeight="1" x14ac:dyDescent="0.2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4.8000000000000007</v>
      </c>
    </row>
    <row r="30" spans="1:10" ht="38.25" x14ac:dyDescent="0.2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 x14ac:dyDescent="0.2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 x14ac:dyDescent="0.2">
      <c r="A32" s="53"/>
      <c r="B32" s="59"/>
      <c r="C32" s="59"/>
      <c r="D32" s="60"/>
      <c r="E32" s="61"/>
      <c r="F32" s="203"/>
      <c r="G32" s="57"/>
      <c r="H32" s="58"/>
    </row>
    <row r="33" spans="1:10" ht="25.5" customHeight="1" x14ac:dyDescent="0.2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7.8567999999999998</v>
      </c>
    </row>
    <row r="34" spans="1:10" ht="25.5" x14ac:dyDescent="0.2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 x14ac:dyDescent="0.2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 x14ac:dyDescent="0.2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 x14ac:dyDescent="0.2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 x14ac:dyDescent="0.2">
      <c r="A38" s="53"/>
      <c r="B38" s="59"/>
      <c r="C38" s="59"/>
      <c r="D38" s="60"/>
      <c r="E38" s="61"/>
      <c r="F38" s="203"/>
      <c r="G38" s="57"/>
      <c r="H38" s="58"/>
    </row>
    <row r="39" spans="1:10" ht="25.5" customHeight="1" x14ac:dyDescent="0.2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1.0247999999999999</v>
      </c>
    </row>
    <row r="40" spans="1:10" ht="18" customHeight="1" x14ac:dyDescent="0.2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 x14ac:dyDescent="0.2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 x14ac:dyDescent="0.2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 x14ac:dyDescent="0.2">
      <c r="A43" s="53"/>
      <c r="B43" s="59"/>
      <c r="C43" s="59"/>
      <c r="D43" s="60"/>
      <c r="E43" s="61"/>
      <c r="F43" s="203"/>
      <c r="G43" s="57"/>
      <c r="H43" s="58"/>
    </row>
    <row r="44" spans="1:10" ht="25.5" x14ac:dyDescent="0.2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 x14ac:dyDescent="0.2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 x14ac:dyDescent="0.2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 x14ac:dyDescent="0.2">
      <c r="A47" s="53"/>
      <c r="B47" s="59"/>
      <c r="C47" s="59"/>
      <c r="D47" s="60"/>
      <c r="E47" s="76"/>
      <c r="F47" s="203"/>
      <c r="G47" s="57"/>
      <c r="H47" s="58"/>
    </row>
    <row r="48" spans="1:10" ht="25.5" x14ac:dyDescent="0.2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34.264600000000002</v>
      </c>
    </row>
    <row r="49" spans="1:10" ht="25.5" x14ac:dyDescent="0.2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 x14ac:dyDescent="0.2">
      <c r="A50" s="53"/>
      <c r="B50" s="59"/>
      <c r="C50" s="59"/>
      <c r="D50" s="60"/>
      <c r="E50" s="72"/>
      <c r="F50" s="203"/>
      <c r="G50" s="57"/>
      <c r="H50" s="58"/>
    </row>
    <row r="51" spans="1:10" x14ac:dyDescent="0.2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 x14ac:dyDescent="0.2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 x14ac:dyDescent="0.2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 x14ac:dyDescent="0.2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 x14ac:dyDescent="0.2">
      <c r="A55" s="53"/>
      <c r="B55" s="59"/>
      <c r="C55" s="59"/>
      <c r="D55" s="60"/>
      <c r="E55" s="72"/>
      <c r="F55" s="203"/>
      <c r="G55" s="57"/>
      <c r="H55" s="58"/>
    </row>
    <row r="56" spans="1:10" ht="25.5" x14ac:dyDescent="0.2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206.72597200000001</v>
      </c>
      <c r="I56" s="259"/>
      <c r="J56" s="414"/>
    </row>
    <row r="57" spans="1:10" ht="25.5" x14ac:dyDescent="0.2">
      <c r="A57" s="169"/>
      <c r="B57" s="163"/>
      <c r="C57" s="163"/>
      <c r="D57" s="175"/>
      <c r="E57" s="178" t="s">
        <v>467</v>
      </c>
      <c r="F57" s="205">
        <f>J57</f>
        <v>206.72597200000001</v>
      </c>
      <c r="G57" s="176"/>
      <c r="H57" s="174"/>
      <c r="I57" s="259"/>
      <c r="J57" s="414">
        <f>SUM(J7:J56)</f>
        <v>206.72597200000001</v>
      </c>
    </row>
    <row r="58" spans="1:10" ht="114.75" x14ac:dyDescent="0.2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 x14ac:dyDescent="0.2">
      <c r="A59" s="53"/>
      <c r="B59" s="59"/>
      <c r="C59" s="59"/>
      <c r="D59" s="60"/>
      <c r="E59" s="72"/>
      <c r="F59" s="203"/>
      <c r="G59" s="57"/>
      <c r="H59" s="58"/>
    </row>
    <row r="60" spans="1:10" x14ac:dyDescent="0.2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 x14ac:dyDescent="0.2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 x14ac:dyDescent="0.2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 x14ac:dyDescent="0.2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 x14ac:dyDescent="0.2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 x14ac:dyDescent="0.2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 x14ac:dyDescent="0.2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 x14ac:dyDescent="0.2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 x14ac:dyDescent="0.2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 x14ac:dyDescent="0.2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 x14ac:dyDescent="0.2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 x14ac:dyDescent="0.2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 x14ac:dyDescent="0.2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 x14ac:dyDescent="0.2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 x14ac:dyDescent="0.2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 x14ac:dyDescent="0.2">
      <c r="A76" s="53"/>
      <c r="B76" s="59"/>
      <c r="C76" s="59"/>
      <c r="D76" s="60"/>
      <c r="F76" s="203"/>
      <c r="G76" s="57"/>
      <c r="H76" s="58"/>
      <c r="J76" s="299"/>
    </row>
    <row r="77" spans="1:16" s="120" customFormat="1" x14ac:dyDescent="0.2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 x14ac:dyDescent="0.2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 x14ac:dyDescent="0.2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 x14ac:dyDescent="0.2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 x14ac:dyDescent="0.2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 x14ac:dyDescent="0.2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 x14ac:dyDescent="0.2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 x14ac:dyDescent="0.2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 x14ac:dyDescent="0.2">
      <c r="A85" s="86"/>
      <c r="B85" s="87"/>
      <c r="C85" s="66"/>
      <c r="D85" s="25"/>
      <c r="E85" s="75"/>
      <c r="F85" s="219"/>
      <c r="G85" s="26"/>
      <c r="H85" s="58"/>
    </row>
    <row r="86" spans="1:16" x14ac:dyDescent="0.2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 x14ac:dyDescent="0.2">
      <c r="A87" s="86"/>
      <c r="B87" s="87"/>
      <c r="C87" s="66"/>
      <c r="D87" s="25"/>
      <c r="E87" s="75"/>
      <c r="F87" s="219"/>
      <c r="G87" s="26"/>
      <c r="H87" s="58"/>
    </row>
    <row r="88" spans="1:16" s="8" customFormat="1" x14ac:dyDescent="0.2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 x14ac:dyDescent="0.2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 x14ac:dyDescent="0.2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 x14ac:dyDescent="0.2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 x14ac:dyDescent="0.2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 x14ac:dyDescent="0.2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 x14ac:dyDescent="0.2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5.3391999999999999</v>
      </c>
    </row>
    <row r="95" spans="1:16" ht="25.5" x14ac:dyDescent="0.2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 x14ac:dyDescent="0.2">
      <c r="A96" s="199"/>
      <c r="B96" s="249"/>
      <c r="C96" s="200"/>
      <c r="D96" s="255"/>
      <c r="E96" s="177" t="s">
        <v>652</v>
      </c>
      <c r="F96" s="246">
        <f>2*(0.4*0.71*9.4)</f>
        <v>5.3391999999999999</v>
      </c>
      <c r="G96" s="175"/>
      <c r="H96" s="174"/>
    </row>
    <row r="97" spans="1:16" s="120" customFormat="1" ht="15" x14ac:dyDescent="0.2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 x14ac:dyDescent="0.2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 x14ac:dyDescent="0.2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13.915999999999999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 x14ac:dyDescent="0.2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 x14ac:dyDescent="0.2">
      <c r="A101" s="86"/>
      <c r="B101" s="267"/>
      <c r="C101" s="66"/>
      <c r="D101" s="5"/>
      <c r="E101" s="177" t="s">
        <v>653</v>
      </c>
      <c r="F101" s="246">
        <f>2*(0.4*0.71)+2*(0.71*9.4)</f>
        <v>13.915999999999999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 x14ac:dyDescent="0.2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 x14ac:dyDescent="0.2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0.76700000000000002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 x14ac:dyDescent="0.2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 x14ac:dyDescent="0.2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 x14ac:dyDescent="0.2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 x14ac:dyDescent="0.2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 x14ac:dyDescent="0.2">
      <c r="A108" s="199"/>
      <c r="B108" s="249"/>
      <c r="C108" s="260"/>
      <c r="D108" s="261"/>
      <c r="E108" s="197" t="s">
        <v>298</v>
      </c>
      <c r="F108" s="73">
        <f>SUM(F106:F107)</f>
        <v>0.76700000000000002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 x14ac:dyDescent="0.2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 x14ac:dyDescent="0.2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11.800712000000001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 x14ac:dyDescent="0.2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 x14ac:dyDescent="0.2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 x14ac:dyDescent="0.2">
      <c r="A113" s="199"/>
      <c r="B113" s="249"/>
      <c r="C113" s="200"/>
      <c r="D113" s="255"/>
      <c r="E113" s="177" t="s">
        <v>656</v>
      </c>
      <c r="F113" s="221">
        <f>(0.53*0.41*14.2)+(0.22*1.025*14.2)</f>
        <v>6.2877599999999996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 x14ac:dyDescent="0.2">
      <c r="A114" s="199"/>
      <c r="B114" s="249"/>
      <c r="C114" s="200"/>
      <c r="D114" s="255"/>
      <c r="E114" s="177" t="s">
        <v>657</v>
      </c>
      <c r="F114" s="221">
        <f>(0.145*0.38*19.96)+(0.22*1.005*19.96)</f>
        <v>5.5129520000000003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 x14ac:dyDescent="0.2">
      <c r="A115" s="199"/>
      <c r="B115" s="249"/>
      <c r="C115" s="260"/>
      <c r="D115" s="261"/>
      <c r="E115" s="197" t="s">
        <v>298</v>
      </c>
      <c r="F115" s="266">
        <f>SUM(F113:F114)</f>
        <v>11.800712000000001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 x14ac:dyDescent="0.2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 x14ac:dyDescent="0.2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 x14ac:dyDescent="0.2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 x14ac:dyDescent="0.2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24.6068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 x14ac:dyDescent="0.2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 x14ac:dyDescent="0.2">
      <c r="A121" s="199"/>
      <c r="B121" s="249"/>
      <c r="C121" s="260"/>
      <c r="D121" s="261"/>
      <c r="E121" s="177" t="s">
        <v>658</v>
      </c>
      <c r="F121" s="221">
        <f>14.45* (0.53+0.41)+2*(0.53*0.41)</f>
        <v>14.017599999999998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 x14ac:dyDescent="0.2">
      <c r="A122" s="199"/>
      <c r="B122" s="249"/>
      <c r="C122" s="260"/>
      <c r="D122" s="261"/>
      <c r="E122" s="177" t="s">
        <v>659</v>
      </c>
      <c r="F122" s="265">
        <f>19.96*(0.145+0.38)+2*(0.145*0.38)</f>
        <v>10.589200000000002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 x14ac:dyDescent="0.2">
      <c r="A123" s="199"/>
      <c r="B123" s="249"/>
      <c r="C123" s="260"/>
      <c r="D123" s="261"/>
      <c r="E123" s="177" t="s">
        <v>250</v>
      </c>
      <c r="F123" s="266">
        <f>SUM(F121:F122)</f>
        <v>24.6068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 x14ac:dyDescent="0.2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 x14ac:dyDescent="0.2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2.2199999999999998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 x14ac:dyDescent="0.2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 x14ac:dyDescent="0.2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 x14ac:dyDescent="0.2">
      <c r="A128" s="199"/>
      <c r="B128" s="249"/>
      <c r="C128" s="260"/>
      <c r="D128" s="261"/>
      <c r="E128" s="177" t="s">
        <v>660</v>
      </c>
      <c r="F128" s="248">
        <v>0.38500000000000001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 x14ac:dyDescent="0.2">
      <c r="A129" s="199"/>
      <c r="B129" s="249"/>
      <c r="C129" s="260"/>
      <c r="D129" s="261"/>
      <c r="E129" s="177"/>
      <c r="F129" s="73">
        <f>SUM(F127:F128)</f>
        <v>2.2199999999999998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 x14ac:dyDescent="0.2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 x14ac:dyDescent="0.2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8.2720000000000002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 x14ac:dyDescent="0.2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 x14ac:dyDescent="0.2">
      <c r="A133" s="199"/>
      <c r="B133" s="249"/>
      <c r="C133" s="260"/>
      <c r="D133" s="261"/>
      <c r="E133" s="177" t="s">
        <v>674</v>
      </c>
      <c r="F133" s="73">
        <f>2*(2*9.4*0.22)</f>
        <v>8.2720000000000002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 x14ac:dyDescent="0.2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 x14ac:dyDescent="0.2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10.032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 x14ac:dyDescent="0.2">
      <c r="A136" s="199"/>
      <c r="B136" s="249"/>
      <c r="C136" s="260"/>
      <c r="D136" s="261"/>
      <c r="E136" s="177" t="s">
        <v>675</v>
      </c>
      <c r="F136" s="73">
        <f>(4*(2+9.4))*0.22</f>
        <v>10.032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 x14ac:dyDescent="0.2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 x14ac:dyDescent="0.2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0.82800000000000007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 x14ac:dyDescent="0.2">
      <c r="A139" s="199"/>
      <c r="B139" s="249"/>
      <c r="C139" s="260"/>
      <c r="D139" s="261"/>
      <c r="E139" s="177" t="s">
        <v>676</v>
      </c>
      <c r="F139" s="73">
        <f>2*(0.137+0.277)</f>
        <v>0.82800000000000007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 x14ac:dyDescent="0.2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 x14ac:dyDescent="0.2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19.03125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 x14ac:dyDescent="0.2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 x14ac:dyDescent="0.2">
      <c r="A143" s="199"/>
      <c r="B143" s="249"/>
      <c r="C143" s="260"/>
      <c r="D143" s="261"/>
      <c r="E143" s="74" t="s">
        <v>661</v>
      </c>
      <c r="F143" s="73">
        <f>2*(1.55*0.13*10.15)+(9.2*10.15*0.16)</f>
        <v>19.03125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 x14ac:dyDescent="0.2">
      <c r="A144" s="199"/>
      <c r="B144" s="249"/>
      <c r="C144" s="260"/>
      <c r="D144" s="261"/>
      <c r="E144" s="197" t="s">
        <v>298</v>
      </c>
      <c r="F144" s="73">
        <f>SUM(F143:F143)</f>
        <v>19.03125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 x14ac:dyDescent="0.2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 x14ac:dyDescent="0.2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8.7919999999999998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 x14ac:dyDescent="0.2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 x14ac:dyDescent="0.2">
      <c r="A148" s="199"/>
      <c r="B148" s="249"/>
      <c r="C148" s="260"/>
      <c r="D148" s="261"/>
      <c r="E148" s="74" t="s">
        <v>662</v>
      </c>
      <c r="F148" s="73">
        <f>(11.83+11.83+10.15+10.15)*0.2</f>
        <v>8.7919999999999998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 x14ac:dyDescent="0.2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 x14ac:dyDescent="0.2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6.2799999999999994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 x14ac:dyDescent="0.2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 x14ac:dyDescent="0.2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 x14ac:dyDescent="0.2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 x14ac:dyDescent="0.2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 x14ac:dyDescent="0.2">
      <c r="A155" s="199"/>
      <c r="B155" s="249"/>
      <c r="C155" s="260"/>
      <c r="D155" s="261"/>
      <c r="E155" s="197" t="s">
        <v>298</v>
      </c>
      <c r="F155" s="73">
        <f>F152+F154</f>
        <v>6.2799999999999994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 x14ac:dyDescent="0.2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 x14ac:dyDescent="0.2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 x14ac:dyDescent="0.2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 x14ac:dyDescent="0.2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 x14ac:dyDescent="0.2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 x14ac:dyDescent="0.2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 x14ac:dyDescent="0.2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 x14ac:dyDescent="0.2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 x14ac:dyDescent="0.2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 x14ac:dyDescent="0.2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 x14ac:dyDescent="0.2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 x14ac:dyDescent="0.2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 x14ac:dyDescent="0.2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 x14ac:dyDescent="0.2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 x14ac:dyDescent="0.2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 x14ac:dyDescent="0.2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 x14ac:dyDescent="0.2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 x14ac:dyDescent="0.2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 x14ac:dyDescent="0.2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 x14ac:dyDescent="0.2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 x14ac:dyDescent="0.2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 x14ac:dyDescent="0.2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 x14ac:dyDescent="0.2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 x14ac:dyDescent="0.2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 x14ac:dyDescent="0.2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 x14ac:dyDescent="0.2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 x14ac:dyDescent="0.2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 x14ac:dyDescent="0.2">
      <c r="A183" s="86"/>
      <c r="B183" s="267"/>
      <c r="C183" s="269"/>
      <c r="D183" s="270"/>
      <c r="E183" s="75"/>
      <c r="F183" s="113"/>
      <c r="G183" s="60"/>
      <c r="H183" s="181"/>
    </row>
    <row r="184" spans="1:16" ht="15" x14ac:dyDescent="0.2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 x14ac:dyDescent="0.2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 x14ac:dyDescent="0.2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 x14ac:dyDescent="0.2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 x14ac:dyDescent="0.2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 x14ac:dyDescent="0.2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 x14ac:dyDescent="0.2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 x14ac:dyDescent="0.2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 x14ac:dyDescent="0.2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 x14ac:dyDescent="0.2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 x14ac:dyDescent="0.2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 x14ac:dyDescent="0.2">
      <c r="A195" s="86"/>
      <c r="B195" s="267"/>
      <c r="C195" s="269"/>
      <c r="D195" s="270"/>
      <c r="E195" s="72"/>
      <c r="F195" s="67"/>
      <c r="G195" s="60"/>
      <c r="H195" s="181"/>
    </row>
    <row r="196" spans="1:8" ht="25.5" x14ac:dyDescent="0.2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 x14ac:dyDescent="0.2">
      <c r="A197" s="86"/>
      <c r="B197" s="424"/>
      <c r="C197" s="418"/>
      <c r="D197" s="425"/>
      <c r="E197" s="444"/>
      <c r="F197" s="67"/>
      <c r="G197" s="60"/>
      <c r="H197" s="181"/>
    </row>
    <row r="198" spans="1:8" ht="25.5" x14ac:dyDescent="0.2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 x14ac:dyDescent="0.2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 x14ac:dyDescent="0.2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 x14ac:dyDescent="0.2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 x14ac:dyDescent="0.2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 x14ac:dyDescent="0.2">
      <c r="A203" s="86"/>
      <c r="B203" s="424"/>
      <c r="C203" s="418"/>
      <c r="D203" s="425"/>
      <c r="E203" s="444"/>
      <c r="F203" s="67"/>
      <c r="G203" s="60"/>
      <c r="H203" s="181"/>
    </row>
    <row r="204" spans="1:8" ht="25.5" x14ac:dyDescent="0.2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 x14ac:dyDescent="0.2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 x14ac:dyDescent="0.2">
      <c r="A206" s="86"/>
      <c r="B206" s="267"/>
      <c r="C206" s="269"/>
      <c r="D206" s="270"/>
      <c r="E206" s="72"/>
      <c r="F206" s="67"/>
      <c r="G206" s="60"/>
      <c r="H206" s="181"/>
    </row>
    <row r="207" spans="1:8" ht="25.5" x14ac:dyDescent="0.2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 x14ac:dyDescent="0.2">
      <c r="A208" s="86"/>
      <c r="B208" s="390"/>
      <c r="C208" s="390"/>
      <c r="D208" s="18"/>
      <c r="E208" s="391"/>
      <c r="F208" s="131"/>
      <c r="G208" s="60"/>
      <c r="H208" s="181"/>
    </row>
    <row r="209" spans="1:8" ht="25.5" x14ac:dyDescent="0.2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 x14ac:dyDescent="0.2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 x14ac:dyDescent="0.2">
      <c r="A211" s="86"/>
      <c r="B211" s="267"/>
      <c r="C211" s="269"/>
      <c r="D211" s="270"/>
      <c r="E211" s="77"/>
      <c r="F211" s="131"/>
      <c r="G211" s="60"/>
      <c r="H211" s="181"/>
    </row>
    <row r="212" spans="1:8" ht="25.5" x14ac:dyDescent="0.2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 x14ac:dyDescent="0.2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 x14ac:dyDescent="0.2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 x14ac:dyDescent="0.2">
      <c r="A215" s="86"/>
      <c r="B215" s="267"/>
      <c r="C215" s="269"/>
      <c r="D215" s="270"/>
      <c r="E215" s="77"/>
      <c r="F215" s="131"/>
      <c r="G215" s="60"/>
      <c r="H215" s="181"/>
    </row>
    <row r="216" spans="1:8" ht="25.5" x14ac:dyDescent="0.2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 x14ac:dyDescent="0.2">
      <c r="A217" s="86"/>
      <c r="B217" s="390"/>
      <c r="C217" s="390"/>
      <c r="D217" s="18"/>
      <c r="E217" s="391"/>
      <c r="F217" s="113"/>
      <c r="G217" s="60"/>
      <c r="H217" s="181"/>
    </row>
    <row r="218" spans="1:8" ht="25.5" x14ac:dyDescent="0.2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 x14ac:dyDescent="0.2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 x14ac:dyDescent="0.2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 x14ac:dyDescent="0.2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 x14ac:dyDescent="0.2">
      <c r="A222" s="86"/>
      <c r="B222" s="267"/>
      <c r="C222" s="269"/>
      <c r="D222" s="270"/>
      <c r="E222" s="75"/>
      <c r="F222" s="113"/>
      <c r="G222" s="60"/>
      <c r="H222" s="181"/>
    </row>
    <row r="223" spans="1:8" ht="25.5" x14ac:dyDescent="0.2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28.4665</v>
      </c>
    </row>
    <row r="224" spans="1:8" ht="25.5" x14ac:dyDescent="0.2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 x14ac:dyDescent="0.2">
      <c r="A225" s="199"/>
      <c r="B225" s="249"/>
      <c r="C225" s="260"/>
      <c r="D225" s="261"/>
      <c r="E225" s="177" t="s">
        <v>668</v>
      </c>
      <c r="F225" s="73">
        <f>14.2*9.5*0.045</f>
        <v>6.0705</v>
      </c>
      <c r="G225" s="175"/>
      <c r="H225" s="180"/>
    </row>
    <row r="226" spans="1:8" ht="15" x14ac:dyDescent="0.2">
      <c r="A226" s="199"/>
      <c r="B226" s="249"/>
      <c r="C226" s="260"/>
      <c r="D226" s="261"/>
      <c r="E226" s="177" t="s">
        <v>669</v>
      </c>
      <c r="F226" s="73">
        <f>14.2*9.5*0.04</f>
        <v>5.3959999999999999</v>
      </c>
      <c r="G226" s="175"/>
      <c r="H226" s="180"/>
    </row>
    <row r="227" spans="1:8" ht="25.5" x14ac:dyDescent="0.2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 x14ac:dyDescent="0.2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 x14ac:dyDescent="0.2">
      <c r="A229" s="199"/>
      <c r="B229" s="249"/>
      <c r="C229" s="260"/>
      <c r="D229" s="261"/>
      <c r="E229" s="197"/>
      <c r="F229" s="73">
        <f>SUM(F225:F228)</f>
        <v>28.4665</v>
      </c>
      <c r="G229" s="175"/>
      <c r="H229" s="180"/>
    </row>
    <row r="230" spans="1:8" ht="15" x14ac:dyDescent="0.2">
      <c r="A230" s="86"/>
      <c r="B230" s="267"/>
      <c r="C230" s="269"/>
      <c r="D230" s="270"/>
      <c r="E230" s="77"/>
      <c r="F230" s="67"/>
      <c r="G230" s="60"/>
      <c r="H230" s="181"/>
    </row>
    <row r="231" spans="1:8" ht="25.5" x14ac:dyDescent="0.2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2.0300000000000002</v>
      </c>
    </row>
    <row r="232" spans="1:8" ht="25.5" x14ac:dyDescent="0.2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 x14ac:dyDescent="0.2">
      <c r="A233" s="199"/>
      <c r="B233" s="249"/>
      <c r="C233" s="200"/>
      <c r="D233" s="171"/>
      <c r="E233" s="283" t="s">
        <v>707</v>
      </c>
      <c r="F233" s="208">
        <f>2*(0.1*10.15)</f>
        <v>2.0300000000000002</v>
      </c>
      <c r="G233" s="173"/>
      <c r="H233" s="180"/>
    </row>
    <row r="234" spans="1:8" ht="15" x14ac:dyDescent="0.2">
      <c r="A234" s="86"/>
      <c r="B234" s="267"/>
      <c r="C234" s="66"/>
      <c r="D234" s="25"/>
      <c r="E234" s="106"/>
      <c r="F234" s="227"/>
      <c r="G234" s="26"/>
      <c r="H234" s="181"/>
    </row>
    <row r="235" spans="1:8" ht="25.5" x14ac:dyDescent="0.2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 x14ac:dyDescent="0.2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 x14ac:dyDescent="0.2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 x14ac:dyDescent="0.2">
      <c r="A238" s="285"/>
      <c r="B238" s="298"/>
      <c r="C238" s="286"/>
      <c r="D238" s="287"/>
      <c r="E238" s="288"/>
      <c r="F238" s="397"/>
      <c r="G238" s="290"/>
      <c r="H238" s="181"/>
    </row>
    <row r="239" spans="1:8" ht="25.5" x14ac:dyDescent="0.2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 x14ac:dyDescent="0.2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 x14ac:dyDescent="0.2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 x14ac:dyDescent="0.2">
      <c r="A242" s="285"/>
      <c r="B242" s="298"/>
      <c r="C242" s="286"/>
      <c r="D242" s="287"/>
      <c r="E242" s="288"/>
      <c r="F242" s="397"/>
      <c r="G242" s="290"/>
      <c r="H242" s="181"/>
    </row>
    <row r="243" spans="1:8" ht="25.5" x14ac:dyDescent="0.2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 x14ac:dyDescent="0.2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 x14ac:dyDescent="0.2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 x14ac:dyDescent="0.2">
      <c r="A246" s="86"/>
      <c r="B246" s="267"/>
      <c r="C246" s="66"/>
      <c r="D246" s="25"/>
      <c r="E246" s="106"/>
      <c r="F246" s="227"/>
      <c r="G246" s="26"/>
      <c r="H246" s="181"/>
    </row>
    <row r="247" spans="1:8" ht="15" x14ac:dyDescent="0.2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 x14ac:dyDescent="0.2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 x14ac:dyDescent="0.2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 x14ac:dyDescent="0.2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 x14ac:dyDescent="0.2">
      <c r="A251" s="86"/>
      <c r="B251" s="267"/>
      <c r="C251" s="66"/>
      <c r="D251" s="25"/>
      <c r="E251" s="72"/>
      <c r="F251" s="233"/>
      <c r="G251" s="26"/>
      <c r="H251" s="181"/>
    </row>
    <row r="252" spans="1:8" ht="15" x14ac:dyDescent="0.2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 x14ac:dyDescent="0.2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 x14ac:dyDescent="0.2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 x14ac:dyDescent="0.2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 x14ac:dyDescent="0.2">
      <c r="A256" s="199"/>
      <c r="B256" s="249"/>
      <c r="C256" s="277"/>
      <c r="D256" s="188"/>
      <c r="E256" s="69"/>
      <c r="F256" s="319"/>
      <c r="G256" s="190"/>
      <c r="H256" s="180"/>
    </row>
    <row r="257" spans="1:8" ht="25.5" x14ac:dyDescent="0.2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 x14ac:dyDescent="0.2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 x14ac:dyDescent="0.2">
      <c r="A259" s="199"/>
      <c r="B259" s="249"/>
      <c r="C259" s="277"/>
      <c r="D259" s="188"/>
      <c r="E259" s="69"/>
      <c r="F259" s="319"/>
      <c r="G259" s="190"/>
      <c r="H259" s="180"/>
    </row>
    <row r="260" spans="1:8" ht="25.5" x14ac:dyDescent="0.2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 x14ac:dyDescent="0.2">
      <c r="A261" s="199"/>
      <c r="B261" s="249"/>
      <c r="C261" s="277"/>
      <c r="D261" s="188"/>
      <c r="E261" s="69"/>
      <c r="F261" s="319"/>
      <c r="G261" s="190"/>
      <c r="H261" s="180"/>
    </row>
    <row r="262" spans="1:8" ht="15" x14ac:dyDescent="0.2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 x14ac:dyDescent="0.2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 x14ac:dyDescent="0.2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 x14ac:dyDescent="0.2">
      <c r="A265" s="199"/>
      <c r="B265" s="249"/>
      <c r="C265" s="277"/>
      <c r="D265" s="188"/>
      <c r="E265" s="69"/>
      <c r="F265" s="319"/>
      <c r="G265" s="190"/>
      <c r="H265" s="180"/>
    </row>
    <row r="266" spans="1:8" ht="15.75" x14ac:dyDescent="0.2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 x14ac:dyDescent="0.2">
      <c r="A267" s="199"/>
      <c r="B267" s="427"/>
      <c r="C267" s="428"/>
      <c r="D267" s="429"/>
      <c r="E267" s="430"/>
      <c r="F267" s="319"/>
      <c r="G267" s="190"/>
      <c r="H267" s="180"/>
    </row>
    <row r="268" spans="1:8" ht="25.5" x14ac:dyDescent="0.2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 x14ac:dyDescent="0.2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 x14ac:dyDescent="0.2">
      <c r="A270" s="199"/>
      <c r="B270" s="249"/>
      <c r="C270" s="277"/>
      <c r="D270" s="188"/>
      <c r="E270" s="69"/>
      <c r="F270" s="319"/>
      <c r="G270" s="190"/>
      <c r="H270" s="180"/>
    </row>
    <row r="271" spans="1:8" ht="15" x14ac:dyDescent="0.2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 x14ac:dyDescent="0.2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 x14ac:dyDescent="0.2">
      <c r="A273" s="162"/>
      <c r="B273" s="249"/>
      <c r="C273" s="436"/>
      <c r="D273" s="437"/>
      <c r="E273" s="69"/>
      <c r="F273" s="319"/>
      <c r="G273" s="438"/>
      <c r="H273" s="459"/>
    </row>
    <row r="274" spans="1:8" ht="25.5" x14ac:dyDescent="0.2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2.0900000000000003</v>
      </c>
    </row>
    <row r="275" spans="1:8" ht="15" x14ac:dyDescent="0.2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 x14ac:dyDescent="0.2">
      <c r="A276" s="162"/>
      <c r="B276" s="249"/>
      <c r="C276" s="452"/>
      <c r="D276" s="453"/>
      <c r="E276" s="454" t="s">
        <v>702</v>
      </c>
      <c r="F276" s="456">
        <f xml:space="preserve"> 2.2*9.5*0.1</f>
        <v>2.0900000000000003</v>
      </c>
      <c r="G276" s="191"/>
      <c r="H276" s="179"/>
    </row>
    <row r="277" spans="1:8" ht="15" x14ac:dyDescent="0.2">
      <c r="A277" s="162"/>
      <c r="B277" s="249"/>
      <c r="C277" s="442"/>
      <c r="D277" s="302"/>
      <c r="E277" s="457"/>
      <c r="F277" s="70">
        <f>SUM(F275:F276)</f>
        <v>2.0900000000000003</v>
      </c>
      <c r="G277" s="191"/>
      <c r="H277" s="179"/>
    </row>
    <row r="278" spans="1:8" ht="15" x14ac:dyDescent="0.2">
      <c r="A278" s="86"/>
      <c r="B278" s="267"/>
      <c r="C278" s="66"/>
      <c r="D278" s="25"/>
      <c r="E278" s="72"/>
      <c r="F278" s="227"/>
      <c r="G278" s="26"/>
      <c r="H278" s="181"/>
    </row>
    <row r="279" spans="1:8" x14ac:dyDescent="0.2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 x14ac:dyDescent="0.2">
      <c r="A280" s="86"/>
      <c r="B280" s="267"/>
      <c r="C280" s="269"/>
      <c r="D280" s="270"/>
      <c r="E280" s="393"/>
      <c r="F280" s="113"/>
      <c r="G280" s="60"/>
      <c r="H280" s="181"/>
    </row>
    <row r="281" spans="1:8" ht="25.5" x14ac:dyDescent="0.2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 x14ac:dyDescent="0.2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 x14ac:dyDescent="0.2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 x14ac:dyDescent="0.2">
      <c r="A284" s="86"/>
      <c r="B284" s="267"/>
      <c r="C284" s="17"/>
      <c r="D284" s="18"/>
      <c r="E284" s="103"/>
      <c r="F284" s="226"/>
      <c r="G284" s="20"/>
      <c r="H284" s="181"/>
    </row>
    <row r="285" spans="1:8" ht="25.5" x14ac:dyDescent="0.2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 x14ac:dyDescent="0.2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 x14ac:dyDescent="0.2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 x14ac:dyDescent="0.2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 x14ac:dyDescent="0.2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 x14ac:dyDescent="0.2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 x14ac:dyDescent="0.2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 x14ac:dyDescent="0.2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 x14ac:dyDescent="0.2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 x14ac:dyDescent="0.2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 x14ac:dyDescent="0.2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 x14ac:dyDescent="0.2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 x14ac:dyDescent="0.2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 x14ac:dyDescent="0.2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 x14ac:dyDescent="0.2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 x14ac:dyDescent="0.2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 x14ac:dyDescent="0.2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 x14ac:dyDescent="0.2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 x14ac:dyDescent="0.2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 x14ac:dyDescent="0.2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 x14ac:dyDescent="0.2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 x14ac:dyDescent="0.2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 x14ac:dyDescent="0.2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 x14ac:dyDescent="0.2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 x14ac:dyDescent="0.2">
      <c r="A309" s="86"/>
      <c r="B309" s="267"/>
      <c r="C309" s="269"/>
      <c r="D309" s="270"/>
      <c r="E309" s="393"/>
      <c r="F309" s="113"/>
      <c r="G309" s="60"/>
      <c r="H309" s="181"/>
    </row>
    <row r="310" spans="1:10" ht="25.5" x14ac:dyDescent="0.2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 x14ac:dyDescent="0.2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 x14ac:dyDescent="0.2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 x14ac:dyDescent="0.2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 x14ac:dyDescent="0.2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 x14ac:dyDescent="0.2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 x14ac:dyDescent="0.2">
      <c r="A316" s="86"/>
      <c r="B316" s="267"/>
      <c r="C316" s="66"/>
      <c r="D316" s="25"/>
      <c r="E316" s="106"/>
      <c r="F316" s="227"/>
      <c r="G316" s="26"/>
      <c r="H316" s="181"/>
    </row>
    <row r="317" spans="1:10" ht="15" x14ac:dyDescent="0.2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 x14ac:dyDescent="0.2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 x14ac:dyDescent="0.2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 x14ac:dyDescent="0.2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 x14ac:dyDescent="0.2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 x14ac:dyDescent="0.2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 x14ac:dyDescent="0.2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 x14ac:dyDescent="0.2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 x14ac:dyDescent="0.2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 x14ac:dyDescent="0.2">
      <c r="A326" s="62"/>
      <c r="B326" s="267"/>
      <c r="C326" s="66"/>
      <c r="D326" s="25"/>
      <c r="E326" s="106"/>
      <c r="F326" s="233"/>
      <c r="G326" s="149"/>
      <c r="H326" s="181"/>
    </row>
    <row r="327" spans="1:8" ht="25.5" x14ac:dyDescent="0.2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 x14ac:dyDescent="0.2">
      <c r="A328" s="62"/>
      <c r="B328" s="267"/>
      <c r="C328" s="66"/>
      <c r="D328" s="25"/>
      <c r="E328" s="106"/>
      <c r="F328" s="233"/>
      <c r="G328" s="149"/>
      <c r="H328" s="181"/>
    </row>
    <row r="329" spans="1:8" ht="25.5" x14ac:dyDescent="0.2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 x14ac:dyDescent="0.2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 x14ac:dyDescent="0.2">
      <c r="A331" s="86"/>
      <c r="B331" s="267"/>
      <c r="C331" s="269"/>
      <c r="D331" s="270"/>
      <c r="E331" s="393"/>
      <c r="F331" s="113"/>
      <c r="G331" s="60"/>
      <c r="H331" s="181"/>
    </row>
    <row r="332" spans="1:8" x14ac:dyDescent="0.2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 x14ac:dyDescent="0.2">
      <c r="A333" s="86"/>
      <c r="B333" s="401"/>
      <c r="C333" s="269"/>
      <c r="D333" s="270"/>
      <c r="E333" s="75"/>
      <c r="F333" s="113"/>
      <c r="G333" s="60"/>
      <c r="H333" s="322"/>
    </row>
    <row r="334" spans="1:8" ht="25.5" x14ac:dyDescent="0.2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 x14ac:dyDescent="0.2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 x14ac:dyDescent="0.2">
      <c r="A336" s="86"/>
      <c r="B336" s="401"/>
      <c r="C336" s="269"/>
      <c r="D336" s="270"/>
      <c r="E336" s="75"/>
      <c r="F336" s="113"/>
      <c r="G336" s="60"/>
      <c r="H336" s="322"/>
    </row>
    <row r="337" spans="1:8" ht="25.5" x14ac:dyDescent="0.2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241.57000000000002</v>
      </c>
    </row>
    <row r="338" spans="1:8" ht="15" x14ac:dyDescent="0.2">
      <c r="A338" s="199"/>
      <c r="B338" s="323"/>
      <c r="C338" s="260"/>
      <c r="D338" s="261"/>
      <c r="E338" s="74" t="s">
        <v>712</v>
      </c>
      <c r="F338" s="327">
        <f>11.9*10.15</f>
        <v>120.78500000000001</v>
      </c>
      <c r="G338" s="175"/>
      <c r="H338" s="326"/>
    </row>
    <row r="339" spans="1:8" ht="15" x14ac:dyDescent="0.2">
      <c r="A339" s="86"/>
      <c r="B339" s="401"/>
      <c r="C339" s="269"/>
      <c r="D339" s="270"/>
      <c r="E339" s="74" t="s">
        <v>713</v>
      </c>
      <c r="F339" s="300">
        <f>11.9*10.15</f>
        <v>120.78500000000001</v>
      </c>
      <c r="G339" s="60"/>
      <c r="H339" s="322"/>
    </row>
    <row r="340" spans="1:8" ht="15" x14ac:dyDescent="0.2">
      <c r="A340" s="86"/>
      <c r="B340" s="401"/>
      <c r="C340" s="269"/>
      <c r="D340" s="270"/>
      <c r="F340" s="73">
        <f>SUM(F338:F339)</f>
        <v>241.57000000000002</v>
      </c>
      <c r="G340" s="60"/>
      <c r="H340" s="322"/>
    </row>
    <row r="341" spans="1:8" ht="8.25" customHeight="1" x14ac:dyDescent="0.2">
      <c r="A341" s="86"/>
      <c r="B341" s="401"/>
      <c r="C341" s="269"/>
      <c r="D341" s="270"/>
      <c r="F341" s="67"/>
      <c r="G341" s="60"/>
      <c r="H341" s="322"/>
    </row>
    <row r="342" spans="1:8" ht="25.5" x14ac:dyDescent="0.2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21.599999999999998</v>
      </c>
    </row>
    <row r="343" spans="1:8" ht="15" x14ac:dyDescent="0.2">
      <c r="A343" s="162"/>
      <c r="B343" s="323"/>
      <c r="C343" s="164"/>
      <c r="D343" s="165"/>
      <c r="E343" s="283" t="s">
        <v>714</v>
      </c>
      <c r="F343" s="327">
        <f>2*(9*1.2)</f>
        <v>21.599999999999998</v>
      </c>
      <c r="G343" s="167"/>
      <c r="H343" s="325"/>
    </row>
    <row r="344" spans="1:8" ht="15" x14ac:dyDescent="0.2">
      <c r="A344" s="62"/>
      <c r="B344" s="401"/>
      <c r="C344" s="1"/>
      <c r="D344" s="2"/>
      <c r="E344" s="119"/>
      <c r="F344" s="214"/>
      <c r="G344" s="4"/>
      <c r="H344" s="342"/>
    </row>
    <row r="345" spans="1:8" ht="25.5" x14ac:dyDescent="0.2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 x14ac:dyDescent="0.2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 x14ac:dyDescent="0.2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221.15690000000001</v>
      </c>
    </row>
    <row r="348" spans="1:8" ht="24.75" customHeight="1" x14ac:dyDescent="0.2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120.78500000000001</v>
      </c>
    </row>
    <row r="349" spans="1:8" ht="25.5" x14ac:dyDescent="0.2">
      <c r="A349" s="86"/>
      <c r="B349" s="401"/>
      <c r="C349" s="269"/>
      <c r="D349" s="261"/>
      <c r="E349" s="74" t="s">
        <v>710</v>
      </c>
      <c r="F349" s="73">
        <f>11.9*10.15</f>
        <v>120.78500000000001</v>
      </c>
      <c r="G349" s="175"/>
      <c r="H349" s="326"/>
    </row>
    <row r="350" spans="1:8" ht="15" x14ac:dyDescent="0.2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 x14ac:dyDescent="0.2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21.599999999999998</v>
      </c>
    </row>
    <row r="352" spans="1:8" ht="25.5" x14ac:dyDescent="0.2">
      <c r="A352" s="86"/>
      <c r="B352" s="401"/>
      <c r="C352" s="269"/>
      <c r="D352" s="261"/>
      <c r="E352" s="74" t="s">
        <v>711</v>
      </c>
      <c r="F352" s="73">
        <f>2*(9*1.2)</f>
        <v>21.599999999999998</v>
      </c>
      <c r="G352" s="175"/>
      <c r="H352" s="326"/>
    </row>
    <row r="353" spans="1:8" ht="15" x14ac:dyDescent="0.2">
      <c r="A353" s="86"/>
      <c r="B353" s="401"/>
      <c r="C353" s="269"/>
      <c r="D353" s="270"/>
      <c r="F353" s="73"/>
      <c r="G353" s="60"/>
      <c r="H353" s="322"/>
    </row>
    <row r="354" spans="1:8" ht="15" x14ac:dyDescent="0.2">
      <c r="A354" s="86"/>
      <c r="B354" s="401"/>
      <c r="C354" s="269"/>
      <c r="D354" s="270"/>
      <c r="E354" s="75"/>
      <c r="F354" s="113"/>
      <c r="G354" s="60"/>
      <c r="H354" s="322"/>
    </row>
    <row r="355" spans="1:8" ht="25.5" x14ac:dyDescent="0.2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78.771899999999988</v>
      </c>
    </row>
    <row r="356" spans="1:8" ht="15" x14ac:dyDescent="0.2">
      <c r="A356" s="86"/>
      <c r="B356" s="401"/>
      <c r="C356" s="269"/>
      <c r="D356" s="261"/>
      <c r="E356" s="178" t="s">
        <v>708</v>
      </c>
      <c r="F356" s="73">
        <f>19.96*(1.7+0.41+0.53)</f>
        <v>52.694399999999995</v>
      </c>
      <c r="G356" s="175"/>
      <c r="H356" s="326"/>
    </row>
    <row r="357" spans="1:8" ht="15" x14ac:dyDescent="0.2">
      <c r="A357" s="86"/>
      <c r="B357" s="401"/>
      <c r="C357" s="269"/>
      <c r="D357" s="261"/>
      <c r="E357" s="178" t="s">
        <v>709</v>
      </c>
      <c r="F357" s="248">
        <f>14.25*(1.3+0.38+0.15)</f>
        <v>26.077500000000001</v>
      </c>
      <c r="G357" s="175"/>
      <c r="H357" s="326"/>
    </row>
    <row r="358" spans="1:8" ht="15" x14ac:dyDescent="0.2">
      <c r="A358" s="86"/>
      <c r="B358" s="401"/>
      <c r="C358" s="269"/>
      <c r="D358" s="261"/>
      <c r="E358" s="177"/>
      <c r="F358" s="73">
        <f>SUM(F356:F357)</f>
        <v>78.771899999999988</v>
      </c>
      <c r="G358" s="175"/>
      <c r="H358" s="326"/>
    </row>
    <row r="359" spans="1:8" ht="15" x14ac:dyDescent="0.2">
      <c r="A359" s="86"/>
      <c r="B359" s="401"/>
      <c r="C359" s="269"/>
      <c r="D359" s="261"/>
      <c r="E359" s="197" t="s">
        <v>298</v>
      </c>
      <c r="F359" s="73">
        <f>F349+F352+F358</f>
        <v>221.15690000000001</v>
      </c>
      <c r="G359" s="175"/>
      <c r="H359" s="326"/>
    </row>
    <row r="360" spans="1:8" ht="13.5" thickBot="1" x14ac:dyDescent="0.25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 x14ac:dyDescent="0.2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8"/>
  <sheetViews>
    <sheetView tabSelected="1" view="pageBreakPreview" zoomScaleNormal="120" zoomScaleSheetLayoutView="100" workbookViewId="0">
      <pane ySplit="4" topLeftCell="A5" activePane="bottomLeft" state="frozen"/>
      <selection pane="bottomLeft" activeCell="F22" sqref="F22"/>
    </sheetView>
  </sheetViews>
  <sheetFormatPr defaultRowHeight="12.75" x14ac:dyDescent="0.2"/>
  <cols>
    <col min="1" max="1" width="3.28515625" style="463" customWidth="1"/>
    <col min="2" max="2" width="4.7109375" style="556" customWidth="1"/>
    <col min="3" max="3" width="12.140625" style="556" customWidth="1"/>
    <col min="4" max="4" width="10.7109375" style="463" customWidth="1"/>
    <col min="5" max="5" width="11" style="463" customWidth="1"/>
    <col min="6" max="6" width="52.7109375" style="463" customWidth="1"/>
    <col min="7" max="7" width="10.5703125" style="624" bestFit="1" customWidth="1"/>
    <col min="8" max="8" width="7.28515625" style="463" customWidth="1"/>
    <col min="9" max="9" width="9.85546875" style="625" customWidth="1"/>
    <col min="10" max="10" width="8" style="461" customWidth="1"/>
    <col min="11" max="11" width="13.28515625" style="462" customWidth="1"/>
    <col min="12" max="12" width="6.28515625" style="463" customWidth="1"/>
    <col min="13" max="16384" width="9.140625" style="463"/>
  </cols>
  <sheetData>
    <row r="1" spans="2:11" ht="25.5" customHeight="1" x14ac:dyDescent="0.2">
      <c r="B1" s="460" t="s">
        <v>626</v>
      </c>
      <c r="D1" s="982" t="s">
        <v>724</v>
      </c>
      <c r="E1" s="982"/>
      <c r="F1" s="982"/>
      <c r="G1" s="982"/>
      <c r="H1" s="982"/>
      <c r="I1" s="982"/>
    </row>
    <row r="2" spans="2:11" ht="12.75" customHeight="1" x14ac:dyDescent="0.2">
      <c r="B2" s="460" t="s">
        <v>149</v>
      </c>
      <c r="C2" s="460"/>
      <c r="D2" s="983" t="s">
        <v>725</v>
      </c>
      <c r="E2" s="983"/>
      <c r="F2" s="983"/>
      <c r="G2" s="464"/>
      <c r="H2" s="465"/>
      <c r="I2" s="466"/>
    </row>
    <row r="3" spans="2:11" x14ac:dyDescent="0.2">
      <c r="B3" s="460"/>
      <c r="C3" s="460"/>
      <c r="D3" s="467"/>
      <c r="E3" s="644"/>
      <c r="F3" s="468"/>
      <c r="G3" s="464"/>
      <c r="H3" s="465"/>
      <c r="I3" s="466"/>
    </row>
    <row r="4" spans="2:11" ht="15.75" x14ac:dyDescent="0.2">
      <c r="B4" s="469" t="s">
        <v>953</v>
      </c>
      <c r="C4" s="460"/>
      <c r="D4" s="467"/>
      <c r="E4" s="644"/>
      <c r="F4" s="468"/>
      <c r="G4" s="464"/>
      <c r="H4" s="465"/>
      <c r="I4" s="466"/>
    </row>
    <row r="5" spans="2:11" ht="13.5" thickBot="1" x14ac:dyDescent="0.25"/>
    <row r="6" spans="2:11" x14ac:dyDescent="0.2">
      <c r="B6" s="984" t="s">
        <v>954</v>
      </c>
      <c r="C6" s="985"/>
      <c r="D6" s="985" t="s">
        <v>955</v>
      </c>
      <c r="E6" s="985"/>
      <c r="F6" s="645" t="s">
        <v>956</v>
      </c>
      <c r="G6" s="986" t="s">
        <v>957</v>
      </c>
      <c r="H6" s="986"/>
      <c r="I6" s="987" t="s">
        <v>958</v>
      </c>
      <c r="J6" s="987"/>
      <c r="K6" s="646" t="s">
        <v>959</v>
      </c>
    </row>
    <row r="7" spans="2:11" x14ac:dyDescent="0.2">
      <c r="B7" s="988" t="s">
        <v>961</v>
      </c>
      <c r="C7" s="989"/>
      <c r="D7" s="647"/>
      <c r="E7" s="647"/>
      <c r="F7" s="648" t="s">
        <v>725</v>
      </c>
      <c r="G7" s="990">
        <f>'02_SupisPrac'!K82</f>
        <v>0</v>
      </c>
      <c r="H7" s="990"/>
      <c r="I7" s="991">
        <f>G7*0.2</f>
        <v>0</v>
      </c>
      <c r="J7" s="991"/>
      <c r="K7" s="649">
        <f>SUM(G7:J7)</f>
        <v>0</v>
      </c>
    </row>
    <row r="8" spans="2:11" ht="13.5" thickBot="1" x14ac:dyDescent="0.25">
      <c r="B8" s="978" t="s">
        <v>960</v>
      </c>
      <c r="C8" s="979"/>
      <c r="D8" s="650"/>
      <c r="E8" s="650"/>
      <c r="F8" s="650"/>
      <c r="G8" s="980">
        <f>G7</f>
        <v>0</v>
      </c>
      <c r="H8" s="980"/>
      <c r="I8" s="981">
        <f>I7</f>
        <v>0</v>
      </c>
      <c r="J8" s="981"/>
      <c r="K8" s="651">
        <f>K7</f>
        <v>0</v>
      </c>
    </row>
  </sheetData>
  <sheetProtection algorithmName="SHA-512" hashValue="uQm0LaqY285u0n2COlLTHu6So/4p8oYmX97qo9QPfn02n4chHC8ogbtCVVb8J2lau76S06zEvL+FimbnjsW0Zw==" saltValue="aQEFVFGGfsfCXOAc+UMglQ==" spinCount="100000" sheet="1" objects="1" scenarios="1" selectLockedCells="1"/>
  <mergeCells count="12">
    <mergeCell ref="B8:C8"/>
    <mergeCell ref="G8:H8"/>
    <mergeCell ref="I8:J8"/>
    <mergeCell ref="D1:I1"/>
    <mergeCell ref="D2:F2"/>
    <mergeCell ref="B6:C6"/>
    <mergeCell ref="D6:E6"/>
    <mergeCell ref="G6:H6"/>
    <mergeCell ref="I6:J6"/>
    <mergeCell ref="B7:C7"/>
    <mergeCell ref="G7:H7"/>
    <mergeCell ref="I7:J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112A-D9C4-4855-BA3C-158598FB1C73}">
  <dimension ref="B1:P91"/>
  <sheetViews>
    <sheetView view="pageBreakPreview" zoomScaleNormal="120" zoomScaleSheetLayoutView="100" workbookViewId="0">
      <pane ySplit="7" topLeftCell="A8" activePane="bottomLeft" state="frozen"/>
      <selection pane="bottomLeft" activeCell="J17" sqref="J17"/>
    </sheetView>
  </sheetViews>
  <sheetFormatPr defaultRowHeight="12.75" x14ac:dyDescent="0.2"/>
  <cols>
    <col min="1" max="1" width="3.28515625" style="463" customWidth="1"/>
    <col min="2" max="2" width="24.7109375" style="556" customWidth="1"/>
    <col min="3" max="3" width="9.7109375" style="556" customWidth="1"/>
    <col min="4" max="4" width="9.7109375" style="463" customWidth="1"/>
    <col min="5" max="5" width="60.7109375" style="463" customWidth="1"/>
    <col min="6" max="6" width="9.7109375" style="624" customWidth="1"/>
    <col min="7" max="7" width="5" style="463" bestFit="1" customWidth="1"/>
    <col min="8" max="8" width="13.7109375" style="625" customWidth="1"/>
    <col min="9" max="9" width="1" style="461" customWidth="1"/>
    <col min="10" max="10" width="17.28515625" style="462" customWidth="1"/>
    <col min="11" max="11" width="14.7109375" style="463" customWidth="1"/>
    <col min="12" max="16384" width="9.140625" style="463"/>
  </cols>
  <sheetData>
    <row r="1" spans="2:16" ht="25.5" customHeight="1" x14ac:dyDescent="0.2">
      <c r="B1" s="460" t="s">
        <v>626</v>
      </c>
      <c r="C1" s="982" t="s">
        <v>724</v>
      </c>
      <c r="D1" s="982"/>
      <c r="E1" s="982"/>
      <c r="F1" s="982"/>
      <c r="G1" s="982"/>
      <c r="H1" s="982"/>
    </row>
    <row r="2" spans="2:16" ht="12.75" customHeight="1" x14ac:dyDescent="0.2">
      <c r="B2" s="460" t="s">
        <v>149</v>
      </c>
      <c r="C2" s="983" t="s">
        <v>725</v>
      </c>
      <c r="D2" s="983"/>
      <c r="E2" s="983"/>
      <c r="F2" s="464"/>
      <c r="G2" s="465"/>
      <c r="H2" s="466"/>
    </row>
    <row r="3" spans="2:16" x14ac:dyDescent="0.2">
      <c r="B3" s="460"/>
      <c r="C3" s="460"/>
      <c r="D3" s="467"/>
      <c r="E3" s="468"/>
      <c r="F3" s="464"/>
      <c r="G3" s="465"/>
      <c r="H3" s="466"/>
    </row>
    <row r="4" spans="2:16" ht="15.75" x14ac:dyDescent="0.2">
      <c r="B4" s="469" t="s">
        <v>962</v>
      </c>
      <c r="C4" s="460"/>
      <c r="D4" s="467"/>
      <c r="E4" s="468"/>
      <c r="F4" s="464"/>
      <c r="G4" s="465"/>
      <c r="H4" s="466"/>
    </row>
    <row r="5" spans="2:16" ht="13.5" thickBot="1" x14ac:dyDescent="0.25">
      <c r="B5" s="460"/>
      <c r="C5" s="460"/>
      <c r="D5" s="467"/>
      <c r="E5" s="470"/>
      <c r="F5" s="464"/>
      <c r="G5" s="465"/>
      <c r="H5" s="466"/>
    </row>
    <row r="6" spans="2:16" x14ac:dyDescent="0.2">
      <c r="B6" s="1003" t="s">
        <v>963</v>
      </c>
      <c r="C6" s="1005" t="s">
        <v>964</v>
      </c>
      <c r="D6" s="1006"/>
      <c r="E6" s="995" t="s">
        <v>965</v>
      </c>
      <c r="F6" s="996"/>
      <c r="G6" s="999" t="s">
        <v>153</v>
      </c>
      <c r="H6" s="1001" t="s">
        <v>966</v>
      </c>
      <c r="I6" s="471"/>
      <c r="J6" s="1009" t="s">
        <v>967</v>
      </c>
      <c r="K6" s="1011" t="s">
        <v>957</v>
      </c>
    </row>
    <row r="7" spans="2:16" ht="13.5" thickBot="1" x14ac:dyDescent="0.25">
      <c r="B7" s="1004"/>
      <c r="C7" s="1007"/>
      <c r="D7" s="1008"/>
      <c r="E7" s="997"/>
      <c r="F7" s="998"/>
      <c r="G7" s="1000"/>
      <c r="H7" s="1002"/>
      <c r="I7" s="472"/>
      <c r="J7" s="1010"/>
      <c r="K7" s="1012"/>
    </row>
    <row r="8" spans="2:16" s="461" customFormat="1" ht="15.95" customHeight="1" thickBot="1" x14ac:dyDescent="0.25">
      <c r="B8" s="993" t="s">
        <v>968</v>
      </c>
      <c r="C8" s="473" t="s">
        <v>969</v>
      </c>
      <c r="D8" s="474" t="s">
        <v>869</v>
      </c>
      <c r="E8" s="475" t="s">
        <v>870</v>
      </c>
      <c r="F8" s="476"/>
      <c r="G8" s="477" t="s">
        <v>5</v>
      </c>
      <c r="H8" s="478">
        <f>'04_PopisPoloziek'!I11</f>
        <v>208.97</v>
      </c>
      <c r="J8" s="635"/>
      <c r="K8" s="479">
        <f>H8*J8</f>
        <v>0</v>
      </c>
      <c r="L8" s="463"/>
      <c r="M8" s="463"/>
      <c r="N8" s="463"/>
      <c r="O8" s="463"/>
      <c r="P8" s="463"/>
    </row>
    <row r="9" spans="2:16" s="461" customFormat="1" ht="15.95" customHeight="1" thickBot="1" x14ac:dyDescent="0.25">
      <c r="B9" s="993"/>
      <c r="C9" s="473" t="s">
        <v>969</v>
      </c>
      <c r="D9" s="474" t="s">
        <v>871</v>
      </c>
      <c r="E9" s="475" t="s">
        <v>872</v>
      </c>
      <c r="F9" s="476"/>
      <c r="G9" s="477" t="s">
        <v>51</v>
      </c>
      <c r="H9" s="478">
        <f>'04_PopisPoloziek'!I13</f>
        <v>127.6</v>
      </c>
      <c r="J9" s="636"/>
      <c r="K9" s="479">
        <f t="shared" ref="K9:K72" si="0">H9*J9</f>
        <v>0</v>
      </c>
      <c r="L9" s="463"/>
      <c r="M9" s="463"/>
      <c r="N9" s="463"/>
      <c r="O9" s="463"/>
      <c r="P9" s="463"/>
    </row>
    <row r="10" spans="2:16" s="461" customFormat="1" ht="15.95" customHeight="1" thickBot="1" x14ac:dyDescent="0.25">
      <c r="B10" s="993"/>
      <c r="C10" s="473" t="s">
        <v>969</v>
      </c>
      <c r="D10" s="474" t="s">
        <v>873</v>
      </c>
      <c r="E10" s="475" t="s">
        <v>874</v>
      </c>
      <c r="F10" s="476"/>
      <c r="G10" s="477" t="s">
        <v>51</v>
      </c>
      <c r="H10" s="478">
        <f>'04_PopisPoloziek'!I15</f>
        <v>5</v>
      </c>
      <c r="J10" s="636"/>
      <c r="K10" s="479">
        <f t="shared" si="0"/>
        <v>0</v>
      </c>
      <c r="L10" s="463"/>
      <c r="M10" s="463"/>
      <c r="N10" s="463"/>
      <c r="O10" s="463"/>
      <c r="P10" s="463"/>
    </row>
    <row r="11" spans="2:16" s="461" customFormat="1" ht="24.95" customHeight="1" thickBot="1" x14ac:dyDescent="0.25">
      <c r="B11" s="993"/>
      <c r="C11" s="473" t="s">
        <v>969</v>
      </c>
      <c r="D11" s="480" t="s">
        <v>876</v>
      </c>
      <c r="E11" s="481" t="s">
        <v>875</v>
      </c>
      <c r="F11" s="482"/>
      <c r="G11" s="483" t="s">
        <v>543</v>
      </c>
      <c r="H11" s="478">
        <f>'04_PopisPoloziek'!I17</f>
        <v>2</v>
      </c>
      <c r="J11" s="636"/>
      <c r="K11" s="479">
        <f t="shared" si="0"/>
        <v>0</v>
      </c>
      <c r="L11" s="463"/>
      <c r="M11" s="463"/>
      <c r="N11" s="463"/>
      <c r="O11" s="463"/>
      <c r="P11" s="463"/>
    </row>
    <row r="12" spans="2:16" s="461" customFormat="1" ht="24.95" customHeight="1" thickBot="1" x14ac:dyDescent="0.25">
      <c r="B12" s="993"/>
      <c r="C12" s="473" t="s">
        <v>969</v>
      </c>
      <c r="D12" s="480" t="s">
        <v>882</v>
      </c>
      <c r="E12" s="481" t="s">
        <v>891</v>
      </c>
      <c r="F12" s="482"/>
      <c r="G12" s="483" t="s">
        <v>543</v>
      </c>
      <c r="H12" s="478">
        <f>'04_PopisPoloziek'!I25</f>
        <v>1</v>
      </c>
      <c r="J12" s="636"/>
      <c r="K12" s="479">
        <f t="shared" si="0"/>
        <v>0</v>
      </c>
      <c r="L12" s="463"/>
      <c r="M12" s="463"/>
      <c r="N12" s="463"/>
      <c r="O12" s="463"/>
      <c r="P12" s="463"/>
    </row>
    <row r="13" spans="2:16" s="461" customFormat="1" ht="15.95" customHeight="1" thickBot="1" x14ac:dyDescent="0.25">
      <c r="B13" s="994"/>
      <c r="C13" s="484" t="s">
        <v>969</v>
      </c>
      <c r="D13" s="485" t="s">
        <v>883</v>
      </c>
      <c r="E13" s="486" t="s">
        <v>884</v>
      </c>
      <c r="F13" s="487"/>
      <c r="G13" s="488" t="s">
        <v>543</v>
      </c>
      <c r="H13" s="489">
        <f>'04_PopisPoloziek'!I27</f>
        <v>3</v>
      </c>
      <c r="J13" s="637"/>
      <c r="K13" s="479">
        <f t="shared" si="0"/>
        <v>0</v>
      </c>
      <c r="L13" s="463"/>
      <c r="M13" s="463"/>
      <c r="N13" s="463"/>
      <c r="O13" s="463"/>
      <c r="P13" s="463"/>
    </row>
    <row r="14" spans="2:16" ht="24" customHeight="1" thickBot="1" x14ac:dyDescent="0.25">
      <c r="B14" s="992" t="s">
        <v>970</v>
      </c>
      <c r="C14" s="490" t="s">
        <v>288</v>
      </c>
      <c r="D14" s="491" t="s">
        <v>290</v>
      </c>
      <c r="E14" s="492" t="s">
        <v>291</v>
      </c>
      <c r="F14" s="493"/>
      <c r="G14" s="494" t="s">
        <v>51</v>
      </c>
      <c r="H14" s="495">
        <f>'04_PopisPoloziek'!I35</f>
        <v>22.343620000000001</v>
      </c>
      <c r="J14" s="635"/>
      <c r="K14" s="479">
        <f t="shared" si="0"/>
        <v>0</v>
      </c>
    </row>
    <row r="15" spans="2:16" ht="15.95" customHeight="1" thickBot="1" x14ac:dyDescent="0.25">
      <c r="B15" s="993"/>
      <c r="C15" s="473" t="s">
        <v>288</v>
      </c>
      <c r="D15" s="474" t="s">
        <v>292</v>
      </c>
      <c r="E15" s="496" t="s">
        <v>293</v>
      </c>
      <c r="F15" s="497"/>
      <c r="G15" s="477" t="s">
        <v>12</v>
      </c>
      <c r="H15" s="478">
        <f>'04_PopisPoloziek'!I44</f>
        <v>116.25119999999998</v>
      </c>
      <c r="J15" s="636"/>
      <c r="K15" s="479">
        <f t="shared" si="0"/>
        <v>0</v>
      </c>
    </row>
    <row r="16" spans="2:16" ht="24" customHeight="1" thickBot="1" x14ac:dyDescent="0.25">
      <c r="B16" s="993"/>
      <c r="C16" s="473" t="s">
        <v>288</v>
      </c>
      <c r="D16" s="474" t="s">
        <v>294</v>
      </c>
      <c r="E16" s="496" t="s">
        <v>295</v>
      </c>
      <c r="F16" s="497"/>
      <c r="G16" s="477" t="s">
        <v>12</v>
      </c>
      <c r="H16" s="478">
        <f>'04_PopisPoloziek'!I47</f>
        <v>96.800000000000011</v>
      </c>
      <c r="J16" s="636"/>
      <c r="K16" s="479">
        <f t="shared" si="0"/>
        <v>0</v>
      </c>
    </row>
    <row r="17" spans="2:16" ht="24" customHeight="1" thickBot="1" x14ac:dyDescent="0.25">
      <c r="B17" s="993"/>
      <c r="C17" s="473" t="s">
        <v>288</v>
      </c>
      <c r="D17" s="474" t="s">
        <v>299</v>
      </c>
      <c r="E17" s="496" t="s">
        <v>300</v>
      </c>
      <c r="F17" s="497"/>
      <c r="G17" s="477" t="s">
        <v>12</v>
      </c>
      <c r="H17" s="478">
        <f>'04_PopisPoloziek'!I51</f>
        <v>102.2</v>
      </c>
      <c r="J17" s="636"/>
      <c r="K17" s="479">
        <f t="shared" si="0"/>
        <v>0</v>
      </c>
    </row>
    <row r="18" spans="2:16" ht="24" customHeight="1" thickBot="1" x14ac:dyDescent="0.25">
      <c r="B18" s="993"/>
      <c r="C18" s="473" t="s">
        <v>288</v>
      </c>
      <c r="D18" s="474" t="s">
        <v>303</v>
      </c>
      <c r="E18" s="496" t="s">
        <v>304</v>
      </c>
      <c r="F18" s="497"/>
      <c r="G18" s="477" t="s">
        <v>25</v>
      </c>
      <c r="H18" s="478">
        <f>'04_PopisPoloziek'!I56</f>
        <v>29.5</v>
      </c>
      <c r="I18" s="498"/>
      <c r="J18" s="636"/>
      <c r="K18" s="479">
        <f t="shared" si="0"/>
        <v>0</v>
      </c>
    </row>
    <row r="19" spans="2:16" ht="24" customHeight="1" thickBot="1" x14ac:dyDescent="0.25">
      <c r="B19" s="993"/>
      <c r="C19" s="473" t="s">
        <v>288</v>
      </c>
      <c r="D19" s="474" t="s">
        <v>307</v>
      </c>
      <c r="E19" s="496" t="s">
        <v>308</v>
      </c>
      <c r="F19" s="497"/>
      <c r="G19" s="477" t="s">
        <v>25</v>
      </c>
      <c r="H19" s="478">
        <f>'04_PopisPoloziek'!I62</f>
        <v>28.3</v>
      </c>
      <c r="J19" s="636"/>
      <c r="K19" s="479">
        <f t="shared" si="0"/>
        <v>0</v>
      </c>
    </row>
    <row r="20" spans="2:16" ht="24" customHeight="1" thickBot="1" x14ac:dyDescent="0.25">
      <c r="B20" s="993"/>
      <c r="C20" s="473" t="s">
        <v>288</v>
      </c>
      <c r="D20" s="474" t="s">
        <v>313</v>
      </c>
      <c r="E20" s="496" t="s">
        <v>314</v>
      </c>
      <c r="F20" s="497"/>
      <c r="G20" s="477" t="s">
        <v>12</v>
      </c>
      <c r="H20" s="478">
        <f>'04_PopisPoloziek'!I67</f>
        <v>230.24200000000005</v>
      </c>
      <c r="I20" s="498"/>
      <c r="J20" s="636"/>
      <c r="K20" s="479">
        <f t="shared" si="0"/>
        <v>0</v>
      </c>
    </row>
    <row r="21" spans="2:16" ht="15.95" customHeight="1" thickBot="1" x14ac:dyDescent="0.25">
      <c r="B21" s="993"/>
      <c r="C21" s="473" t="s">
        <v>288</v>
      </c>
      <c r="D21" s="474" t="s">
        <v>318</v>
      </c>
      <c r="E21" s="496" t="s">
        <v>319</v>
      </c>
      <c r="F21" s="497"/>
      <c r="G21" s="477" t="s">
        <v>12</v>
      </c>
      <c r="H21" s="478">
        <f>'04_PopisPoloziek'!I78</f>
        <v>846.56000000000006</v>
      </c>
      <c r="J21" s="636"/>
      <c r="K21" s="479">
        <f t="shared" si="0"/>
        <v>0</v>
      </c>
    </row>
    <row r="22" spans="2:16" ht="15.95" customHeight="1" thickBot="1" x14ac:dyDescent="0.25">
      <c r="B22" s="993"/>
      <c r="C22" s="473" t="s">
        <v>288</v>
      </c>
      <c r="D22" s="474" t="s">
        <v>546</v>
      </c>
      <c r="E22" s="496" t="s">
        <v>547</v>
      </c>
      <c r="F22" s="499"/>
      <c r="G22" s="477" t="s">
        <v>548</v>
      </c>
      <c r="H22" s="478">
        <f>'04_PopisPoloziek'!I85</f>
        <v>15900</v>
      </c>
      <c r="J22" s="636"/>
      <c r="K22" s="479">
        <f t="shared" si="0"/>
        <v>0</v>
      </c>
    </row>
    <row r="23" spans="2:16" ht="15.95" customHeight="1" thickBot="1" x14ac:dyDescent="0.25">
      <c r="B23" s="994"/>
      <c r="C23" s="484" t="s">
        <v>288</v>
      </c>
      <c r="D23" s="500" t="s">
        <v>309</v>
      </c>
      <c r="E23" s="501" t="s">
        <v>639</v>
      </c>
      <c r="F23" s="502"/>
      <c r="G23" s="503" t="s">
        <v>5</v>
      </c>
      <c r="H23" s="489">
        <f>'04_PopisPoloziek'!I92</f>
        <v>208.97</v>
      </c>
      <c r="J23" s="637"/>
      <c r="K23" s="479">
        <f t="shared" si="0"/>
        <v>0</v>
      </c>
    </row>
    <row r="24" spans="2:16" s="510" customFormat="1" ht="15.95" customHeight="1" thickBot="1" x14ac:dyDescent="0.25">
      <c r="B24" s="992" t="s">
        <v>971</v>
      </c>
      <c r="C24" s="490" t="s">
        <v>972</v>
      </c>
      <c r="D24" s="504" t="s">
        <v>324</v>
      </c>
      <c r="E24" s="505" t="s">
        <v>325</v>
      </c>
      <c r="F24" s="506"/>
      <c r="G24" s="507" t="s">
        <v>12</v>
      </c>
      <c r="H24" s="508">
        <f>'04_PopisPoloziek'!I98</f>
        <v>10</v>
      </c>
      <c r="I24" s="509"/>
      <c r="J24" s="638"/>
      <c r="K24" s="479">
        <f t="shared" si="0"/>
        <v>0</v>
      </c>
    </row>
    <row r="25" spans="2:16" s="516" customFormat="1" ht="15.95" customHeight="1" thickBot="1" x14ac:dyDescent="0.25">
      <c r="B25" s="994"/>
      <c r="C25" s="484" t="s">
        <v>972</v>
      </c>
      <c r="D25" s="511" t="s">
        <v>329</v>
      </c>
      <c r="E25" s="512" t="s">
        <v>330</v>
      </c>
      <c r="F25" s="513"/>
      <c r="G25" s="514" t="s">
        <v>12</v>
      </c>
      <c r="H25" s="515">
        <f>'04_PopisPoloziek'!I102</f>
        <v>60</v>
      </c>
      <c r="J25" s="639"/>
      <c r="K25" s="479">
        <f t="shared" si="0"/>
        <v>0</v>
      </c>
    </row>
    <row r="26" spans="2:16" s="516" customFormat="1" ht="15.95" customHeight="1" thickBot="1" x14ac:dyDescent="0.25">
      <c r="B26" s="1019" t="s">
        <v>973</v>
      </c>
      <c r="C26" s="517" t="s">
        <v>974</v>
      </c>
      <c r="D26" s="518" t="s">
        <v>557</v>
      </c>
      <c r="E26" s="519" t="s">
        <v>558</v>
      </c>
      <c r="F26" s="520"/>
      <c r="G26" s="494" t="s">
        <v>51</v>
      </c>
      <c r="H26" s="521">
        <f>'04_PopisPoloziek'!I108</f>
        <v>1.08</v>
      </c>
      <c r="J26" s="638"/>
      <c r="K26" s="479">
        <f t="shared" si="0"/>
        <v>0</v>
      </c>
    </row>
    <row r="27" spans="2:16" s="516" customFormat="1" ht="15.95" customHeight="1" thickBot="1" x14ac:dyDescent="0.25">
      <c r="B27" s="1020"/>
      <c r="C27" s="522" t="s">
        <v>974</v>
      </c>
      <c r="D27" s="523" t="s">
        <v>945</v>
      </c>
      <c r="E27" s="524" t="s">
        <v>946</v>
      </c>
      <c r="F27" s="525"/>
      <c r="G27" s="477" t="s">
        <v>51</v>
      </c>
      <c r="H27" s="526">
        <f>'04_PopisPoloziek'!I112</f>
        <v>40</v>
      </c>
      <c r="J27" s="640"/>
      <c r="K27" s="479">
        <f t="shared" si="0"/>
        <v>0</v>
      </c>
    </row>
    <row r="28" spans="2:16" s="516" customFormat="1" ht="15.95" customHeight="1" thickBot="1" x14ac:dyDescent="0.25">
      <c r="B28" s="1020"/>
      <c r="C28" s="522" t="s">
        <v>974</v>
      </c>
      <c r="D28" s="527" t="s">
        <v>704</v>
      </c>
      <c r="E28" s="496" t="s">
        <v>705</v>
      </c>
      <c r="F28" s="499"/>
      <c r="G28" s="477" t="s">
        <v>51</v>
      </c>
      <c r="H28" s="478">
        <f>'04_PopisPoloziek'!I116</f>
        <v>60</v>
      </c>
      <c r="J28" s="640"/>
      <c r="K28" s="479">
        <f t="shared" si="0"/>
        <v>0</v>
      </c>
    </row>
    <row r="29" spans="2:16" s="516" customFormat="1" ht="15.95" customHeight="1" thickBot="1" x14ac:dyDescent="0.25">
      <c r="B29" s="1020"/>
      <c r="C29" s="522" t="s">
        <v>974</v>
      </c>
      <c r="D29" s="528" t="s">
        <v>169</v>
      </c>
      <c r="E29" s="529" t="s">
        <v>170</v>
      </c>
      <c r="F29" s="530"/>
      <c r="G29" s="531" t="s">
        <v>51</v>
      </c>
      <c r="H29" s="532">
        <f>'04_PopisPoloziek'!I121</f>
        <v>34.839999999999996</v>
      </c>
      <c r="J29" s="640"/>
      <c r="K29" s="479">
        <f t="shared" si="0"/>
        <v>0</v>
      </c>
    </row>
    <row r="30" spans="2:16" s="516" customFormat="1" ht="15.95" customHeight="1" thickBot="1" x14ac:dyDescent="0.25">
      <c r="B30" s="1020"/>
      <c r="C30" s="522" t="s">
        <v>974</v>
      </c>
      <c r="D30" s="527" t="s">
        <v>165</v>
      </c>
      <c r="E30" s="496" t="s">
        <v>166</v>
      </c>
      <c r="F30" s="533"/>
      <c r="G30" s="477" t="s">
        <v>51</v>
      </c>
      <c r="H30" s="534">
        <f>'04_PopisPoloziek'!I134</f>
        <v>31.680000000000003</v>
      </c>
      <c r="J30" s="640"/>
      <c r="K30" s="479">
        <f t="shared" si="0"/>
        <v>0</v>
      </c>
    </row>
    <row r="31" spans="2:16" s="516" customFormat="1" ht="15.95" customHeight="1" thickBot="1" x14ac:dyDescent="0.25">
      <c r="B31" s="1020"/>
      <c r="C31" s="522" t="s">
        <v>974</v>
      </c>
      <c r="D31" s="527" t="s">
        <v>542</v>
      </c>
      <c r="E31" s="535" t="s">
        <v>578</v>
      </c>
      <c r="F31" s="499"/>
      <c r="G31" s="477" t="s">
        <v>543</v>
      </c>
      <c r="H31" s="534">
        <f>'04_PopisPoloziek'!I39</f>
        <v>0</v>
      </c>
      <c r="J31" s="640"/>
      <c r="K31" s="479">
        <f t="shared" si="0"/>
        <v>0</v>
      </c>
    </row>
    <row r="32" spans="2:16" s="516" customFormat="1" ht="15.95" customHeight="1" thickBot="1" x14ac:dyDescent="0.25">
      <c r="B32" s="1021"/>
      <c r="C32" s="522" t="s">
        <v>974</v>
      </c>
      <c r="D32" s="536" t="s">
        <v>173</v>
      </c>
      <c r="E32" s="537" t="s">
        <v>174</v>
      </c>
      <c r="F32" s="538"/>
      <c r="G32" s="539" t="s">
        <v>12</v>
      </c>
      <c r="H32" s="540">
        <f>'04_PopisPoloziek'!I143</f>
        <v>106</v>
      </c>
      <c r="J32" s="639"/>
      <c r="K32" s="479">
        <f t="shared" si="0"/>
        <v>0</v>
      </c>
      <c r="L32" s="510"/>
      <c r="M32" s="510"/>
      <c r="N32" s="510"/>
      <c r="O32" s="510"/>
      <c r="P32" s="510"/>
    </row>
    <row r="33" spans="2:16" s="549" customFormat="1" ht="15.95" customHeight="1" thickBot="1" x14ac:dyDescent="0.25">
      <c r="B33" s="541" t="s">
        <v>975</v>
      </c>
      <c r="C33" s="542"/>
      <c r="D33" s="543" t="s">
        <v>161</v>
      </c>
      <c r="E33" s="544" t="s">
        <v>162</v>
      </c>
      <c r="F33" s="545"/>
      <c r="G33" s="546" t="s">
        <v>51</v>
      </c>
      <c r="H33" s="547">
        <f>'04_PopisPoloziek'!I149</f>
        <v>127.6</v>
      </c>
      <c r="I33" s="548"/>
      <c r="J33" s="641"/>
      <c r="K33" s="479">
        <f t="shared" si="0"/>
        <v>0</v>
      </c>
    </row>
    <row r="34" spans="2:16" s="556" customFormat="1" ht="15.95" customHeight="1" thickBot="1" x14ac:dyDescent="0.25">
      <c r="B34" s="992" t="s">
        <v>976</v>
      </c>
      <c r="C34" s="550" t="s">
        <v>156</v>
      </c>
      <c r="D34" s="551" t="s">
        <v>94</v>
      </c>
      <c r="E34" s="552" t="s">
        <v>95</v>
      </c>
      <c r="F34" s="553"/>
      <c r="G34" s="554" t="s">
        <v>51</v>
      </c>
      <c r="H34" s="495">
        <f>'04_PopisPoloziek'!I159</f>
        <v>9.1</v>
      </c>
      <c r="I34" s="555"/>
      <c r="J34" s="635"/>
      <c r="K34" s="479">
        <f t="shared" si="0"/>
        <v>0</v>
      </c>
    </row>
    <row r="35" spans="2:16" s="556" customFormat="1" ht="15.95" customHeight="1" thickBot="1" x14ac:dyDescent="0.25">
      <c r="B35" s="993"/>
      <c r="C35" s="557" t="s">
        <v>156</v>
      </c>
      <c r="D35" s="474" t="s">
        <v>96</v>
      </c>
      <c r="E35" s="475" t="s">
        <v>97</v>
      </c>
      <c r="F35" s="533"/>
      <c r="G35" s="477" t="s">
        <v>12</v>
      </c>
      <c r="H35" s="478">
        <f>'04_PopisPoloziek'!I164</f>
        <v>7</v>
      </c>
      <c r="I35" s="555"/>
      <c r="J35" s="636"/>
      <c r="K35" s="479">
        <f t="shared" si="0"/>
        <v>0</v>
      </c>
    </row>
    <row r="36" spans="2:16" ht="15.95" customHeight="1" thickBot="1" x14ac:dyDescent="0.25">
      <c r="B36" s="993"/>
      <c r="C36" s="557" t="s">
        <v>156</v>
      </c>
      <c r="D36" s="474" t="s">
        <v>100</v>
      </c>
      <c r="E36" s="475" t="s">
        <v>101</v>
      </c>
      <c r="F36" s="533"/>
      <c r="G36" s="477" t="s">
        <v>5</v>
      </c>
      <c r="H36" s="534">
        <f>'04_PopisPoloziek'!I168</f>
        <v>1.5725340000000001</v>
      </c>
      <c r="J36" s="636"/>
      <c r="K36" s="479">
        <f t="shared" si="0"/>
        <v>0</v>
      </c>
    </row>
    <row r="37" spans="2:16" s="462" customFormat="1" ht="15.95" customHeight="1" thickBot="1" x14ac:dyDescent="0.25">
      <c r="B37" s="993"/>
      <c r="C37" s="557" t="s">
        <v>156</v>
      </c>
      <c r="D37" s="474" t="s">
        <v>127</v>
      </c>
      <c r="E37" s="475" t="s">
        <v>128</v>
      </c>
      <c r="F37" s="533"/>
      <c r="G37" s="477" t="s">
        <v>51</v>
      </c>
      <c r="H37" s="534">
        <f>'04_PopisPoloziek'!I176</f>
        <v>6.5047499999999996</v>
      </c>
      <c r="I37" s="461"/>
      <c r="J37" s="636"/>
      <c r="K37" s="479">
        <f t="shared" si="0"/>
        <v>0</v>
      </c>
      <c r="L37" s="463"/>
      <c r="M37" s="463"/>
      <c r="N37" s="463"/>
      <c r="O37" s="463"/>
      <c r="P37" s="463"/>
    </row>
    <row r="38" spans="2:16" s="462" customFormat="1" ht="15.95" customHeight="1" thickBot="1" x14ac:dyDescent="0.25">
      <c r="B38" s="993"/>
      <c r="C38" s="557" t="s">
        <v>156</v>
      </c>
      <c r="D38" s="474" t="s">
        <v>131</v>
      </c>
      <c r="E38" s="475" t="s">
        <v>184</v>
      </c>
      <c r="F38" s="533"/>
      <c r="G38" s="477" t="s">
        <v>12</v>
      </c>
      <c r="H38" s="534">
        <f>'04_PopisPoloziek'!I184</f>
        <v>15.337</v>
      </c>
      <c r="I38" s="461"/>
      <c r="J38" s="636"/>
      <c r="K38" s="479">
        <f t="shared" si="0"/>
        <v>0</v>
      </c>
      <c r="L38" s="463"/>
      <c r="M38" s="463"/>
      <c r="N38" s="463"/>
      <c r="O38" s="463"/>
      <c r="P38" s="463"/>
    </row>
    <row r="39" spans="2:16" s="461" customFormat="1" ht="15.95" customHeight="1" thickBot="1" x14ac:dyDescent="0.25">
      <c r="B39" s="993"/>
      <c r="C39" s="557" t="s">
        <v>156</v>
      </c>
      <c r="D39" s="474" t="s">
        <v>133</v>
      </c>
      <c r="E39" s="475" t="s">
        <v>186</v>
      </c>
      <c r="F39" s="533"/>
      <c r="G39" s="477" t="s">
        <v>5</v>
      </c>
      <c r="H39" s="534">
        <f>'04_PopisPoloziek'!I190</f>
        <v>1.07948</v>
      </c>
      <c r="J39" s="636"/>
      <c r="K39" s="479">
        <f t="shared" si="0"/>
        <v>0</v>
      </c>
      <c r="L39" s="463"/>
      <c r="M39" s="463"/>
      <c r="N39" s="463"/>
      <c r="O39" s="463"/>
      <c r="P39" s="463"/>
    </row>
    <row r="40" spans="2:16" s="461" customFormat="1" ht="15.95" customHeight="1" thickBot="1" x14ac:dyDescent="0.25">
      <c r="B40" s="993"/>
      <c r="C40" s="557" t="s">
        <v>156</v>
      </c>
      <c r="D40" s="474" t="s">
        <v>135</v>
      </c>
      <c r="E40" s="481" t="s">
        <v>188</v>
      </c>
      <c r="F40" s="476"/>
      <c r="G40" s="477" t="s">
        <v>51</v>
      </c>
      <c r="H40" s="534">
        <f>'04_PopisPoloziek'!I196</f>
        <v>24.08</v>
      </c>
      <c r="J40" s="636"/>
      <c r="K40" s="479">
        <f t="shared" si="0"/>
        <v>0</v>
      </c>
      <c r="L40" s="463"/>
      <c r="M40" s="463"/>
      <c r="N40" s="463"/>
      <c r="O40" s="463"/>
      <c r="P40" s="463"/>
    </row>
    <row r="41" spans="2:16" s="461" customFormat="1" ht="24" customHeight="1" thickBot="1" x14ac:dyDescent="0.25">
      <c r="B41" s="993"/>
      <c r="C41" s="557" t="s">
        <v>156</v>
      </c>
      <c r="D41" s="474" t="s">
        <v>136</v>
      </c>
      <c r="E41" s="475" t="s">
        <v>137</v>
      </c>
      <c r="F41" s="476"/>
      <c r="G41" s="477" t="s">
        <v>12</v>
      </c>
      <c r="H41" s="534">
        <f>'04_PopisPoloziek'!I203</f>
        <v>17.64</v>
      </c>
      <c r="J41" s="636"/>
      <c r="K41" s="479">
        <f t="shared" si="0"/>
        <v>0</v>
      </c>
      <c r="L41" s="463"/>
      <c r="M41" s="463"/>
      <c r="N41" s="463"/>
      <c r="O41" s="463"/>
      <c r="P41" s="463"/>
    </row>
    <row r="42" spans="2:16" s="461" customFormat="1" ht="24" customHeight="1" thickBot="1" x14ac:dyDescent="0.25">
      <c r="B42" s="993"/>
      <c r="C42" s="557" t="s">
        <v>156</v>
      </c>
      <c r="D42" s="474" t="s">
        <v>140</v>
      </c>
      <c r="E42" s="475" t="s">
        <v>141</v>
      </c>
      <c r="F42" s="476"/>
      <c r="G42" s="477" t="s">
        <v>5</v>
      </c>
      <c r="H42" s="534">
        <f>'04_PopisPoloziek'!I210</f>
        <v>1.70153</v>
      </c>
      <c r="J42" s="636"/>
      <c r="K42" s="479">
        <f t="shared" si="0"/>
        <v>0</v>
      </c>
      <c r="L42" s="463"/>
      <c r="M42" s="463"/>
      <c r="N42" s="463"/>
      <c r="O42" s="463"/>
      <c r="P42" s="463"/>
    </row>
    <row r="43" spans="2:16" s="461" customFormat="1" ht="24" customHeight="1" thickBot="1" x14ac:dyDescent="0.25">
      <c r="B43" s="993"/>
      <c r="C43" s="557" t="s">
        <v>156</v>
      </c>
      <c r="D43" s="474" t="s">
        <v>144</v>
      </c>
      <c r="E43" s="475" t="s">
        <v>189</v>
      </c>
      <c r="F43" s="533"/>
      <c r="G43" s="477" t="s">
        <v>51</v>
      </c>
      <c r="H43" s="534">
        <f>'04_PopisPoloziek'!I213</f>
        <v>13.946</v>
      </c>
      <c r="J43" s="636"/>
      <c r="K43" s="479">
        <f t="shared" si="0"/>
        <v>0</v>
      </c>
      <c r="L43" s="463"/>
      <c r="M43" s="463"/>
      <c r="N43" s="463"/>
      <c r="O43" s="463"/>
      <c r="P43" s="463"/>
    </row>
    <row r="44" spans="2:16" s="461" customFormat="1" ht="24" customHeight="1" thickBot="1" x14ac:dyDescent="0.25">
      <c r="B44" s="993"/>
      <c r="C44" s="557" t="s">
        <v>156</v>
      </c>
      <c r="D44" s="474" t="s">
        <v>145</v>
      </c>
      <c r="E44" s="475" t="s">
        <v>190</v>
      </c>
      <c r="F44" s="533"/>
      <c r="G44" s="477" t="s">
        <v>12</v>
      </c>
      <c r="H44" s="534">
        <f>'04_PopisPoloziek'!I221</f>
        <v>5.9130000000000003</v>
      </c>
      <c r="J44" s="636"/>
      <c r="K44" s="479">
        <f t="shared" si="0"/>
        <v>0</v>
      </c>
      <c r="L44" s="463"/>
      <c r="M44" s="463"/>
      <c r="N44" s="463"/>
      <c r="O44" s="463"/>
      <c r="P44" s="463"/>
    </row>
    <row r="45" spans="2:16" s="461" customFormat="1" ht="24" customHeight="1" thickBot="1" x14ac:dyDescent="0.25">
      <c r="B45" s="993"/>
      <c r="C45" s="557" t="s">
        <v>156</v>
      </c>
      <c r="D45" s="474" t="s">
        <v>147</v>
      </c>
      <c r="E45" s="475" t="s">
        <v>192</v>
      </c>
      <c r="F45" s="533"/>
      <c r="G45" s="477" t="s">
        <v>5</v>
      </c>
      <c r="H45" s="534">
        <f>'04_PopisPoloziek'!I225</f>
        <v>2.4507300000000001</v>
      </c>
      <c r="J45" s="636"/>
      <c r="K45" s="479">
        <f t="shared" si="0"/>
        <v>0</v>
      </c>
      <c r="L45" s="463"/>
      <c r="M45" s="463"/>
      <c r="N45" s="463"/>
      <c r="O45" s="463"/>
      <c r="P45" s="463"/>
    </row>
    <row r="46" spans="2:16" s="462" customFormat="1" ht="15.95" customHeight="1" thickBot="1" x14ac:dyDescent="0.25">
      <c r="B46" s="993"/>
      <c r="C46" s="557" t="s">
        <v>156</v>
      </c>
      <c r="D46" s="474" t="s">
        <v>204</v>
      </c>
      <c r="E46" s="475" t="s">
        <v>205</v>
      </c>
      <c r="F46" s="558"/>
      <c r="G46" s="559" t="s">
        <v>25</v>
      </c>
      <c r="H46" s="560">
        <f>'04_PopisPoloziek'!I232</f>
        <v>17.2</v>
      </c>
      <c r="I46" s="461"/>
      <c r="J46" s="636"/>
      <c r="K46" s="479">
        <f t="shared" si="0"/>
        <v>0</v>
      </c>
      <c r="L46" s="463"/>
      <c r="M46" s="463"/>
      <c r="N46" s="463"/>
      <c r="O46" s="463"/>
      <c r="P46" s="463"/>
    </row>
    <row r="47" spans="2:16" s="462" customFormat="1" ht="24" customHeight="1" thickBot="1" x14ac:dyDescent="0.25">
      <c r="B47" s="993"/>
      <c r="C47" s="557" t="s">
        <v>156</v>
      </c>
      <c r="D47" s="561" t="s">
        <v>208</v>
      </c>
      <c r="E47" s="535" t="s">
        <v>209</v>
      </c>
      <c r="F47" s="562"/>
      <c r="G47" s="563" t="s">
        <v>51</v>
      </c>
      <c r="H47" s="534">
        <f>'04_PopisPoloziek'!I238</f>
        <v>35.200000000000003</v>
      </c>
      <c r="I47" s="461"/>
      <c r="J47" s="636"/>
      <c r="K47" s="479">
        <f t="shared" si="0"/>
        <v>0</v>
      </c>
      <c r="L47" s="463"/>
      <c r="M47" s="463"/>
      <c r="N47" s="463"/>
      <c r="O47" s="463"/>
      <c r="P47" s="463"/>
    </row>
    <row r="48" spans="2:16" s="462" customFormat="1" ht="15.95" customHeight="1" thickBot="1" x14ac:dyDescent="0.25">
      <c r="B48" s="993"/>
      <c r="C48" s="557" t="s">
        <v>156</v>
      </c>
      <c r="D48" s="564" t="s">
        <v>210</v>
      </c>
      <c r="E48" s="524" t="s">
        <v>211</v>
      </c>
      <c r="F48" s="525"/>
      <c r="G48" s="477" t="s">
        <v>25</v>
      </c>
      <c r="H48" s="565">
        <f>'04_PopisPoloziek'!I242</f>
        <v>64</v>
      </c>
      <c r="I48" s="461"/>
      <c r="J48" s="636"/>
      <c r="K48" s="479">
        <f t="shared" si="0"/>
        <v>0</v>
      </c>
      <c r="L48" s="463"/>
      <c r="M48" s="463"/>
      <c r="N48" s="463"/>
      <c r="O48" s="463"/>
      <c r="P48" s="463"/>
    </row>
    <row r="49" spans="2:16" s="462" customFormat="1" ht="15.95" customHeight="1" thickBot="1" x14ac:dyDescent="0.25">
      <c r="B49" s="993"/>
      <c r="C49" s="557" t="s">
        <v>156</v>
      </c>
      <c r="D49" s="474" t="s">
        <v>776</v>
      </c>
      <c r="E49" s="475" t="s">
        <v>777</v>
      </c>
      <c r="F49" s="533"/>
      <c r="G49" s="477" t="s">
        <v>25</v>
      </c>
      <c r="H49" s="534">
        <f>'04_PopisPoloziek'!I250</f>
        <v>5.6</v>
      </c>
      <c r="I49" s="461"/>
      <c r="J49" s="636"/>
      <c r="K49" s="479">
        <f t="shared" si="0"/>
        <v>0</v>
      </c>
      <c r="L49" s="463"/>
      <c r="M49" s="463"/>
      <c r="N49" s="463"/>
      <c r="O49" s="463"/>
      <c r="P49" s="463"/>
    </row>
    <row r="50" spans="2:16" s="461" customFormat="1" ht="15.95" customHeight="1" thickBot="1" x14ac:dyDescent="0.25">
      <c r="B50" s="993"/>
      <c r="C50" s="557" t="s">
        <v>156</v>
      </c>
      <c r="D50" s="561" t="s">
        <v>214</v>
      </c>
      <c r="E50" s="566" t="s">
        <v>215</v>
      </c>
      <c r="F50" s="567"/>
      <c r="G50" s="563" t="s">
        <v>8</v>
      </c>
      <c r="H50" s="534">
        <f>'04_PopisPoloziek'!I257</f>
        <v>4</v>
      </c>
      <c r="J50" s="636"/>
      <c r="K50" s="479">
        <f t="shared" si="0"/>
        <v>0</v>
      </c>
      <c r="L50" s="463"/>
      <c r="M50" s="463"/>
      <c r="N50" s="463"/>
      <c r="O50" s="463"/>
      <c r="P50" s="463"/>
    </row>
    <row r="51" spans="2:16" s="461" customFormat="1" ht="15.95" customHeight="1" thickBot="1" x14ac:dyDescent="0.25">
      <c r="B51" s="993"/>
      <c r="C51" s="557" t="s">
        <v>156</v>
      </c>
      <c r="D51" s="474" t="s">
        <v>218</v>
      </c>
      <c r="E51" s="475" t="s">
        <v>219</v>
      </c>
      <c r="F51" s="533"/>
      <c r="G51" s="477" t="s">
        <v>12</v>
      </c>
      <c r="H51" s="534">
        <f>'04_PopisPoloziek'!I260</f>
        <v>4.4000000000000004</v>
      </c>
      <c r="J51" s="636"/>
      <c r="K51" s="479">
        <f t="shared" si="0"/>
        <v>0</v>
      </c>
      <c r="L51" s="463"/>
      <c r="M51" s="463"/>
      <c r="N51" s="463"/>
      <c r="O51" s="463"/>
      <c r="P51" s="463"/>
    </row>
    <row r="52" spans="2:16" s="461" customFormat="1" ht="15.95" customHeight="1" thickBot="1" x14ac:dyDescent="0.25">
      <c r="B52" s="993"/>
      <c r="C52" s="557" t="s">
        <v>156</v>
      </c>
      <c r="D52" s="474" t="s">
        <v>222</v>
      </c>
      <c r="E52" s="475" t="s">
        <v>223</v>
      </c>
      <c r="F52" s="533"/>
      <c r="G52" s="477" t="s">
        <v>25</v>
      </c>
      <c r="H52" s="534">
        <f>'04_PopisPoloziek'!I266</f>
        <v>35.5</v>
      </c>
      <c r="J52" s="636"/>
      <c r="K52" s="479">
        <f t="shared" si="0"/>
        <v>0</v>
      </c>
      <c r="L52" s="463"/>
      <c r="M52" s="463"/>
      <c r="N52" s="463"/>
      <c r="O52" s="463"/>
      <c r="P52" s="463"/>
    </row>
    <row r="53" spans="2:16" s="462" customFormat="1" ht="15.95" customHeight="1" thickBot="1" x14ac:dyDescent="0.25">
      <c r="B53" s="993"/>
      <c r="C53" s="557" t="s">
        <v>156</v>
      </c>
      <c r="D53" s="474" t="s">
        <v>753</v>
      </c>
      <c r="E53" s="475" t="s">
        <v>754</v>
      </c>
      <c r="F53" s="533"/>
      <c r="G53" s="477" t="s">
        <v>25</v>
      </c>
      <c r="H53" s="534">
        <f>'04_PopisPoloziek'!I270</f>
        <v>20.7</v>
      </c>
      <c r="I53" s="461"/>
      <c r="J53" s="636"/>
      <c r="K53" s="479">
        <f t="shared" si="0"/>
        <v>0</v>
      </c>
      <c r="L53" s="463"/>
      <c r="M53" s="463"/>
      <c r="N53" s="463"/>
      <c r="O53" s="463"/>
      <c r="P53" s="463"/>
    </row>
    <row r="54" spans="2:16" ht="15.95" customHeight="1" thickBot="1" x14ac:dyDescent="0.25">
      <c r="B54" s="994"/>
      <c r="C54" s="568" t="s">
        <v>156</v>
      </c>
      <c r="D54" s="500" t="s">
        <v>226</v>
      </c>
      <c r="E54" s="569" t="s">
        <v>227</v>
      </c>
      <c r="F54" s="570"/>
      <c r="G54" s="503" t="s">
        <v>8</v>
      </c>
      <c r="H54" s="515">
        <f>'04_PopisPoloziek'!I277</f>
        <v>48</v>
      </c>
      <c r="J54" s="637"/>
      <c r="K54" s="479">
        <f t="shared" si="0"/>
        <v>0</v>
      </c>
    </row>
    <row r="55" spans="2:16" s="510" customFormat="1" ht="50.1" customHeight="1" thickBot="1" x14ac:dyDescent="0.25">
      <c r="B55" s="571" t="s">
        <v>977</v>
      </c>
      <c r="C55" s="572" t="s">
        <v>681</v>
      </c>
      <c r="D55" s="543" t="s">
        <v>840</v>
      </c>
      <c r="E55" s="573" t="s">
        <v>841</v>
      </c>
      <c r="F55" s="574"/>
      <c r="G55" s="546" t="s">
        <v>51</v>
      </c>
      <c r="H55" s="547">
        <f>'04_PopisPoloziek'!I286</f>
        <v>5.4</v>
      </c>
      <c r="I55" s="516"/>
      <c r="J55" s="641"/>
      <c r="K55" s="479">
        <f t="shared" si="0"/>
        <v>0</v>
      </c>
    </row>
    <row r="56" spans="2:16" s="461" customFormat="1" ht="24.75" thickBot="1" x14ac:dyDescent="0.25">
      <c r="B56" s="992" t="s">
        <v>979</v>
      </c>
      <c r="C56" s="550" t="s">
        <v>248</v>
      </c>
      <c r="D56" s="491" t="s">
        <v>228</v>
      </c>
      <c r="E56" s="575" t="s">
        <v>229</v>
      </c>
      <c r="F56" s="576"/>
      <c r="G56" s="494" t="s">
        <v>12</v>
      </c>
      <c r="H56" s="508">
        <f>'04_PopisPoloziek'!I293</f>
        <v>808.65599999999995</v>
      </c>
      <c r="J56" s="635"/>
      <c r="K56" s="479">
        <f t="shared" si="0"/>
        <v>0</v>
      </c>
      <c r="L56" s="463"/>
      <c r="M56" s="463"/>
      <c r="N56" s="463"/>
      <c r="O56" s="463"/>
      <c r="P56" s="463"/>
    </row>
    <row r="57" spans="2:16" s="461" customFormat="1" ht="24.75" thickBot="1" x14ac:dyDescent="0.25">
      <c r="B57" s="993"/>
      <c r="C57" s="557" t="s">
        <v>248</v>
      </c>
      <c r="D57" s="474" t="s">
        <v>380</v>
      </c>
      <c r="E57" s="475" t="s">
        <v>381</v>
      </c>
      <c r="F57" s="533"/>
      <c r="G57" s="477" t="s">
        <v>51</v>
      </c>
      <c r="H57" s="534">
        <f>'04_PopisPoloziek'!I301</f>
        <v>19.282560000000004</v>
      </c>
      <c r="J57" s="636"/>
      <c r="K57" s="479">
        <f t="shared" si="0"/>
        <v>0</v>
      </c>
      <c r="L57" s="463"/>
      <c r="M57" s="463"/>
      <c r="N57" s="463"/>
      <c r="O57" s="463"/>
      <c r="P57" s="463"/>
    </row>
    <row r="58" spans="2:16" s="461" customFormat="1" ht="24.75" thickBot="1" x14ac:dyDescent="0.25">
      <c r="B58" s="993"/>
      <c r="C58" s="557" t="s">
        <v>248</v>
      </c>
      <c r="D58" s="564" t="s">
        <v>832</v>
      </c>
      <c r="E58" s="524" t="s">
        <v>833</v>
      </c>
      <c r="F58" s="525"/>
      <c r="G58" s="477" t="s">
        <v>51</v>
      </c>
      <c r="H58" s="565">
        <f>'04_PopisPoloziek'!I308</f>
        <v>11.7568</v>
      </c>
      <c r="J58" s="636"/>
      <c r="K58" s="479">
        <f t="shared" si="0"/>
        <v>0</v>
      </c>
      <c r="L58" s="463"/>
      <c r="M58" s="463"/>
      <c r="N58" s="463"/>
      <c r="O58" s="463"/>
      <c r="P58" s="463"/>
    </row>
    <row r="59" spans="2:16" s="461" customFormat="1" ht="24.75" thickBot="1" x14ac:dyDescent="0.25">
      <c r="B59" s="993"/>
      <c r="C59" s="557" t="s">
        <v>248</v>
      </c>
      <c r="D59" s="474" t="s">
        <v>230</v>
      </c>
      <c r="E59" s="475" t="s">
        <v>231</v>
      </c>
      <c r="F59" s="533"/>
      <c r="G59" s="477" t="s">
        <v>12</v>
      </c>
      <c r="H59" s="534">
        <f>'04_PopisPoloziek'!I312</f>
        <v>3.702</v>
      </c>
      <c r="J59" s="636"/>
      <c r="K59" s="479">
        <f t="shared" si="0"/>
        <v>0</v>
      </c>
      <c r="L59" s="463"/>
      <c r="M59" s="463"/>
      <c r="N59" s="463"/>
      <c r="O59" s="463"/>
      <c r="P59" s="463"/>
    </row>
    <row r="60" spans="2:16" s="461" customFormat="1" ht="24.75" thickBot="1" x14ac:dyDescent="0.25">
      <c r="B60" s="993"/>
      <c r="C60" s="557" t="s">
        <v>248</v>
      </c>
      <c r="D60" s="564" t="s">
        <v>234</v>
      </c>
      <c r="E60" s="524" t="s">
        <v>456</v>
      </c>
      <c r="F60" s="525"/>
      <c r="G60" s="477" t="s">
        <v>25</v>
      </c>
      <c r="H60" s="565">
        <f>'04_PopisPoloziek'!I319</f>
        <v>117.10000000000001</v>
      </c>
      <c r="J60" s="636"/>
      <c r="K60" s="479">
        <f t="shared" si="0"/>
        <v>0</v>
      </c>
      <c r="L60" s="463"/>
      <c r="M60" s="463"/>
      <c r="N60" s="463"/>
      <c r="O60" s="463"/>
      <c r="P60" s="463"/>
    </row>
    <row r="61" spans="2:16" s="461" customFormat="1" ht="24.75" thickBot="1" x14ac:dyDescent="0.25">
      <c r="B61" s="993"/>
      <c r="C61" s="557" t="s">
        <v>248</v>
      </c>
      <c r="D61" s="474" t="s">
        <v>238</v>
      </c>
      <c r="E61" s="475" t="s">
        <v>239</v>
      </c>
      <c r="F61" s="533"/>
      <c r="G61" s="477" t="s">
        <v>8</v>
      </c>
      <c r="H61" s="534">
        <f>'04_PopisPoloziek'!I326</f>
        <v>2</v>
      </c>
      <c r="J61" s="636"/>
      <c r="K61" s="479">
        <f t="shared" si="0"/>
        <v>0</v>
      </c>
      <c r="L61" s="463"/>
      <c r="M61" s="463"/>
      <c r="N61" s="463"/>
      <c r="O61" s="463"/>
      <c r="P61" s="463"/>
    </row>
    <row r="62" spans="2:16" s="461" customFormat="1" ht="13.5" thickBot="1" x14ac:dyDescent="0.25">
      <c r="B62" s="993"/>
      <c r="C62" s="557" t="s">
        <v>248</v>
      </c>
      <c r="D62" s="474" t="s">
        <v>240</v>
      </c>
      <c r="E62" s="475" t="s">
        <v>241</v>
      </c>
      <c r="F62" s="533"/>
      <c r="G62" s="477" t="s">
        <v>25</v>
      </c>
      <c r="H62" s="534">
        <f>'04_PopisPoloziek'!I330</f>
        <v>15.6</v>
      </c>
      <c r="J62" s="636"/>
      <c r="K62" s="479">
        <f t="shared" si="0"/>
        <v>0</v>
      </c>
      <c r="L62" s="463"/>
      <c r="M62" s="463"/>
      <c r="N62" s="463"/>
      <c r="O62" s="463"/>
      <c r="P62" s="463"/>
    </row>
    <row r="63" spans="2:16" s="461" customFormat="1" ht="13.5" thickBot="1" x14ac:dyDescent="0.25">
      <c r="B63" s="994"/>
      <c r="C63" s="577" t="s">
        <v>248</v>
      </c>
      <c r="D63" s="578" t="s">
        <v>246</v>
      </c>
      <c r="E63" s="579" t="s">
        <v>247</v>
      </c>
      <c r="F63" s="580"/>
      <c r="G63" s="503" t="s">
        <v>25</v>
      </c>
      <c r="H63" s="581">
        <f>'04_PopisPoloziek'!I338</f>
        <v>10</v>
      </c>
      <c r="J63" s="637"/>
      <c r="K63" s="479">
        <f t="shared" si="0"/>
        <v>0</v>
      </c>
      <c r="L63" s="463"/>
      <c r="M63" s="463"/>
      <c r="N63" s="463"/>
      <c r="O63" s="463"/>
      <c r="P63" s="463"/>
    </row>
    <row r="64" spans="2:16" s="461" customFormat="1" ht="54.75" customHeight="1" thickBot="1" x14ac:dyDescent="0.25">
      <c r="B64" s="571" t="s">
        <v>978</v>
      </c>
      <c r="C64" s="582" t="s">
        <v>612</v>
      </c>
      <c r="D64" s="543" t="s">
        <v>846</v>
      </c>
      <c r="E64" s="573" t="s">
        <v>847</v>
      </c>
      <c r="F64" s="574"/>
      <c r="G64" s="546" t="s">
        <v>51</v>
      </c>
      <c r="H64" s="547">
        <f>'04_PopisPoloziek'!I345</f>
        <v>84.550000000000011</v>
      </c>
      <c r="J64" s="642"/>
      <c r="K64" s="479">
        <f t="shared" si="0"/>
        <v>0</v>
      </c>
      <c r="L64" s="463"/>
      <c r="M64" s="463"/>
      <c r="N64" s="463"/>
      <c r="O64" s="463"/>
      <c r="P64" s="463"/>
    </row>
    <row r="65" spans="2:16" s="516" customFormat="1" ht="18.95" customHeight="1" thickBot="1" x14ac:dyDescent="0.25">
      <c r="B65" s="1022" t="s">
        <v>980</v>
      </c>
      <c r="C65" s="583" t="s">
        <v>70</v>
      </c>
      <c r="D65" s="584" t="s">
        <v>27</v>
      </c>
      <c r="E65" s="585" t="s">
        <v>28</v>
      </c>
      <c r="F65" s="586"/>
      <c r="G65" s="587" t="s">
        <v>51</v>
      </c>
      <c r="H65" s="588">
        <f>'04_PopisPoloziek'!I353</f>
        <v>4</v>
      </c>
      <c r="J65" s="638"/>
      <c r="K65" s="479">
        <f t="shared" si="0"/>
        <v>0</v>
      </c>
      <c r="L65" s="510"/>
      <c r="M65" s="510"/>
      <c r="N65" s="510"/>
      <c r="O65" s="510"/>
      <c r="P65" s="510"/>
    </row>
    <row r="66" spans="2:16" s="516" customFormat="1" ht="18.95" customHeight="1" thickBot="1" x14ac:dyDescent="0.25">
      <c r="B66" s="1023"/>
      <c r="C66" s="568" t="s">
        <v>70</v>
      </c>
      <c r="D66" s="500" t="s">
        <v>74</v>
      </c>
      <c r="E66" s="501" t="s">
        <v>75</v>
      </c>
      <c r="F66" s="589"/>
      <c r="G66" s="503" t="s">
        <v>12</v>
      </c>
      <c r="H66" s="515">
        <f>'04_PopisPoloziek'!I359</f>
        <v>60.65</v>
      </c>
      <c r="J66" s="639"/>
      <c r="K66" s="479">
        <f t="shared" si="0"/>
        <v>0</v>
      </c>
      <c r="L66" s="510"/>
      <c r="M66" s="510"/>
      <c r="N66" s="510"/>
      <c r="O66" s="510"/>
      <c r="P66" s="510"/>
    </row>
    <row r="67" spans="2:16" s="461" customFormat="1" ht="24.75" thickBot="1" x14ac:dyDescent="0.25">
      <c r="B67" s="992" t="s">
        <v>981</v>
      </c>
      <c r="C67" s="583" t="s">
        <v>86</v>
      </c>
      <c r="D67" s="584" t="s">
        <v>927</v>
      </c>
      <c r="E67" s="590" t="s">
        <v>928</v>
      </c>
      <c r="F67" s="586"/>
      <c r="G67" s="587" t="s">
        <v>51</v>
      </c>
      <c r="H67" s="588">
        <f>'04_PopisPoloziek'!I368</f>
        <v>5</v>
      </c>
      <c r="J67" s="635"/>
      <c r="K67" s="479">
        <f t="shared" si="0"/>
        <v>0</v>
      </c>
      <c r="L67" s="463"/>
      <c r="M67" s="463"/>
      <c r="N67" s="463"/>
      <c r="O67" s="463"/>
      <c r="P67" s="463"/>
    </row>
    <row r="68" spans="2:16" s="595" customFormat="1" ht="15.95" customHeight="1" thickBot="1" x14ac:dyDescent="0.25">
      <c r="B68" s="994"/>
      <c r="C68" s="591" t="s">
        <v>86</v>
      </c>
      <c r="D68" s="592" t="s">
        <v>88</v>
      </c>
      <c r="E68" s="593" t="s">
        <v>89</v>
      </c>
      <c r="F68" s="594"/>
      <c r="G68" s="539" t="s">
        <v>25</v>
      </c>
      <c r="H68" s="540">
        <f>'04_PopisPoloziek'!I374</f>
        <v>40</v>
      </c>
      <c r="J68" s="643"/>
      <c r="K68" s="479">
        <f t="shared" si="0"/>
        <v>0</v>
      </c>
      <c r="L68" s="596"/>
      <c r="M68" s="596"/>
      <c r="N68" s="596"/>
      <c r="O68" s="596"/>
      <c r="P68" s="596"/>
    </row>
    <row r="69" spans="2:16" s="461" customFormat="1" ht="15.95" customHeight="1" thickBot="1" x14ac:dyDescent="0.25">
      <c r="B69" s="1013" t="s">
        <v>982</v>
      </c>
      <c r="C69" s="597" t="s">
        <v>696</v>
      </c>
      <c r="D69" s="598" t="s">
        <v>24</v>
      </c>
      <c r="E69" s="575" t="s">
        <v>1</v>
      </c>
      <c r="F69" s="520"/>
      <c r="G69" s="494" t="s">
        <v>51</v>
      </c>
      <c r="H69" s="521">
        <f>'04_PopisPoloziek'!I382</f>
        <v>1.0499999999999998</v>
      </c>
      <c r="J69" s="635"/>
      <c r="K69" s="479">
        <f t="shared" si="0"/>
        <v>0</v>
      </c>
      <c r="L69" s="463"/>
      <c r="M69" s="463"/>
      <c r="N69" s="463"/>
      <c r="O69" s="463"/>
      <c r="P69" s="463"/>
    </row>
    <row r="70" spans="2:16" s="461" customFormat="1" ht="15.95" customHeight="1" thickBot="1" x14ac:dyDescent="0.25">
      <c r="B70" s="1014"/>
      <c r="C70" s="599" t="s">
        <v>696</v>
      </c>
      <c r="D70" s="527" t="s">
        <v>41</v>
      </c>
      <c r="E70" s="475" t="s">
        <v>6</v>
      </c>
      <c r="F70" s="525"/>
      <c r="G70" s="477" t="s">
        <v>12</v>
      </c>
      <c r="H70" s="565">
        <f>'04_PopisPoloziek'!I388</f>
        <v>9.7299999999999969</v>
      </c>
      <c r="J70" s="636"/>
      <c r="K70" s="479">
        <f t="shared" si="0"/>
        <v>0</v>
      </c>
      <c r="L70" s="463"/>
      <c r="M70" s="463"/>
      <c r="N70" s="463"/>
      <c r="O70" s="463"/>
      <c r="P70" s="463"/>
    </row>
    <row r="71" spans="2:16" s="461" customFormat="1" ht="15.95" customHeight="1" thickBot="1" x14ac:dyDescent="0.25">
      <c r="B71" s="1014"/>
      <c r="C71" s="599" t="s">
        <v>696</v>
      </c>
      <c r="D71" s="600" t="s">
        <v>686</v>
      </c>
      <c r="E71" s="566" t="s">
        <v>687</v>
      </c>
      <c r="F71" s="601"/>
      <c r="G71" s="602" t="s">
        <v>51</v>
      </c>
      <c r="H71" s="603">
        <f>'04_PopisPoloziek'!I395</f>
        <v>19.2</v>
      </c>
      <c r="J71" s="636"/>
      <c r="K71" s="479">
        <f t="shared" si="0"/>
        <v>0</v>
      </c>
      <c r="L71" s="463"/>
      <c r="M71" s="463"/>
      <c r="N71" s="463"/>
      <c r="O71" s="463"/>
      <c r="P71" s="463"/>
    </row>
    <row r="72" spans="2:16" s="461" customFormat="1" ht="15.95" customHeight="1" thickBot="1" x14ac:dyDescent="0.25">
      <c r="B72" s="1014"/>
      <c r="C72" s="599" t="s">
        <v>696</v>
      </c>
      <c r="D72" s="604" t="s">
        <v>52</v>
      </c>
      <c r="E72" s="535" t="s">
        <v>55</v>
      </c>
      <c r="F72" s="562"/>
      <c r="G72" s="563" t="s">
        <v>51</v>
      </c>
      <c r="H72" s="534">
        <f>'04_PopisPoloziek'!I400</f>
        <v>8.5939999999999994</v>
      </c>
      <c r="J72" s="636"/>
      <c r="K72" s="479">
        <f t="shared" si="0"/>
        <v>0</v>
      </c>
      <c r="L72" s="463"/>
      <c r="M72" s="463"/>
      <c r="N72" s="463"/>
      <c r="O72" s="463"/>
      <c r="P72" s="463"/>
    </row>
    <row r="73" spans="2:16" s="461" customFormat="1" ht="15.95" customHeight="1" thickBot="1" x14ac:dyDescent="0.25">
      <c r="B73" s="1015"/>
      <c r="C73" s="577" t="s">
        <v>696</v>
      </c>
      <c r="D73" s="605" t="s">
        <v>58</v>
      </c>
      <c r="E73" s="569" t="s">
        <v>64</v>
      </c>
      <c r="F73" s="580"/>
      <c r="G73" s="503" t="s">
        <v>5</v>
      </c>
      <c r="H73" s="581">
        <f>'04_PopisPoloziek'!I407</f>
        <v>4.4755199999999995E-2</v>
      </c>
      <c r="J73" s="637"/>
      <c r="K73" s="479">
        <f t="shared" ref="K73:K81" si="1">H73*J73</f>
        <v>0</v>
      </c>
      <c r="L73" s="463"/>
      <c r="M73" s="463"/>
      <c r="N73" s="463"/>
      <c r="O73" s="463"/>
      <c r="P73" s="463"/>
    </row>
    <row r="74" spans="2:16" s="461" customFormat="1" ht="15.95" customHeight="1" thickBot="1" x14ac:dyDescent="0.25">
      <c r="B74" s="1016" t="s">
        <v>983</v>
      </c>
      <c r="C74" s="606" t="s">
        <v>78</v>
      </c>
      <c r="D74" s="504" t="s">
        <v>29</v>
      </c>
      <c r="E74" s="607" t="s">
        <v>50</v>
      </c>
      <c r="F74" s="506"/>
      <c r="G74" s="507" t="s">
        <v>12</v>
      </c>
      <c r="H74" s="508">
        <f>'04_PopisPoloziek'!I414</f>
        <v>101.74</v>
      </c>
      <c r="J74" s="635"/>
      <c r="K74" s="479">
        <f t="shared" si="1"/>
        <v>0</v>
      </c>
      <c r="L74" s="463"/>
      <c r="M74" s="463"/>
      <c r="N74" s="463"/>
      <c r="O74" s="463"/>
      <c r="P74" s="463"/>
    </row>
    <row r="75" spans="2:16" s="461" customFormat="1" ht="13.5" thickBot="1" x14ac:dyDescent="0.25">
      <c r="B75" s="1017"/>
      <c r="C75" s="557" t="s">
        <v>78</v>
      </c>
      <c r="D75" s="474" t="s">
        <v>46</v>
      </c>
      <c r="E75" s="475" t="s">
        <v>43</v>
      </c>
      <c r="F75" s="533"/>
      <c r="G75" s="477" t="s">
        <v>12</v>
      </c>
      <c r="H75" s="534">
        <f>'04_PopisPoloziek'!I426</f>
        <v>96.875999999999991</v>
      </c>
      <c r="J75" s="636"/>
      <c r="K75" s="479">
        <f t="shared" si="1"/>
        <v>0</v>
      </c>
      <c r="L75" s="463"/>
      <c r="M75" s="463"/>
      <c r="N75" s="463"/>
      <c r="O75" s="463"/>
      <c r="P75" s="463"/>
    </row>
    <row r="76" spans="2:16" s="461" customFormat="1" ht="13.5" thickBot="1" x14ac:dyDescent="0.25">
      <c r="B76" s="1018"/>
      <c r="C76" s="568" t="s">
        <v>78</v>
      </c>
      <c r="D76" s="500" t="s">
        <v>48</v>
      </c>
      <c r="E76" s="569" t="s">
        <v>19</v>
      </c>
      <c r="F76" s="570"/>
      <c r="G76" s="503" t="s">
        <v>12</v>
      </c>
      <c r="H76" s="515">
        <f>'04_PopisPoloziek'!I430</f>
        <v>147.07599999999999</v>
      </c>
      <c r="J76" s="637"/>
      <c r="K76" s="479">
        <f t="shared" si="1"/>
        <v>0</v>
      </c>
      <c r="L76" s="463"/>
      <c r="M76" s="463"/>
      <c r="N76" s="463"/>
      <c r="O76" s="463"/>
      <c r="P76" s="463"/>
    </row>
    <row r="77" spans="2:16" s="510" customFormat="1" ht="15.95" customHeight="1" thickBot="1" x14ac:dyDescent="0.25">
      <c r="B77" s="608" t="s">
        <v>984</v>
      </c>
      <c r="C77" s="582" t="s">
        <v>80</v>
      </c>
      <c r="D77" s="543" t="s">
        <v>82</v>
      </c>
      <c r="E77" s="573" t="s">
        <v>83</v>
      </c>
      <c r="F77" s="545"/>
      <c r="G77" s="546" t="s">
        <v>25</v>
      </c>
      <c r="H77" s="547">
        <f>'04_PopisPoloziek'!I440</f>
        <v>29.5</v>
      </c>
      <c r="I77" s="516"/>
      <c r="J77" s="641"/>
      <c r="K77" s="479">
        <f t="shared" si="1"/>
        <v>0</v>
      </c>
    </row>
    <row r="78" spans="2:16" s="556" customFormat="1" ht="24.75" thickBot="1" x14ac:dyDescent="0.25">
      <c r="B78" s="992" t="s">
        <v>985</v>
      </c>
      <c r="C78" s="609" t="s">
        <v>412</v>
      </c>
      <c r="D78" s="491" t="s">
        <v>438</v>
      </c>
      <c r="E78" s="575" t="s">
        <v>439</v>
      </c>
      <c r="F78" s="610"/>
      <c r="G78" s="494" t="s">
        <v>12</v>
      </c>
      <c r="H78" s="611">
        <f>'04_PopisPoloziek'!I447</f>
        <v>92.736000000000004</v>
      </c>
      <c r="I78" s="555"/>
      <c r="J78" s="635"/>
      <c r="K78" s="479">
        <f t="shared" si="1"/>
        <v>0</v>
      </c>
    </row>
    <row r="79" spans="2:16" s="461" customFormat="1" ht="15.95" customHeight="1" thickBot="1" x14ac:dyDescent="0.25">
      <c r="B79" s="993"/>
      <c r="C79" s="612" t="s">
        <v>412</v>
      </c>
      <c r="D79" s="474" t="s">
        <v>441</v>
      </c>
      <c r="E79" s="475" t="s">
        <v>442</v>
      </c>
      <c r="F79" s="613"/>
      <c r="G79" s="477" t="s">
        <v>12</v>
      </c>
      <c r="H79" s="614">
        <f>'04_PopisPoloziek'!I451</f>
        <v>139.10400000000001</v>
      </c>
      <c r="J79" s="636"/>
      <c r="K79" s="479">
        <f t="shared" si="1"/>
        <v>0</v>
      </c>
      <c r="L79" s="463"/>
      <c r="M79" s="463"/>
      <c r="N79" s="463"/>
      <c r="O79" s="463"/>
      <c r="P79" s="463"/>
    </row>
    <row r="80" spans="2:16" s="461" customFormat="1" ht="15.95" customHeight="1" thickBot="1" x14ac:dyDescent="0.25">
      <c r="B80" s="994"/>
      <c r="C80" s="615" t="s">
        <v>412</v>
      </c>
      <c r="D80" s="500" t="s">
        <v>443</v>
      </c>
      <c r="E80" s="569" t="s">
        <v>444</v>
      </c>
      <c r="F80" s="616"/>
      <c r="G80" s="503" t="s">
        <v>12</v>
      </c>
      <c r="H80" s="617">
        <f>'04_PopisPoloziek'!I458</f>
        <v>206.25900000000004</v>
      </c>
      <c r="J80" s="637"/>
      <c r="K80" s="479">
        <f t="shared" si="1"/>
        <v>0</v>
      </c>
      <c r="L80" s="463"/>
      <c r="M80" s="463"/>
      <c r="N80" s="463"/>
      <c r="O80" s="463"/>
      <c r="P80" s="463"/>
    </row>
    <row r="81" spans="2:16" s="461" customFormat="1" ht="50.1" customHeight="1" thickBot="1" x14ac:dyDescent="0.25">
      <c r="B81" s="618" t="s">
        <v>986</v>
      </c>
      <c r="C81" s="619" t="s">
        <v>414</v>
      </c>
      <c r="D81" s="620" t="s">
        <v>859</v>
      </c>
      <c r="E81" s="573" t="s">
        <v>860</v>
      </c>
      <c r="F81" s="621"/>
      <c r="G81" s="622" t="s">
        <v>12</v>
      </c>
      <c r="H81" s="623">
        <f>'04_PopisPoloziek'!I474</f>
        <v>272.42700000000002</v>
      </c>
      <c r="J81" s="642"/>
      <c r="K81" s="479">
        <f t="shared" si="1"/>
        <v>0</v>
      </c>
      <c r="L81" s="463"/>
      <c r="M81" s="463"/>
      <c r="N81" s="463"/>
      <c r="O81" s="463"/>
      <c r="P81" s="463"/>
    </row>
    <row r="82" spans="2:16" s="461" customFormat="1" ht="15.95" customHeight="1" x14ac:dyDescent="0.2">
      <c r="B82" s="556"/>
      <c r="C82" s="556"/>
      <c r="D82" s="463"/>
      <c r="E82" s="463"/>
      <c r="F82" s="624"/>
      <c r="G82" s="463"/>
      <c r="H82" s="625"/>
      <c r="J82" s="626" t="s">
        <v>987</v>
      </c>
      <c r="K82" s="627">
        <f>SUM(K8:K81)</f>
        <v>0</v>
      </c>
      <c r="L82" s="463"/>
      <c r="M82" s="463"/>
      <c r="N82" s="463"/>
      <c r="O82" s="463"/>
      <c r="P82" s="463"/>
    </row>
    <row r="83" spans="2:16" s="461" customFormat="1" ht="15.95" customHeight="1" x14ac:dyDescent="0.2">
      <c r="B83" s="556"/>
      <c r="C83" s="556"/>
      <c r="D83" s="463"/>
      <c r="E83" s="463"/>
      <c r="F83" s="624"/>
      <c r="G83" s="463"/>
      <c r="H83" s="625"/>
      <c r="J83" s="628" t="s">
        <v>988</v>
      </c>
      <c r="K83" s="629">
        <f>K82*0.2</f>
        <v>0</v>
      </c>
      <c r="L83" s="463"/>
      <c r="M83" s="463"/>
      <c r="N83" s="463"/>
      <c r="O83" s="463"/>
      <c r="P83" s="463"/>
    </row>
    <row r="84" spans="2:16" s="461" customFormat="1" ht="15.95" customHeight="1" thickBot="1" x14ac:dyDescent="0.25">
      <c r="B84" s="556"/>
      <c r="C84" s="630"/>
      <c r="D84" s="631"/>
      <c r="E84" s="463"/>
      <c r="F84" s="624"/>
      <c r="G84" s="631"/>
      <c r="H84" s="632"/>
      <c r="J84" s="633" t="s">
        <v>989</v>
      </c>
      <c r="K84" s="634">
        <f>SUM(K82:K83)</f>
        <v>0</v>
      </c>
      <c r="L84" s="463"/>
      <c r="M84" s="463"/>
      <c r="N84" s="463"/>
      <c r="O84" s="463"/>
      <c r="P84" s="463"/>
    </row>
    <row r="85" spans="2:16" s="461" customFormat="1" x14ac:dyDescent="0.2">
      <c r="B85" s="556"/>
      <c r="C85" s="556"/>
      <c r="D85" s="463"/>
      <c r="E85" s="463"/>
      <c r="F85" s="624"/>
      <c r="G85" s="463"/>
      <c r="H85" s="625"/>
      <c r="J85" s="462"/>
      <c r="K85" s="463"/>
      <c r="L85" s="463"/>
      <c r="M85" s="463"/>
      <c r="N85" s="463"/>
      <c r="O85" s="463"/>
      <c r="P85" s="463"/>
    </row>
    <row r="86" spans="2:16" s="461" customFormat="1" x14ac:dyDescent="0.2">
      <c r="B86" s="556"/>
      <c r="C86" s="556"/>
      <c r="D86" s="463"/>
      <c r="E86" s="463"/>
      <c r="F86" s="624"/>
      <c r="G86" s="463"/>
      <c r="H86" s="625"/>
      <c r="J86" s="462"/>
      <c r="K86" s="463"/>
      <c r="L86" s="463"/>
      <c r="M86" s="463"/>
      <c r="N86" s="463"/>
      <c r="O86" s="463"/>
      <c r="P86" s="463"/>
    </row>
    <row r="87" spans="2:16" s="461" customFormat="1" x14ac:dyDescent="0.2">
      <c r="B87" s="556"/>
      <c r="C87" s="556"/>
      <c r="D87" s="463"/>
      <c r="E87" s="463"/>
      <c r="F87" s="624"/>
      <c r="G87" s="463"/>
      <c r="H87" s="625"/>
      <c r="J87" s="462"/>
      <c r="K87" s="463"/>
      <c r="L87" s="463"/>
      <c r="M87" s="463"/>
      <c r="N87" s="463"/>
      <c r="O87" s="463"/>
      <c r="P87" s="463"/>
    </row>
    <row r="88" spans="2:16" s="461" customFormat="1" x14ac:dyDescent="0.2">
      <c r="B88" s="556"/>
      <c r="C88" s="556"/>
      <c r="D88" s="463"/>
      <c r="E88" s="463"/>
      <c r="F88" s="624"/>
      <c r="G88" s="463"/>
      <c r="H88" s="625"/>
      <c r="J88" s="462"/>
      <c r="K88" s="463"/>
      <c r="L88" s="463"/>
      <c r="M88" s="463"/>
      <c r="N88" s="463"/>
      <c r="O88" s="463"/>
      <c r="P88" s="463"/>
    </row>
    <row r="91" spans="2:16" s="461" customFormat="1" ht="15.75" customHeight="1" x14ac:dyDescent="0.2">
      <c r="B91" s="556"/>
      <c r="C91" s="556"/>
      <c r="D91" s="463"/>
      <c r="E91" s="463"/>
      <c r="F91" s="624"/>
      <c r="G91" s="463"/>
      <c r="H91" s="625"/>
      <c r="J91" s="462"/>
      <c r="K91" s="463"/>
      <c r="L91" s="463"/>
      <c r="M91" s="463"/>
      <c r="N91" s="463"/>
      <c r="O91" s="463"/>
      <c r="P91" s="463"/>
    </row>
  </sheetData>
  <sheetProtection algorithmName="SHA-512" hashValue="V1BQSvDuIK/OY+6adptXLm6kY2I45DNWVn820x0CXnEQPe6LpHCXdhgTFhXLKxnZO0ed8DAjoM6eJ0MF1acTXA==" saltValue="iOGT1broqP+2RtFLPacNjQ==" spinCount="100000" sheet="1" objects="1" scenarios="1" selectLockedCells="1"/>
  <mergeCells count="20">
    <mergeCell ref="B67:B68"/>
    <mergeCell ref="B69:B73"/>
    <mergeCell ref="B74:B76"/>
    <mergeCell ref="B78:B80"/>
    <mergeCell ref="B24:B25"/>
    <mergeCell ref="B26:B32"/>
    <mergeCell ref="B34:B54"/>
    <mergeCell ref="B56:B63"/>
    <mergeCell ref="B65:B66"/>
    <mergeCell ref="J6:J7"/>
    <mergeCell ref="K6:K7"/>
    <mergeCell ref="B8:B13"/>
    <mergeCell ref="C1:H1"/>
    <mergeCell ref="C2:E2"/>
    <mergeCell ref="B14:B23"/>
    <mergeCell ref="E6:F7"/>
    <mergeCell ref="G6:G7"/>
    <mergeCell ref="H6:H7"/>
    <mergeCell ref="B6:B7"/>
    <mergeCell ref="C6:D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AEC7-8195-495C-BF0C-9DC17C1A5D86}">
  <dimension ref="B1:P91"/>
  <sheetViews>
    <sheetView view="pageBreakPreview" zoomScaleNormal="120" zoomScaleSheetLayoutView="100" workbookViewId="0">
      <pane ySplit="7" topLeftCell="A8" activePane="bottomLeft" state="frozen"/>
      <selection pane="bottomLeft" activeCell="J59" sqref="J59"/>
    </sheetView>
  </sheetViews>
  <sheetFormatPr defaultRowHeight="12.75" x14ac:dyDescent="0.2"/>
  <cols>
    <col min="1" max="1" width="3.28515625" style="463" customWidth="1"/>
    <col min="2" max="2" width="24.7109375" style="556" customWidth="1"/>
    <col min="3" max="3" width="9.7109375" style="556" customWidth="1"/>
    <col min="4" max="4" width="9.7109375" style="463" customWidth="1"/>
    <col min="5" max="5" width="60.7109375" style="463" customWidth="1"/>
    <col min="6" max="6" width="9.7109375" style="624" customWidth="1"/>
    <col min="7" max="7" width="5" style="463" bestFit="1" customWidth="1"/>
    <col min="8" max="8" width="13.7109375" style="625" customWidth="1"/>
    <col min="9" max="9" width="1" style="461" customWidth="1"/>
    <col min="10" max="10" width="17.28515625" style="462" customWidth="1"/>
    <col min="11" max="11" width="14.7109375" style="463" customWidth="1"/>
    <col min="12" max="16384" width="9.140625" style="463"/>
  </cols>
  <sheetData>
    <row r="1" spans="2:16" ht="25.5" customHeight="1" x14ac:dyDescent="0.2">
      <c r="B1" s="460" t="s">
        <v>626</v>
      </c>
      <c r="C1" s="982" t="s">
        <v>724</v>
      </c>
      <c r="D1" s="982"/>
      <c r="E1" s="982"/>
      <c r="F1" s="982"/>
      <c r="G1" s="982"/>
      <c r="H1" s="982"/>
    </row>
    <row r="2" spans="2:16" ht="12.75" customHeight="1" x14ac:dyDescent="0.2">
      <c r="B2" s="460" t="s">
        <v>149</v>
      </c>
      <c r="C2" s="983" t="s">
        <v>725</v>
      </c>
      <c r="D2" s="983"/>
      <c r="E2" s="983"/>
      <c r="F2" s="464"/>
      <c r="G2" s="465"/>
      <c r="H2" s="466"/>
    </row>
    <row r="3" spans="2:16" x14ac:dyDescent="0.2">
      <c r="B3" s="460"/>
      <c r="C3" s="460"/>
      <c r="D3" s="467"/>
      <c r="E3" s="468"/>
      <c r="F3" s="464"/>
      <c r="G3" s="465"/>
      <c r="H3" s="466"/>
    </row>
    <row r="4" spans="2:16" ht="15.75" x14ac:dyDescent="0.2">
      <c r="B4" s="469" t="s">
        <v>990</v>
      </c>
      <c r="C4" s="460"/>
      <c r="D4" s="467"/>
      <c r="E4" s="468"/>
      <c r="F4" s="464"/>
      <c r="G4" s="465"/>
      <c r="H4" s="466"/>
    </row>
    <row r="5" spans="2:16" ht="13.5" thickBot="1" x14ac:dyDescent="0.25">
      <c r="B5" s="460"/>
      <c r="C5" s="460"/>
      <c r="D5" s="467"/>
      <c r="E5" s="470"/>
      <c r="F5" s="464"/>
      <c r="G5" s="465"/>
      <c r="H5" s="466"/>
    </row>
    <row r="6" spans="2:16" x14ac:dyDescent="0.2">
      <c r="B6" s="1003" t="s">
        <v>963</v>
      </c>
      <c r="C6" s="1005" t="s">
        <v>964</v>
      </c>
      <c r="D6" s="1006"/>
      <c r="E6" s="995" t="s">
        <v>965</v>
      </c>
      <c r="F6" s="996"/>
      <c r="G6" s="999" t="s">
        <v>153</v>
      </c>
      <c r="H6" s="1001" t="s">
        <v>966</v>
      </c>
      <c r="I6" s="471"/>
      <c r="J6" s="1009" t="s">
        <v>967</v>
      </c>
      <c r="K6" s="1011" t="s">
        <v>957</v>
      </c>
    </row>
    <row r="7" spans="2:16" ht="13.5" thickBot="1" x14ac:dyDescent="0.25">
      <c r="B7" s="1004"/>
      <c r="C7" s="1007"/>
      <c r="D7" s="1008"/>
      <c r="E7" s="997"/>
      <c r="F7" s="998"/>
      <c r="G7" s="1000"/>
      <c r="H7" s="1002"/>
      <c r="I7" s="472"/>
      <c r="J7" s="1010"/>
      <c r="K7" s="1012"/>
    </row>
    <row r="8" spans="2:16" s="461" customFormat="1" ht="15.95" customHeight="1" x14ac:dyDescent="0.2">
      <c r="B8" s="1022" t="s">
        <v>725</v>
      </c>
      <c r="C8" s="473" t="s">
        <v>969</v>
      </c>
      <c r="D8" s="474" t="s">
        <v>869</v>
      </c>
      <c r="E8" s="475" t="s">
        <v>870</v>
      </c>
      <c r="F8" s="476"/>
      <c r="G8" s="477" t="s">
        <v>5</v>
      </c>
      <c r="H8" s="478">
        <f>'02_SupisPrac'!H8</f>
        <v>208.97</v>
      </c>
      <c r="J8" s="652">
        <f>'02_SupisPrac'!J8</f>
        <v>0</v>
      </c>
      <c r="K8" s="479">
        <f>H8*J8</f>
        <v>0</v>
      </c>
      <c r="L8" s="463"/>
      <c r="M8" s="463"/>
      <c r="N8" s="463"/>
      <c r="O8" s="463"/>
      <c r="P8" s="463"/>
    </row>
    <row r="9" spans="2:16" s="461" customFormat="1" ht="15.95" customHeight="1" x14ac:dyDescent="0.2">
      <c r="B9" s="1024"/>
      <c r="C9" s="473" t="s">
        <v>969</v>
      </c>
      <c r="D9" s="474" t="s">
        <v>871</v>
      </c>
      <c r="E9" s="475" t="s">
        <v>872</v>
      </c>
      <c r="F9" s="476"/>
      <c r="G9" s="477" t="s">
        <v>51</v>
      </c>
      <c r="H9" s="478">
        <f>'02_SupisPrac'!H9</f>
        <v>127.6</v>
      </c>
      <c r="J9" s="653">
        <f>'02_SupisPrac'!J9</f>
        <v>0</v>
      </c>
      <c r="K9" s="654">
        <f t="shared" ref="K9:K72" si="0">H9*J9</f>
        <v>0</v>
      </c>
      <c r="L9" s="463"/>
      <c r="M9" s="463"/>
      <c r="N9" s="463"/>
      <c r="O9" s="463"/>
      <c r="P9" s="463"/>
    </row>
    <row r="10" spans="2:16" s="461" customFormat="1" ht="15.95" customHeight="1" x14ac:dyDescent="0.2">
      <c r="B10" s="1024"/>
      <c r="C10" s="473" t="s">
        <v>969</v>
      </c>
      <c r="D10" s="474" t="s">
        <v>873</v>
      </c>
      <c r="E10" s="475" t="s">
        <v>874</v>
      </c>
      <c r="F10" s="476"/>
      <c r="G10" s="477" t="s">
        <v>51</v>
      </c>
      <c r="H10" s="478">
        <f>'02_SupisPrac'!H10</f>
        <v>5</v>
      </c>
      <c r="J10" s="653">
        <f>'02_SupisPrac'!J10</f>
        <v>0</v>
      </c>
      <c r="K10" s="654">
        <f t="shared" si="0"/>
        <v>0</v>
      </c>
      <c r="L10" s="463"/>
      <c r="M10" s="463"/>
      <c r="N10" s="463"/>
      <c r="O10" s="463"/>
      <c r="P10" s="463"/>
    </row>
    <row r="11" spans="2:16" s="461" customFormat="1" ht="24.95" customHeight="1" x14ac:dyDescent="0.2">
      <c r="B11" s="1024"/>
      <c r="C11" s="473" t="s">
        <v>969</v>
      </c>
      <c r="D11" s="480" t="s">
        <v>876</v>
      </c>
      <c r="E11" s="481" t="s">
        <v>875</v>
      </c>
      <c r="F11" s="482"/>
      <c r="G11" s="483" t="s">
        <v>543</v>
      </c>
      <c r="H11" s="478">
        <f>'02_SupisPrac'!H11</f>
        <v>2</v>
      </c>
      <c r="J11" s="653">
        <f>'02_SupisPrac'!J11</f>
        <v>0</v>
      </c>
      <c r="K11" s="654">
        <f t="shared" si="0"/>
        <v>0</v>
      </c>
      <c r="L11" s="463"/>
      <c r="M11" s="463"/>
      <c r="N11" s="463"/>
      <c r="O11" s="463"/>
      <c r="P11" s="463"/>
    </row>
    <row r="12" spans="2:16" s="461" customFormat="1" ht="24.95" customHeight="1" x14ac:dyDescent="0.2">
      <c r="B12" s="1024"/>
      <c r="C12" s="473" t="s">
        <v>969</v>
      </c>
      <c r="D12" s="480" t="s">
        <v>882</v>
      </c>
      <c r="E12" s="481" t="s">
        <v>891</v>
      </c>
      <c r="F12" s="482"/>
      <c r="G12" s="483" t="s">
        <v>543</v>
      </c>
      <c r="H12" s="478">
        <f>'02_SupisPrac'!H12</f>
        <v>1</v>
      </c>
      <c r="J12" s="653">
        <f>'02_SupisPrac'!J12</f>
        <v>0</v>
      </c>
      <c r="K12" s="654">
        <f t="shared" si="0"/>
        <v>0</v>
      </c>
      <c r="L12" s="463"/>
      <c r="M12" s="463"/>
      <c r="N12" s="463"/>
      <c r="O12" s="463"/>
      <c r="P12" s="463"/>
    </row>
    <row r="13" spans="2:16" s="461" customFormat="1" ht="15.95" customHeight="1" thickBot="1" x14ac:dyDescent="0.25">
      <c r="B13" s="1024"/>
      <c r="C13" s="484" t="s">
        <v>969</v>
      </c>
      <c r="D13" s="485" t="s">
        <v>883</v>
      </c>
      <c r="E13" s="486" t="s">
        <v>884</v>
      </c>
      <c r="F13" s="487"/>
      <c r="G13" s="488" t="s">
        <v>543</v>
      </c>
      <c r="H13" s="489">
        <f>'02_SupisPrac'!H13</f>
        <v>3</v>
      </c>
      <c r="J13" s="655">
        <f>'02_SupisPrac'!J13</f>
        <v>0</v>
      </c>
      <c r="K13" s="656">
        <f t="shared" si="0"/>
        <v>0</v>
      </c>
      <c r="L13" s="463"/>
      <c r="M13" s="463"/>
      <c r="N13" s="463"/>
      <c r="O13" s="463"/>
      <c r="P13" s="463"/>
    </row>
    <row r="14" spans="2:16" ht="24" customHeight="1" x14ac:dyDescent="0.2">
      <c r="B14" s="1024"/>
      <c r="C14" s="490" t="s">
        <v>288</v>
      </c>
      <c r="D14" s="491" t="s">
        <v>290</v>
      </c>
      <c r="E14" s="492" t="s">
        <v>291</v>
      </c>
      <c r="F14" s="493"/>
      <c r="G14" s="494" t="s">
        <v>51</v>
      </c>
      <c r="H14" s="495">
        <f>'02_SupisPrac'!H14</f>
        <v>22.343620000000001</v>
      </c>
      <c r="J14" s="652">
        <f>'02_SupisPrac'!J14</f>
        <v>0</v>
      </c>
      <c r="K14" s="479">
        <f t="shared" si="0"/>
        <v>0</v>
      </c>
    </row>
    <row r="15" spans="2:16" ht="15.95" customHeight="1" x14ac:dyDescent="0.2">
      <c r="B15" s="1024"/>
      <c r="C15" s="473" t="s">
        <v>288</v>
      </c>
      <c r="D15" s="474" t="s">
        <v>292</v>
      </c>
      <c r="E15" s="496" t="s">
        <v>293</v>
      </c>
      <c r="F15" s="497"/>
      <c r="G15" s="477" t="s">
        <v>12</v>
      </c>
      <c r="H15" s="478">
        <f>'02_SupisPrac'!H15</f>
        <v>116.25119999999998</v>
      </c>
      <c r="J15" s="653">
        <f>'02_SupisPrac'!J15</f>
        <v>0</v>
      </c>
      <c r="K15" s="654">
        <f t="shared" si="0"/>
        <v>0</v>
      </c>
    </row>
    <row r="16" spans="2:16" ht="24" customHeight="1" x14ac:dyDescent="0.2">
      <c r="B16" s="1024"/>
      <c r="C16" s="473" t="s">
        <v>288</v>
      </c>
      <c r="D16" s="474" t="s">
        <v>294</v>
      </c>
      <c r="E16" s="496" t="s">
        <v>295</v>
      </c>
      <c r="F16" s="497"/>
      <c r="G16" s="477" t="s">
        <v>12</v>
      </c>
      <c r="H16" s="478">
        <f>'02_SupisPrac'!H16</f>
        <v>96.800000000000011</v>
      </c>
      <c r="J16" s="653">
        <f>'02_SupisPrac'!J16</f>
        <v>0</v>
      </c>
      <c r="K16" s="654">
        <f t="shared" si="0"/>
        <v>0</v>
      </c>
    </row>
    <row r="17" spans="2:16" ht="24" customHeight="1" x14ac:dyDescent="0.2">
      <c r="B17" s="1024"/>
      <c r="C17" s="473" t="s">
        <v>288</v>
      </c>
      <c r="D17" s="474" t="s">
        <v>299</v>
      </c>
      <c r="E17" s="496" t="s">
        <v>300</v>
      </c>
      <c r="F17" s="497"/>
      <c r="G17" s="477" t="s">
        <v>12</v>
      </c>
      <c r="H17" s="478">
        <f>'02_SupisPrac'!H17</f>
        <v>102.2</v>
      </c>
      <c r="J17" s="653">
        <f>'02_SupisPrac'!J17</f>
        <v>0</v>
      </c>
      <c r="K17" s="654">
        <f t="shared" si="0"/>
        <v>0</v>
      </c>
    </row>
    <row r="18" spans="2:16" ht="24" customHeight="1" x14ac:dyDescent="0.2">
      <c r="B18" s="1024"/>
      <c r="C18" s="473" t="s">
        <v>288</v>
      </c>
      <c r="D18" s="474" t="s">
        <v>303</v>
      </c>
      <c r="E18" s="496" t="s">
        <v>304</v>
      </c>
      <c r="F18" s="497"/>
      <c r="G18" s="477" t="s">
        <v>25</v>
      </c>
      <c r="H18" s="478">
        <f>'02_SupisPrac'!H18</f>
        <v>29.5</v>
      </c>
      <c r="I18" s="498"/>
      <c r="J18" s="653">
        <f>'02_SupisPrac'!J18</f>
        <v>0</v>
      </c>
      <c r="K18" s="654">
        <f t="shared" si="0"/>
        <v>0</v>
      </c>
    </row>
    <row r="19" spans="2:16" ht="24" customHeight="1" x14ac:dyDescent="0.2">
      <c r="B19" s="1024"/>
      <c r="C19" s="473" t="s">
        <v>288</v>
      </c>
      <c r="D19" s="474" t="s">
        <v>307</v>
      </c>
      <c r="E19" s="496" t="s">
        <v>308</v>
      </c>
      <c r="F19" s="497"/>
      <c r="G19" s="477" t="s">
        <v>25</v>
      </c>
      <c r="H19" s="478">
        <f>'02_SupisPrac'!H19</f>
        <v>28.3</v>
      </c>
      <c r="J19" s="653">
        <f>'02_SupisPrac'!J19</f>
        <v>0</v>
      </c>
      <c r="K19" s="654">
        <f t="shared" si="0"/>
        <v>0</v>
      </c>
    </row>
    <row r="20" spans="2:16" ht="24" customHeight="1" x14ac:dyDescent="0.2">
      <c r="B20" s="1024"/>
      <c r="C20" s="473" t="s">
        <v>288</v>
      </c>
      <c r="D20" s="474" t="s">
        <v>313</v>
      </c>
      <c r="E20" s="496" t="s">
        <v>314</v>
      </c>
      <c r="F20" s="497"/>
      <c r="G20" s="477" t="s">
        <v>12</v>
      </c>
      <c r="H20" s="478">
        <f>'02_SupisPrac'!H20</f>
        <v>230.24200000000005</v>
      </c>
      <c r="I20" s="498"/>
      <c r="J20" s="653">
        <f>'02_SupisPrac'!J20</f>
        <v>0</v>
      </c>
      <c r="K20" s="654">
        <f t="shared" si="0"/>
        <v>0</v>
      </c>
    </row>
    <row r="21" spans="2:16" ht="15.95" customHeight="1" x14ac:dyDescent="0.2">
      <c r="B21" s="1024"/>
      <c r="C21" s="473" t="s">
        <v>288</v>
      </c>
      <c r="D21" s="474" t="s">
        <v>318</v>
      </c>
      <c r="E21" s="496" t="s">
        <v>319</v>
      </c>
      <c r="F21" s="497"/>
      <c r="G21" s="477" t="s">
        <v>12</v>
      </c>
      <c r="H21" s="478">
        <f>'02_SupisPrac'!H21</f>
        <v>846.56000000000006</v>
      </c>
      <c r="J21" s="653">
        <f>'02_SupisPrac'!J21</f>
        <v>0</v>
      </c>
      <c r="K21" s="654">
        <f t="shared" si="0"/>
        <v>0</v>
      </c>
    </row>
    <row r="22" spans="2:16" ht="15.95" customHeight="1" x14ac:dyDescent="0.2">
      <c r="B22" s="1024"/>
      <c r="C22" s="473" t="s">
        <v>288</v>
      </c>
      <c r="D22" s="474" t="s">
        <v>546</v>
      </c>
      <c r="E22" s="496" t="s">
        <v>547</v>
      </c>
      <c r="F22" s="499"/>
      <c r="G22" s="477" t="s">
        <v>548</v>
      </c>
      <c r="H22" s="478">
        <f>'02_SupisPrac'!H22</f>
        <v>15900</v>
      </c>
      <c r="J22" s="653">
        <f>'02_SupisPrac'!J22</f>
        <v>0</v>
      </c>
      <c r="K22" s="654">
        <f t="shared" si="0"/>
        <v>0</v>
      </c>
    </row>
    <row r="23" spans="2:16" ht="15.95" customHeight="1" thickBot="1" x14ac:dyDescent="0.25">
      <c r="B23" s="1024"/>
      <c r="C23" s="484" t="s">
        <v>288</v>
      </c>
      <c r="D23" s="500" t="s">
        <v>309</v>
      </c>
      <c r="E23" s="501" t="s">
        <v>639</v>
      </c>
      <c r="F23" s="502"/>
      <c r="G23" s="503" t="s">
        <v>5</v>
      </c>
      <c r="H23" s="489">
        <f>'02_SupisPrac'!H23</f>
        <v>208.97</v>
      </c>
      <c r="J23" s="657">
        <f>'02_SupisPrac'!J23</f>
        <v>0</v>
      </c>
      <c r="K23" s="658">
        <f t="shared" si="0"/>
        <v>0</v>
      </c>
    </row>
    <row r="24" spans="2:16" s="510" customFormat="1" ht="15.95" customHeight="1" thickBot="1" x14ac:dyDescent="0.25">
      <c r="B24" s="1024"/>
      <c r="C24" s="490" t="s">
        <v>972</v>
      </c>
      <c r="D24" s="504" t="s">
        <v>324</v>
      </c>
      <c r="E24" s="505" t="s">
        <v>325</v>
      </c>
      <c r="F24" s="506"/>
      <c r="G24" s="507" t="s">
        <v>12</v>
      </c>
      <c r="H24" s="508">
        <f>'02_SupisPrac'!H24</f>
        <v>10</v>
      </c>
      <c r="I24" s="509"/>
      <c r="J24" s="659">
        <f>'02_SupisPrac'!J24</f>
        <v>0</v>
      </c>
      <c r="K24" s="660">
        <f t="shared" si="0"/>
        <v>0</v>
      </c>
    </row>
    <row r="25" spans="2:16" s="516" customFormat="1" ht="15.95" customHeight="1" thickBot="1" x14ac:dyDescent="0.25">
      <c r="B25" s="1024"/>
      <c r="C25" s="484" t="s">
        <v>972</v>
      </c>
      <c r="D25" s="511" t="s">
        <v>329</v>
      </c>
      <c r="E25" s="512" t="s">
        <v>330</v>
      </c>
      <c r="F25" s="513"/>
      <c r="G25" s="514" t="s">
        <v>12</v>
      </c>
      <c r="H25" s="515">
        <f>'02_SupisPrac'!H25</f>
        <v>60</v>
      </c>
      <c r="J25" s="661">
        <f>'02_SupisPrac'!J25</f>
        <v>0</v>
      </c>
      <c r="K25" s="662">
        <f t="shared" si="0"/>
        <v>0</v>
      </c>
    </row>
    <row r="26" spans="2:16" s="516" customFormat="1" ht="15.95" customHeight="1" x14ac:dyDescent="0.2">
      <c r="B26" s="1024"/>
      <c r="C26" s="517" t="s">
        <v>974</v>
      </c>
      <c r="D26" s="518" t="s">
        <v>557</v>
      </c>
      <c r="E26" s="519" t="s">
        <v>558</v>
      </c>
      <c r="F26" s="520"/>
      <c r="G26" s="494" t="s">
        <v>51</v>
      </c>
      <c r="H26" s="521">
        <f>'02_SupisPrac'!H26</f>
        <v>1.08</v>
      </c>
      <c r="J26" s="652">
        <f>'02_SupisPrac'!J26</f>
        <v>0</v>
      </c>
      <c r="K26" s="479">
        <f t="shared" si="0"/>
        <v>0</v>
      </c>
    </row>
    <row r="27" spans="2:16" s="516" customFormat="1" ht="15.95" customHeight="1" x14ac:dyDescent="0.2">
      <c r="B27" s="1024"/>
      <c r="C27" s="522" t="s">
        <v>974</v>
      </c>
      <c r="D27" s="523" t="s">
        <v>945</v>
      </c>
      <c r="E27" s="524" t="s">
        <v>946</v>
      </c>
      <c r="F27" s="525"/>
      <c r="G27" s="477" t="s">
        <v>51</v>
      </c>
      <c r="H27" s="526">
        <f>'02_SupisPrac'!H27</f>
        <v>40</v>
      </c>
      <c r="J27" s="653">
        <f>'02_SupisPrac'!J27</f>
        <v>0</v>
      </c>
      <c r="K27" s="654">
        <f t="shared" si="0"/>
        <v>0</v>
      </c>
    </row>
    <row r="28" spans="2:16" s="516" customFormat="1" ht="15.95" customHeight="1" x14ac:dyDescent="0.2">
      <c r="B28" s="1024"/>
      <c r="C28" s="522" t="s">
        <v>974</v>
      </c>
      <c r="D28" s="527" t="s">
        <v>704</v>
      </c>
      <c r="E28" s="496" t="s">
        <v>705</v>
      </c>
      <c r="F28" s="499"/>
      <c r="G28" s="477" t="s">
        <v>51</v>
      </c>
      <c r="H28" s="478">
        <f>'02_SupisPrac'!H28</f>
        <v>60</v>
      </c>
      <c r="J28" s="653">
        <f>'02_SupisPrac'!J28</f>
        <v>0</v>
      </c>
      <c r="K28" s="654">
        <f t="shared" si="0"/>
        <v>0</v>
      </c>
    </row>
    <row r="29" spans="2:16" s="516" customFormat="1" ht="15.95" customHeight="1" x14ac:dyDescent="0.2">
      <c r="B29" s="1024"/>
      <c r="C29" s="522" t="s">
        <v>974</v>
      </c>
      <c r="D29" s="528" t="s">
        <v>169</v>
      </c>
      <c r="E29" s="529" t="s">
        <v>170</v>
      </c>
      <c r="F29" s="530"/>
      <c r="G29" s="531" t="s">
        <v>51</v>
      </c>
      <c r="H29" s="532">
        <f>'02_SupisPrac'!H29</f>
        <v>34.839999999999996</v>
      </c>
      <c r="J29" s="653">
        <f>'02_SupisPrac'!J29</f>
        <v>0</v>
      </c>
      <c r="K29" s="654">
        <f t="shared" si="0"/>
        <v>0</v>
      </c>
    </row>
    <row r="30" spans="2:16" s="516" customFormat="1" ht="15.95" customHeight="1" x14ac:dyDescent="0.2">
      <c r="B30" s="1024"/>
      <c r="C30" s="522" t="s">
        <v>974</v>
      </c>
      <c r="D30" s="527" t="s">
        <v>165</v>
      </c>
      <c r="E30" s="496" t="s">
        <v>166</v>
      </c>
      <c r="F30" s="533"/>
      <c r="G30" s="477" t="s">
        <v>51</v>
      </c>
      <c r="H30" s="534">
        <f>'02_SupisPrac'!H30</f>
        <v>31.680000000000003</v>
      </c>
      <c r="J30" s="653">
        <f>'02_SupisPrac'!J30</f>
        <v>0</v>
      </c>
      <c r="K30" s="654">
        <f t="shared" si="0"/>
        <v>0</v>
      </c>
    </row>
    <row r="31" spans="2:16" s="516" customFormat="1" ht="15.95" customHeight="1" x14ac:dyDescent="0.2">
      <c r="B31" s="1024"/>
      <c r="C31" s="522" t="s">
        <v>974</v>
      </c>
      <c r="D31" s="527" t="s">
        <v>542</v>
      </c>
      <c r="E31" s="535" t="s">
        <v>578</v>
      </c>
      <c r="F31" s="499"/>
      <c r="G31" s="477" t="s">
        <v>543</v>
      </c>
      <c r="H31" s="534">
        <f>'02_SupisPrac'!H31</f>
        <v>0</v>
      </c>
      <c r="J31" s="653">
        <f>'02_SupisPrac'!J31</f>
        <v>0</v>
      </c>
      <c r="K31" s="654">
        <f t="shared" si="0"/>
        <v>0</v>
      </c>
    </row>
    <row r="32" spans="2:16" s="516" customFormat="1" ht="15.95" customHeight="1" thickBot="1" x14ac:dyDescent="0.25">
      <c r="B32" s="1024"/>
      <c r="C32" s="522" t="s">
        <v>974</v>
      </c>
      <c r="D32" s="536" t="s">
        <v>173</v>
      </c>
      <c r="E32" s="537" t="s">
        <v>174</v>
      </c>
      <c r="F32" s="538"/>
      <c r="G32" s="539" t="s">
        <v>12</v>
      </c>
      <c r="H32" s="540">
        <f>'02_SupisPrac'!H32</f>
        <v>106</v>
      </c>
      <c r="J32" s="655">
        <f>'02_SupisPrac'!J32</f>
        <v>0</v>
      </c>
      <c r="K32" s="656">
        <f t="shared" si="0"/>
        <v>0</v>
      </c>
      <c r="L32" s="510"/>
      <c r="M32" s="510"/>
      <c r="N32" s="510"/>
      <c r="O32" s="510"/>
      <c r="P32" s="510"/>
    </row>
    <row r="33" spans="2:16" s="549" customFormat="1" ht="15.95" customHeight="1" thickBot="1" x14ac:dyDescent="0.25">
      <c r="B33" s="1024"/>
      <c r="C33" s="542"/>
      <c r="D33" s="543" t="s">
        <v>161</v>
      </c>
      <c r="E33" s="544" t="s">
        <v>162</v>
      </c>
      <c r="F33" s="545"/>
      <c r="G33" s="546" t="s">
        <v>51</v>
      </c>
      <c r="H33" s="547">
        <f>'02_SupisPrac'!H33</f>
        <v>127.6</v>
      </c>
      <c r="I33" s="548"/>
      <c r="J33" s="659">
        <f>'02_SupisPrac'!J33</f>
        <v>0</v>
      </c>
      <c r="K33" s="660">
        <f t="shared" si="0"/>
        <v>0</v>
      </c>
    </row>
    <row r="34" spans="2:16" s="556" customFormat="1" ht="15.95" customHeight="1" x14ac:dyDescent="0.2">
      <c r="B34" s="1024"/>
      <c r="C34" s="550" t="s">
        <v>156</v>
      </c>
      <c r="D34" s="551" t="s">
        <v>94</v>
      </c>
      <c r="E34" s="552" t="s">
        <v>95</v>
      </c>
      <c r="F34" s="553"/>
      <c r="G34" s="554" t="s">
        <v>51</v>
      </c>
      <c r="H34" s="495">
        <f>'02_SupisPrac'!H34</f>
        <v>9.1</v>
      </c>
      <c r="I34" s="555"/>
      <c r="J34" s="652">
        <f>'02_SupisPrac'!J34</f>
        <v>0</v>
      </c>
      <c r="K34" s="479">
        <f t="shared" si="0"/>
        <v>0</v>
      </c>
    </row>
    <row r="35" spans="2:16" s="556" customFormat="1" ht="15.95" customHeight="1" x14ac:dyDescent="0.2">
      <c r="B35" s="1024"/>
      <c r="C35" s="557" t="s">
        <v>156</v>
      </c>
      <c r="D35" s="474" t="s">
        <v>96</v>
      </c>
      <c r="E35" s="475" t="s">
        <v>97</v>
      </c>
      <c r="F35" s="533"/>
      <c r="G35" s="477" t="s">
        <v>12</v>
      </c>
      <c r="H35" s="478">
        <f>'02_SupisPrac'!H35</f>
        <v>7</v>
      </c>
      <c r="I35" s="555"/>
      <c r="J35" s="653">
        <f>'02_SupisPrac'!J35</f>
        <v>0</v>
      </c>
      <c r="K35" s="654">
        <f t="shared" si="0"/>
        <v>0</v>
      </c>
    </row>
    <row r="36" spans="2:16" ht="15.95" customHeight="1" x14ac:dyDescent="0.2">
      <c r="B36" s="1024"/>
      <c r="C36" s="557" t="s">
        <v>156</v>
      </c>
      <c r="D36" s="474" t="s">
        <v>100</v>
      </c>
      <c r="E36" s="475" t="s">
        <v>101</v>
      </c>
      <c r="F36" s="533"/>
      <c r="G36" s="477" t="s">
        <v>5</v>
      </c>
      <c r="H36" s="534">
        <f>'02_SupisPrac'!H36</f>
        <v>1.5725340000000001</v>
      </c>
      <c r="J36" s="653">
        <f>'02_SupisPrac'!J36</f>
        <v>0</v>
      </c>
      <c r="K36" s="654">
        <f t="shared" si="0"/>
        <v>0</v>
      </c>
    </row>
    <row r="37" spans="2:16" s="462" customFormat="1" ht="15.95" customHeight="1" x14ac:dyDescent="0.2">
      <c r="B37" s="1024"/>
      <c r="C37" s="557" t="s">
        <v>156</v>
      </c>
      <c r="D37" s="474" t="s">
        <v>127</v>
      </c>
      <c r="E37" s="475" t="s">
        <v>128</v>
      </c>
      <c r="F37" s="533"/>
      <c r="G37" s="477" t="s">
        <v>51</v>
      </c>
      <c r="H37" s="534">
        <f>'02_SupisPrac'!H37</f>
        <v>6.5047499999999996</v>
      </c>
      <c r="I37" s="461"/>
      <c r="J37" s="653">
        <f>'02_SupisPrac'!J37</f>
        <v>0</v>
      </c>
      <c r="K37" s="654">
        <f t="shared" si="0"/>
        <v>0</v>
      </c>
      <c r="L37" s="463"/>
      <c r="M37" s="463"/>
      <c r="N37" s="463"/>
      <c r="O37" s="463"/>
      <c r="P37" s="463"/>
    </row>
    <row r="38" spans="2:16" s="462" customFormat="1" ht="15.95" customHeight="1" x14ac:dyDescent="0.2">
      <c r="B38" s="1024"/>
      <c r="C38" s="557" t="s">
        <v>156</v>
      </c>
      <c r="D38" s="474" t="s">
        <v>131</v>
      </c>
      <c r="E38" s="475" t="s">
        <v>184</v>
      </c>
      <c r="F38" s="533"/>
      <c r="G38" s="477" t="s">
        <v>12</v>
      </c>
      <c r="H38" s="534">
        <f>'02_SupisPrac'!H38</f>
        <v>15.337</v>
      </c>
      <c r="I38" s="461"/>
      <c r="J38" s="653">
        <f>'02_SupisPrac'!J38</f>
        <v>0</v>
      </c>
      <c r="K38" s="654">
        <f t="shared" si="0"/>
        <v>0</v>
      </c>
      <c r="L38" s="463"/>
      <c r="M38" s="463"/>
      <c r="N38" s="463"/>
      <c r="O38" s="463"/>
      <c r="P38" s="463"/>
    </row>
    <row r="39" spans="2:16" s="461" customFormat="1" ht="15.95" customHeight="1" x14ac:dyDescent="0.2">
      <c r="B39" s="1024"/>
      <c r="C39" s="557" t="s">
        <v>156</v>
      </c>
      <c r="D39" s="474" t="s">
        <v>133</v>
      </c>
      <c r="E39" s="475" t="s">
        <v>186</v>
      </c>
      <c r="F39" s="533"/>
      <c r="G39" s="477" t="s">
        <v>5</v>
      </c>
      <c r="H39" s="534">
        <f>'02_SupisPrac'!H39</f>
        <v>1.07948</v>
      </c>
      <c r="J39" s="653">
        <f>'02_SupisPrac'!J39</f>
        <v>0</v>
      </c>
      <c r="K39" s="654">
        <f t="shared" si="0"/>
        <v>0</v>
      </c>
      <c r="L39" s="463"/>
      <c r="M39" s="463"/>
      <c r="N39" s="463"/>
      <c r="O39" s="463"/>
      <c r="P39" s="463"/>
    </row>
    <row r="40" spans="2:16" s="461" customFormat="1" ht="15.95" customHeight="1" x14ac:dyDescent="0.2">
      <c r="B40" s="1024"/>
      <c r="C40" s="557" t="s">
        <v>156</v>
      </c>
      <c r="D40" s="474" t="s">
        <v>135</v>
      </c>
      <c r="E40" s="481" t="s">
        <v>188</v>
      </c>
      <c r="F40" s="476"/>
      <c r="G40" s="477" t="s">
        <v>51</v>
      </c>
      <c r="H40" s="534">
        <f>'02_SupisPrac'!H40</f>
        <v>24.08</v>
      </c>
      <c r="J40" s="653">
        <f>'02_SupisPrac'!J40</f>
        <v>0</v>
      </c>
      <c r="K40" s="654">
        <f t="shared" si="0"/>
        <v>0</v>
      </c>
      <c r="L40" s="463"/>
      <c r="M40" s="463"/>
      <c r="N40" s="463"/>
      <c r="O40" s="463"/>
      <c r="P40" s="463"/>
    </row>
    <row r="41" spans="2:16" s="461" customFormat="1" ht="24" customHeight="1" x14ac:dyDescent="0.2">
      <c r="B41" s="1024"/>
      <c r="C41" s="557" t="s">
        <v>156</v>
      </c>
      <c r="D41" s="474" t="s">
        <v>136</v>
      </c>
      <c r="E41" s="475" t="s">
        <v>137</v>
      </c>
      <c r="F41" s="476"/>
      <c r="G41" s="477" t="s">
        <v>12</v>
      </c>
      <c r="H41" s="534">
        <f>'02_SupisPrac'!H41</f>
        <v>17.64</v>
      </c>
      <c r="J41" s="653">
        <f>'02_SupisPrac'!J41</f>
        <v>0</v>
      </c>
      <c r="K41" s="654">
        <f t="shared" si="0"/>
        <v>0</v>
      </c>
      <c r="L41" s="463"/>
      <c r="M41" s="463"/>
      <c r="N41" s="463"/>
      <c r="O41" s="463"/>
      <c r="P41" s="463"/>
    </row>
    <row r="42" spans="2:16" s="461" customFormat="1" ht="24" customHeight="1" x14ac:dyDescent="0.2">
      <c r="B42" s="1024"/>
      <c r="C42" s="557" t="s">
        <v>156</v>
      </c>
      <c r="D42" s="474" t="s">
        <v>140</v>
      </c>
      <c r="E42" s="475" t="s">
        <v>141</v>
      </c>
      <c r="F42" s="476"/>
      <c r="G42" s="477" t="s">
        <v>5</v>
      </c>
      <c r="H42" s="534">
        <f>'02_SupisPrac'!H42</f>
        <v>1.70153</v>
      </c>
      <c r="J42" s="653">
        <f>'02_SupisPrac'!J42</f>
        <v>0</v>
      </c>
      <c r="K42" s="654">
        <f t="shared" si="0"/>
        <v>0</v>
      </c>
      <c r="L42" s="463"/>
      <c r="M42" s="463"/>
      <c r="N42" s="463"/>
      <c r="O42" s="463"/>
      <c r="P42" s="463"/>
    </row>
    <row r="43" spans="2:16" s="461" customFormat="1" ht="24" customHeight="1" x14ac:dyDescent="0.2">
      <c r="B43" s="1024"/>
      <c r="C43" s="557" t="s">
        <v>156</v>
      </c>
      <c r="D43" s="474" t="s">
        <v>144</v>
      </c>
      <c r="E43" s="475" t="s">
        <v>189</v>
      </c>
      <c r="F43" s="533"/>
      <c r="G43" s="477" t="s">
        <v>51</v>
      </c>
      <c r="H43" s="534">
        <f>'02_SupisPrac'!H43</f>
        <v>13.946</v>
      </c>
      <c r="J43" s="653">
        <f>'02_SupisPrac'!J43</f>
        <v>0</v>
      </c>
      <c r="K43" s="654">
        <f t="shared" si="0"/>
        <v>0</v>
      </c>
      <c r="L43" s="463"/>
      <c r="M43" s="463"/>
      <c r="N43" s="463"/>
      <c r="O43" s="463"/>
      <c r="P43" s="463"/>
    </row>
    <row r="44" spans="2:16" s="461" customFormat="1" ht="24" customHeight="1" x14ac:dyDescent="0.2">
      <c r="B44" s="1024"/>
      <c r="C44" s="557" t="s">
        <v>156</v>
      </c>
      <c r="D44" s="474" t="s">
        <v>145</v>
      </c>
      <c r="E44" s="475" t="s">
        <v>190</v>
      </c>
      <c r="F44" s="533"/>
      <c r="G44" s="477" t="s">
        <v>12</v>
      </c>
      <c r="H44" s="534">
        <f>'02_SupisPrac'!H44</f>
        <v>5.9130000000000003</v>
      </c>
      <c r="J44" s="653">
        <f>'02_SupisPrac'!J44</f>
        <v>0</v>
      </c>
      <c r="K44" s="654">
        <f t="shared" si="0"/>
        <v>0</v>
      </c>
      <c r="L44" s="463"/>
      <c r="M44" s="463"/>
      <c r="N44" s="463"/>
      <c r="O44" s="463"/>
      <c r="P44" s="463"/>
    </row>
    <row r="45" spans="2:16" s="461" customFormat="1" ht="24" customHeight="1" x14ac:dyDescent="0.2">
      <c r="B45" s="1024"/>
      <c r="C45" s="557" t="s">
        <v>156</v>
      </c>
      <c r="D45" s="474" t="s">
        <v>147</v>
      </c>
      <c r="E45" s="475" t="s">
        <v>192</v>
      </c>
      <c r="F45" s="533"/>
      <c r="G45" s="477" t="s">
        <v>5</v>
      </c>
      <c r="H45" s="534">
        <f>'02_SupisPrac'!H45</f>
        <v>2.4507300000000001</v>
      </c>
      <c r="J45" s="653">
        <f>'02_SupisPrac'!J45</f>
        <v>0</v>
      </c>
      <c r="K45" s="654">
        <f t="shared" si="0"/>
        <v>0</v>
      </c>
      <c r="L45" s="463"/>
      <c r="M45" s="463"/>
      <c r="N45" s="463"/>
      <c r="O45" s="463"/>
      <c r="P45" s="463"/>
    </row>
    <row r="46" spans="2:16" s="462" customFormat="1" ht="15.95" customHeight="1" x14ac:dyDescent="0.2">
      <c r="B46" s="1024"/>
      <c r="C46" s="557" t="s">
        <v>156</v>
      </c>
      <c r="D46" s="474" t="s">
        <v>204</v>
      </c>
      <c r="E46" s="475" t="s">
        <v>205</v>
      </c>
      <c r="F46" s="558"/>
      <c r="G46" s="559" t="s">
        <v>25</v>
      </c>
      <c r="H46" s="560">
        <f>'02_SupisPrac'!H46</f>
        <v>17.2</v>
      </c>
      <c r="I46" s="461"/>
      <c r="J46" s="653">
        <f>'02_SupisPrac'!J46</f>
        <v>0</v>
      </c>
      <c r="K46" s="654">
        <f t="shared" si="0"/>
        <v>0</v>
      </c>
      <c r="L46" s="463"/>
      <c r="M46" s="463"/>
      <c r="N46" s="463"/>
      <c r="O46" s="463"/>
      <c r="P46" s="463"/>
    </row>
    <row r="47" spans="2:16" s="462" customFormat="1" ht="24" customHeight="1" x14ac:dyDescent="0.2">
      <c r="B47" s="1024"/>
      <c r="C47" s="557" t="s">
        <v>156</v>
      </c>
      <c r="D47" s="561" t="s">
        <v>208</v>
      </c>
      <c r="E47" s="535" t="s">
        <v>209</v>
      </c>
      <c r="F47" s="562"/>
      <c r="G47" s="563" t="s">
        <v>51</v>
      </c>
      <c r="H47" s="534">
        <f>'02_SupisPrac'!H47</f>
        <v>35.200000000000003</v>
      </c>
      <c r="I47" s="461"/>
      <c r="J47" s="653">
        <f>'02_SupisPrac'!J47</f>
        <v>0</v>
      </c>
      <c r="K47" s="654">
        <f t="shared" si="0"/>
        <v>0</v>
      </c>
      <c r="L47" s="463"/>
      <c r="M47" s="463"/>
      <c r="N47" s="463"/>
      <c r="O47" s="463"/>
      <c r="P47" s="463"/>
    </row>
    <row r="48" spans="2:16" s="462" customFormat="1" ht="15.95" customHeight="1" x14ac:dyDescent="0.2">
      <c r="B48" s="1024"/>
      <c r="C48" s="557" t="s">
        <v>156</v>
      </c>
      <c r="D48" s="564" t="s">
        <v>210</v>
      </c>
      <c r="E48" s="524" t="s">
        <v>211</v>
      </c>
      <c r="F48" s="525"/>
      <c r="G48" s="477" t="s">
        <v>25</v>
      </c>
      <c r="H48" s="565">
        <f>'02_SupisPrac'!H48</f>
        <v>64</v>
      </c>
      <c r="I48" s="461"/>
      <c r="J48" s="653">
        <f>'02_SupisPrac'!J48</f>
        <v>0</v>
      </c>
      <c r="K48" s="654">
        <f t="shared" si="0"/>
        <v>0</v>
      </c>
      <c r="L48" s="463"/>
      <c r="M48" s="463"/>
      <c r="N48" s="463"/>
      <c r="O48" s="463"/>
      <c r="P48" s="463"/>
    </row>
    <row r="49" spans="2:16" s="462" customFormat="1" ht="15.95" customHeight="1" x14ac:dyDescent="0.2">
      <c r="B49" s="1024"/>
      <c r="C49" s="557" t="s">
        <v>156</v>
      </c>
      <c r="D49" s="474" t="s">
        <v>776</v>
      </c>
      <c r="E49" s="475" t="s">
        <v>777</v>
      </c>
      <c r="F49" s="533"/>
      <c r="G49" s="477" t="s">
        <v>25</v>
      </c>
      <c r="H49" s="534">
        <f>'02_SupisPrac'!H49</f>
        <v>5.6</v>
      </c>
      <c r="I49" s="461"/>
      <c r="J49" s="653">
        <f>'02_SupisPrac'!J49</f>
        <v>0</v>
      </c>
      <c r="K49" s="654">
        <f t="shared" si="0"/>
        <v>0</v>
      </c>
      <c r="L49" s="463"/>
      <c r="M49" s="463"/>
      <c r="N49" s="463"/>
      <c r="O49" s="463"/>
      <c r="P49" s="463"/>
    </row>
    <row r="50" spans="2:16" s="461" customFormat="1" ht="15.95" customHeight="1" x14ac:dyDescent="0.2">
      <c r="B50" s="1024"/>
      <c r="C50" s="557" t="s">
        <v>156</v>
      </c>
      <c r="D50" s="561" t="s">
        <v>214</v>
      </c>
      <c r="E50" s="566" t="s">
        <v>215</v>
      </c>
      <c r="F50" s="567"/>
      <c r="G50" s="563" t="s">
        <v>8</v>
      </c>
      <c r="H50" s="534">
        <f>'02_SupisPrac'!H50</f>
        <v>4</v>
      </c>
      <c r="J50" s="653">
        <f>'02_SupisPrac'!J50</f>
        <v>0</v>
      </c>
      <c r="K50" s="654">
        <f t="shared" si="0"/>
        <v>0</v>
      </c>
      <c r="L50" s="463"/>
      <c r="M50" s="463"/>
      <c r="N50" s="463"/>
      <c r="O50" s="463"/>
      <c r="P50" s="463"/>
    </row>
    <row r="51" spans="2:16" s="461" customFormat="1" ht="15.95" customHeight="1" x14ac:dyDescent="0.2">
      <c r="B51" s="1024"/>
      <c r="C51" s="557" t="s">
        <v>156</v>
      </c>
      <c r="D51" s="474" t="s">
        <v>218</v>
      </c>
      <c r="E51" s="475" t="s">
        <v>219</v>
      </c>
      <c r="F51" s="533"/>
      <c r="G51" s="477" t="s">
        <v>12</v>
      </c>
      <c r="H51" s="534">
        <f>'02_SupisPrac'!H51</f>
        <v>4.4000000000000004</v>
      </c>
      <c r="J51" s="653">
        <f>'02_SupisPrac'!J51</f>
        <v>0</v>
      </c>
      <c r="K51" s="654">
        <f t="shared" si="0"/>
        <v>0</v>
      </c>
      <c r="L51" s="463"/>
      <c r="M51" s="463"/>
      <c r="N51" s="463"/>
      <c r="O51" s="463"/>
      <c r="P51" s="463"/>
    </row>
    <row r="52" spans="2:16" s="461" customFormat="1" ht="15.95" customHeight="1" x14ac:dyDescent="0.2">
      <c r="B52" s="1024"/>
      <c r="C52" s="557" t="s">
        <v>156</v>
      </c>
      <c r="D52" s="474" t="s">
        <v>222</v>
      </c>
      <c r="E52" s="475" t="s">
        <v>223</v>
      </c>
      <c r="F52" s="533"/>
      <c r="G52" s="477" t="s">
        <v>25</v>
      </c>
      <c r="H52" s="534">
        <f>'02_SupisPrac'!H52</f>
        <v>35.5</v>
      </c>
      <c r="J52" s="653">
        <f>'02_SupisPrac'!J52</f>
        <v>0</v>
      </c>
      <c r="K52" s="654">
        <f t="shared" si="0"/>
        <v>0</v>
      </c>
      <c r="L52" s="463"/>
      <c r="M52" s="463"/>
      <c r="N52" s="463"/>
      <c r="O52" s="463"/>
      <c r="P52" s="463"/>
    </row>
    <row r="53" spans="2:16" s="462" customFormat="1" ht="15.95" customHeight="1" x14ac:dyDescent="0.2">
      <c r="B53" s="1024"/>
      <c r="C53" s="557" t="s">
        <v>156</v>
      </c>
      <c r="D53" s="474" t="s">
        <v>753</v>
      </c>
      <c r="E53" s="475" t="s">
        <v>754</v>
      </c>
      <c r="F53" s="533"/>
      <c r="G53" s="477" t="s">
        <v>25</v>
      </c>
      <c r="H53" s="534">
        <f>'02_SupisPrac'!H53</f>
        <v>20.7</v>
      </c>
      <c r="I53" s="461"/>
      <c r="J53" s="653">
        <f>'02_SupisPrac'!J53</f>
        <v>0</v>
      </c>
      <c r="K53" s="654">
        <f t="shared" si="0"/>
        <v>0</v>
      </c>
      <c r="L53" s="463"/>
      <c r="M53" s="463"/>
      <c r="N53" s="463"/>
      <c r="O53" s="463"/>
      <c r="P53" s="463"/>
    </row>
    <row r="54" spans="2:16" ht="15.95" customHeight="1" thickBot="1" x14ac:dyDescent="0.25">
      <c r="B54" s="1024"/>
      <c r="C54" s="568" t="s">
        <v>156</v>
      </c>
      <c r="D54" s="500" t="s">
        <v>226</v>
      </c>
      <c r="E54" s="569" t="s">
        <v>227</v>
      </c>
      <c r="F54" s="570"/>
      <c r="G54" s="503" t="s">
        <v>8</v>
      </c>
      <c r="H54" s="515">
        <f>'02_SupisPrac'!H54</f>
        <v>48</v>
      </c>
      <c r="J54" s="655">
        <f>'02_SupisPrac'!J54</f>
        <v>0</v>
      </c>
      <c r="K54" s="656">
        <f t="shared" si="0"/>
        <v>0</v>
      </c>
    </row>
    <row r="55" spans="2:16" s="510" customFormat="1" ht="50.1" customHeight="1" thickBot="1" x14ac:dyDescent="0.25">
      <c r="B55" s="1024"/>
      <c r="C55" s="572" t="s">
        <v>681</v>
      </c>
      <c r="D55" s="543" t="s">
        <v>840</v>
      </c>
      <c r="E55" s="573" t="s">
        <v>841</v>
      </c>
      <c r="F55" s="574"/>
      <c r="G55" s="546" t="s">
        <v>51</v>
      </c>
      <c r="H55" s="547">
        <f>'02_SupisPrac'!H55</f>
        <v>5.4</v>
      </c>
      <c r="I55" s="516"/>
      <c r="J55" s="659">
        <f>'02_SupisPrac'!J55</f>
        <v>0</v>
      </c>
      <c r="K55" s="660">
        <f t="shared" si="0"/>
        <v>0</v>
      </c>
    </row>
    <row r="56" spans="2:16" s="461" customFormat="1" ht="24" x14ac:dyDescent="0.2">
      <c r="B56" s="1024"/>
      <c r="C56" s="550" t="s">
        <v>248</v>
      </c>
      <c r="D56" s="491" t="s">
        <v>228</v>
      </c>
      <c r="E56" s="575" t="s">
        <v>229</v>
      </c>
      <c r="F56" s="576"/>
      <c r="G56" s="494" t="s">
        <v>12</v>
      </c>
      <c r="H56" s="508">
        <f>'02_SupisPrac'!H56</f>
        <v>808.65599999999995</v>
      </c>
      <c r="J56" s="652">
        <f>'02_SupisPrac'!J56</f>
        <v>0</v>
      </c>
      <c r="K56" s="479">
        <f t="shared" si="0"/>
        <v>0</v>
      </c>
      <c r="L56" s="463"/>
      <c r="M56" s="463"/>
      <c r="N56" s="463"/>
      <c r="O56" s="463"/>
      <c r="P56" s="463"/>
    </row>
    <row r="57" spans="2:16" s="461" customFormat="1" ht="24" x14ac:dyDescent="0.2">
      <c r="B57" s="1024"/>
      <c r="C57" s="557" t="s">
        <v>248</v>
      </c>
      <c r="D57" s="474" t="s">
        <v>380</v>
      </c>
      <c r="E57" s="475" t="s">
        <v>381</v>
      </c>
      <c r="F57" s="533"/>
      <c r="G57" s="477" t="s">
        <v>51</v>
      </c>
      <c r="H57" s="534">
        <f>'02_SupisPrac'!H57</f>
        <v>19.282560000000004</v>
      </c>
      <c r="J57" s="653">
        <f>'02_SupisPrac'!J57</f>
        <v>0</v>
      </c>
      <c r="K57" s="654">
        <f t="shared" si="0"/>
        <v>0</v>
      </c>
      <c r="L57" s="463"/>
      <c r="M57" s="463"/>
      <c r="N57" s="463"/>
      <c r="O57" s="463"/>
      <c r="P57" s="463"/>
    </row>
    <row r="58" spans="2:16" s="461" customFormat="1" ht="24" x14ac:dyDescent="0.2">
      <c r="B58" s="1024"/>
      <c r="C58" s="557" t="s">
        <v>248</v>
      </c>
      <c r="D58" s="564" t="s">
        <v>832</v>
      </c>
      <c r="E58" s="524" t="s">
        <v>833</v>
      </c>
      <c r="F58" s="525"/>
      <c r="G58" s="477" t="s">
        <v>51</v>
      </c>
      <c r="H58" s="565">
        <f>'02_SupisPrac'!H58</f>
        <v>11.7568</v>
      </c>
      <c r="J58" s="653">
        <f>'02_SupisPrac'!J58</f>
        <v>0</v>
      </c>
      <c r="K58" s="654">
        <f t="shared" si="0"/>
        <v>0</v>
      </c>
      <c r="L58" s="463"/>
      <c r="M58" s="463"/>
      <c r="N58" s="463"/>
      <c r="O58" s="463"/>
      <c r="P58" s="463"/>
    </row>
    <row r="59" spans="2:16" s="461" customFormat="1" ht="24" x14ac:dyDescent="0.2">
      <c r="B59" s="1024"/>
      <c r="C59" s="557" t="s">
        <v>248</v>
      </c>
      <c r="D59" s="474" t="s">
        <v>230</v>
      </c>
      <c r="E59" s="475" t="s">
        <v>231</v>
      </c>
      <c r="F59" s="533"/>
      <c r="G59" s="477" t="s">
        <v>12</v>
      </c>
      <c r="H59" s="534">
        <f>'02_SupisPrac'!H59</f>
        <v>3.702</v>
      </c>
      <c r="J59" s="653">
        <f>'02_SupisPrac'!J59</f>
        <v>0</v>
      </c>
      <c r="K59" s="654">
        <f t="shared" si="0"/>
        <v>0</v>
      </c>
      <c r="L59" s="463"/>
      <c r="M59" s="463"/>
      <c r="N59" s="463"/>
      <c r="O59" s="463"/>
      <c r="P59" s="463"/>
    </row>
    <row r="60" spans="2:16" s="461" customFormat="1" ht="24" x14ac:dyDescent="0.2">
      <c r="B60" s="1024"/>
      <c r="C60" s="557" t="s">
        <v>248</v>
      </c>
      <c r="D60" s="564" t="s">
        <v>234</v>
      </c>
      <c r="E60" s="524" t="s">
        <v>456</v>
      </c>
      <c r="F60" s="525"/>
      <c r="G60" s="477" t="s">
        <v>25</v>
      </c>
      <c r="H60" s="565">
        <f>'02_SupisPrac'!H60</f>
        <v>117.10000000000001</v>
      </c>
      <c r="J60" s="653">
        <f>'02_SupisPrac'!J60</f>
        <v>0</v>
      </c>
      <c r="K60" s="654">
        <f t="shared" si="0"/>
        <v>0</v>
      </c>
      <c r="L60" s="463"/>
      <c r="M60" s="463"/>
      <c r="N60" s="463"/>
      <c r="O60" s="463"/>
      <c r="P60" s="463"/>
    </row>
    <row r="61" spans="2:16" s="461" customFormat="1" ht="24" x14ac:dyDescent="0.2">
      <c r="B61" s="1024"/>
      <c r="C61" s="557" t="s">
        <v>248</v>
      </c>
      <c r="D61" s="474" t="s">
        <v>238</v>
      </c>
      <c r="E61" s="475" t="s">
        <v>239</v>
      </c>
      <c r="F61" s="533"/>
      <c r="G61" s="477" t="s">
        <v>8</v>
      </c>
      <c r="H61" s="534">
        <f>'02_SupisPrac'!H61</f>
        <v>2</v>
      </c>
      <c r="J61" s="653">
        <f>'02_SupisPrac'!J61</f>
        <v>0</v>
      </c>
      <c r="K61" s="654">
        <f t="shared" si="0"/>
        <v>0</v>
      </c>
      <c r="L61" s="463"/>
      <c r="M61" s="463"/>
      <c r="N61" s="463"/>
      <c r="O61" s="463"/>
      <c r="P61" s="463"/>
    </row>
    <row r="62" spans="2:16" s="461" customFormat="1" x14ac:dyDescent="0.2">
      <c r="B62" s="1024"/>
      <c r="C62" s="557" t="s">
        <v>248</v>
      </c>
      <c r="D62" s="474" t="s">
        <v>240</v>
      </c>
      <c r="E62" s="475" t="s">
        <v>241</v>
      </c>
      <c r="F62" s="533"/>
      <c r="G62" s="477" t="s">
        <v>25</v>
      </c>
      <c r="H62" s="534">
        <f>'02_SupisPrac'!H62</f>
        <v>15.6</v>
      </c>
      <c r="J62" s="653">
        <f>'02_SupisPrac'!J62</f>
        <v>0</v>
      </c>
      <c r="K62" s="654">
        <f t="shared" si="0"/>
        <v>0</v>
      </c>
      <c r="L62" s="463"/>
      <c r="M62" s="463"/>
      <c r="N62" s="463"/>
      <c r="O62" s="463"/>
      <c r="P62" s="463"/>
    </row>
    <row r="63" spans="2:16" s="461" customFormat="1" ht="13.5" thickBot="1" x14ac:dyDescent="0.25">
      <c r="B63" s="1024"/>
      <c r="C63" s="577" t="s">
        <v>248</v>
      </c>
      <c r="D63" s="578" t="s">
        <v>246</v>
      </c>
      <c r="E63" s="579" t="s">
        <v>247</v>
      </c>
      <c r="F63" s="580"/>
      <c r="G63" s="503" t="s">
        <v>25</v>
      </c>
      <c r="H63" s="581">
        <f>'02_SupisPrac'!H63</f>
        <v>10</v>
      </c>
      <c r="J63" s="655">
        <f>'02_SupisPrac'!J63</f>
        <v>0</v>
      </c>
      <c r="K63" s="656">
        <f t="shared" si="0"/>
        <v>0</v>
      </c>
      <c r="L63" s="463"/>
      <c r="M63" s="463"/>
      <c r="N63" s="463"/>
      <c r="O63" s="463"/>
      <c r="P63" s="463"/>
    </row>
    <row r="64" spans="2:16" s="461" customFormat="1" ht="54.75" customHeight="1" thickBot="1" x14ac:dyDescent="0.25">
      <c r="B64" s="1024"/>
      <c r="C64" s="582" t="s">
        <v>612</v>
      </c>
      <c r="D64" s="543" t="s">
        <v>846</v>
      </c>
      <c r="E64" s="573" t="s">
        <v>847</v>
      </c>
      <c r="F64" s="574"/>
      <c r="G64" s="546" t="s">
        <v>51</v>
      </c>
      <c r="H64" s="547">
        <f>'02_SupisPrac'!H64</f>
        <v>84.550000000000011</v>
      </c>
      <c r="J64" s="659">
        <f>'02_SupisPrac'!J64</f>
        <v>0</v>
      </c>
      <c r="K64" s="660">
        <f t="shared" si="0"/>
        <v>0</v>
      </c>
      <c r="L64" s="463"/>
      <c r="M64" s="463"/>
      <c r="N64" s="463"/>
      <c r="O64" s="463"/>
      <c r="P64" s="463"/>
    </row>
    <row r="65" spans="2:16" s="516" customFormat="1" ht="18.95" customHeight="1" x14ac:dyDescent="0.2">
      <c r="B65" s="1024"/>
      <c r="C65" s="583" t="s">
        <v>70</v>
      </c>
      <c r="D65" s="584" t="s">
        <v>27</v>
      </c>
      <c r="E65" s="585" t="s">
        <v>28</v>
      </c>
      <c r="F65" s="586"/>
      <c r="G65" s="587" t="s">
        <v>51</v>
      </c>
      <c r="H65" s="588">
        <f>'02_SupisPrac'!H65</f>
        <v>4</v>
      </c>
      <c r="J65" s="652">
        <f>'02_SupisPrac'!J65</f>
        <v>0</v>
      </c>
      <c r="K65" s="479">
        <f t="shared" si="0"/>
        <v>0</v>
      </c>
      <c r="L65" s="510"/>
      <c r="M65" s="510"/>
      <c r="N65" s="510"/>
      <c r="O65" s="510"/>
      <c r="P65" s="510"/>
    </row>
    <row r="66" spans="2:16" s="516" customFormat="1" ht="18.95" customHeight="1" thickBot="1" x14ac:dyDescent="0.25">
      <c r="B66" s="1024"/>
      <c r="C66" s="568" t="s">
        <v>70</v>
      </c>
      <c r="D66" s="500" t="s">
        <v>74</v>
      </c>
      <c r="E66" s="501" t="s">
        <v>75</v>
      </c>
      <c r="F66" s="589"/>
      <c r="G66" s="503" t="s">
        <v>12</v>
      </c>
      <c r="H66" s="515">
        <f>'02_SupisPrac'!H66</f>
        <v>60.65</v>
      </c>
      <c r="J66" s="655">
        <f>'02_SupisPrac'!J66</f>
        <v>0</v>
      </c>
      <c r="K66" s="656">
        <f t="shared" si="0"/>
        <v>0</v>
      </c>
      <c r="L66" s="510"/>
      <c r="M66" s="510"/>
      <c r="N66" s="510"/>
      <c r="O66" s="510"/>
      <c r="P66" s="510"/>
    </row>
    <row r="67" spans="2:16" s="461" customFormat="1" ht="24" x14ac:dyDescent="0.2">
      <c r="B67" s="1024"/>
      <c r="C67" s="583" t="s">
        <v>86</v>
      </c>
      <c r="D67" s="584" t="s">
        <v>927</v>
      </c>
      <c r="E67" s="590" t="s">
        <v>928</v>
      </c>
      <c r="F67" s="586"/>
      <c r="G67" s="587" t="s">
        <v>51</v>
      </c>
      <c r="H67" s="588">
        <f>'02_SupisPrac'!H67</f>
        <v>5</v>
      </c>
      <c r="J67" s="652">
        <f>'02_SupisPrac'!J67</f>
        <v>0</v>
      </c>
      <c r="K67" s="479">
        <f t="shared" si="0"/>
        <v>0</v>
      </c>
      <c r="L67" s="463"/>
      <c r="M67" s="463"/>
      <c r="N67" s="463"/>
      <c r="O67" s="463"/>
      <c r="P67" s="463"/>
    </row>
    <row r="68" spans="2:16" s="595" customFormat="1" ht="15.95" customHeight="1" thickBot="1" x14ac:dyDescent="0.25">
      <c r="B68" s="1024"/>
      <c r="C68" s="591" t="s">
        <v>86</v>
      </c>
      <c r="D68" s="592" t="s">
        <v>88</v>
      </c>
      <c r="E68" s="593" t="s">
        <v>89</v>
      </c>
      <c r="F68" s="594"/>
      <c r="G68" s="539" t="s">
        <v>25</v>
      </c>
      <c r="H68" s="540">
        <f>'02_SupisPrac'!H68</f>
        <v>40</v>
      </c>
      <c r="J68" s="655">
        <f>'02_SupisPrac'!J68</f>
        <v>0</v>
      </c>
      <c r="K68" s="656">
        <f t="shared" si="0"/>
        <v>0</v>
      </c>
      <c r="L68" s="596"/>
      <c r="M68" s="596"/>
      <c r="N68" s="596"/>
      <c r="O68" s="596"/>
      <c r="P68" s="596"/>
    </row>
    <row r="69" spans="2:16" s="461" customFormat="1" ht="15.95" customHeight="1" x14ac:dyDescent="0.2">
      <c r="B69" s="1024"/>
      <c r="C69" s="597" t="s">
        <v>696</v>
      </c>
      <c r="D69" s="598" t="s">
        <v>24</v>
      </c>
      <c r="E69" s="575" t="s">
        <v>1</v>
      </c>
      <c r="F69" s="520"/>
      <c r="G69" s="494" t="s">
        <v>51</v>
      </c>
      <c r="H69" s="521">
        <f>'02_SupisPrac'!H69</f>
        <v>1.0499999999999998</v>
      </c>
      <c r="J69" s="652">
        <f>'02_SupisPrac'!J69</f>
        <v>0</v>
      </c>
      <c r="K69" s="479">
        <f t="shared" si="0"/>
        <v>0</v>
      </c>
      <c r="L69" s="463"/>
      <c r="M69" s="463"/>
      <c r="N69" s="463"/>
      <c r="O69" s="463"/>
      <c r="P69" s="463"/>
    </row>
    <row r="70" spans="2:16" s="461" customFormat="1" ht="15.95" customHeight="1" x14ac:dyDescent="0.2">
      <c r="B70" s="1024"/>
      <c r="C70" s="599" t="s">
        <v>696</v>
      </c>
      <c r="D70" s="527" t="s">
        <v>41</v>
      </c>
      <c r="E70" s="475" t="s">
        <v>6</v>
      </c>
      <c r="F70" s="525"/>
      <c r="G70" s="477" t="s">
        <v>12</v>
      </c>
      <c r="H70" s="565">
        <f>'02_SupisPrac'!H70</f>
        <v>9.7299999999999969</v>
      </c>
      <c r="J70" s="653">
        <f>'02_SupisPrac'!J70</f>
        <v>0</v>
      </c>
      <c r="K70" s="654">
        <f t="shared" si="0"/>
        <v>0</v>
      </c>
      <c r="L70" s="463"/>
      <c r="M70" s="463"/>
      <c r="N70" s="463"/>
      <c r="O70" s="463"/>
      <c r="P70" s="463"/>
    </row>
    <row r="71" spans="2:16" s="461" customFormat="1" ht="15.95" customHeight="1" x14ac:dyDescent="0.2">
      <c r="B71" s="1024"/>
      <c r="C71" s="599" t="s">
        <v>696</v>
      </c>
      <c r="D71" s="600" t="s">
        <v>686</v>
      </c>
      <c r="E71" s="566" t="s">
        <v>687</v>
      </c>
      <c r="F71" s="601"/>
      <c r="G71" s="602" t="s">
        <v>51</v>
      </c>
      <c r="H71" s="603">
        <f>'02_SupisPrac'!H71</f>
        <v>19.2</v>
      </c>
      <c r="J71" s="653">
        <f>'02_SupisPrac'!J71</f>
        <v>0</v>
      </c>
      <c r="K71" s="654">
        <f t="shared" si="0"/>
        <v>0</v>
      </c>
      <c r="L71" s="463"/>
      <c r="M71" s="463"/>
      <c r="N71" s="463"/>
      <c r="O71" s="463"/>
      <c r="P71" s="463"/>
    </row>
    <row r="72" spans="2:16" s="461" customFormat="1" ht="15.95" customHeight="1" x14ac:dyDescent="0.2">
      <c r="B72" s="1024"/>
      <c r="C72" s="599" t="s">
        <v>696</v>
      </c>
      <c r="D72" s="604" t="s">
        <v>52</v>
      </c>
      <c r="E72" s="535" t="s">
        <v>55</v>
      </c>
      <c r="F72" s="562"/>
      <c r="G72" s="563" t="s">
        <v>51</v>
      </c>
      <c r="H72" s="534">
        <f>'02_SupisPrac'!H72</f>
        <v>8.5939999999999994</v>
      </c>
      <c r="J72" s="653">
        <f>'02_SupisPrac'!J72</f>
        <v>0</v>
      </c>
      <c r="K72" s="654">
        <f t="shared" si="0"/>
        <v>0</v>
      </c>
      <c r="L72" s="463"/>
      <c r="M72" s="463"/>
      <c r="N72" s="463"/>
      <c r="O72" s="463"/>
      <c r="P72" s="463"/>
    </row>
    <row r="73" spans="2:16" s="461" customFormat="1" ht="15.95" customHeight="1" thickBot="1" x14ac:dyDescent="0.25">
      <c r="B73" s="1024"/>
      <c r="C73" s="577" t="s">
        <v>696</v>
      </c>
      <c r="D73" s="605" t="s">
        <v>58</v>
      </c>
      <c r="E73" s="569" t="s">
        <v>64</v>
      </c>
      <c r="F73" s="580"/>
      <c r="G73" s="503" t="s">
        <v>5</v>
      </c>
      <c r="H73" s="581">
        <f>'02_SupisPrac'!H73</f>
        <v>4.4755199999999995E-2</v>
      </c>
      <c r="J73" s="655">
        <f>'02_SupisPrac'!J73</f>
        <v>0</v>
      </c>
      <c r="K73" s="656">
        <f t="shared" ref="K73:K81" si="1">H73*J73</f>
        <v>0</v>
      </c>
      <c r="L73" s="463"/>
      <c r="M73" s="463"/>
      <c r="N73" s="463"/>
      <c r="O73" s="463"/>
      <c r="P73" s="463"/>
    </row>
    <row r="74" spans="2:16" s="461" customFormat="1" ht="15.95" customHeight="1" x14ac:dyDescent="0.2">
      <c r="B74" s="1024"/>
      <c r="C74" s="606" t="s">
        <v>78</v>
      </c>
      <c r="D74" s="504" t="s">
        <v>29</v>
      </c>
      <c r="E74" s="607" t="s">
        <v>50</v>
      </c>
      <c r="F74" s="506"/>
      <c r="G74" s="507" t="s">
        <v>12</v>
      </c>
      <c r="H74" s="508">
        <f>'02_SupisPrac'!H74</f>
        <v>101.74</v>
      </c>
      <c r="J74" s="652">
        <f>'02_SupisPrac'!J74</f>
        <v>0</v>
      </c>
      <c r="K74" s="479">
        <f t="shared" si="1"/>
        <v>0</v>
      </c>
      <c r="L74" s="463"/>
      <c r="M74" s="463"/>
      <c r="N74" s="463"/>
      <c r="O74" s="463"/>
      <c r="P74" s="463"/>
    </row>
    <row r="75" spans="2:16" s="461" customFormat="1" x14ac:dyDescent="0.2">
      <c r="B75" s="1024"/>
      <c r="C75" s="557" t="s">
        <v>78</v>
      </c>
      <c r="D75" s="474" t="s">
        <v>46</v>
      </c>
      <c r="E75" s="475" t="s">
        <v>43</v>
      </c>
      <c r="F75" s="533"/>
      <c r="G75" s="477" t="s">
        <v>12</v>
      </c>
      <c r="H75" s="534">
        <f>'02_SupisPrac'!H75</f>
        <v>96.875999999999991</v>
      </c>
      <c r="J75" s="653">
        <f>'02_SupisPrac'!J75</f>
        <v>0</v>
      </c>
      <c r="K75" s="654">
        <f t="shared" si="1"/>
        <v>0</v>
      </c>
      <c r="L75" s="463"/>
      <c r="M75" s="463"/>
      <c r="N75" s="463"/>
      <c r="O75" s="463"/>
      <c r="P75" s="463"/>
    </row>
    <row r="76" spans="2:16" s="461" customFormat="1" ht="13.5" thickBot="1" x14ac:dyDescent="0.25">
      <c r="B76" s="1024"/>
      <c r="C76" s="568" t="s">
        <v>78</v>
      </c>
      <c r="D76" s="500" t="s">
        <v>48</v>
      </c>
      <c r="E76" s="569" t="s">
        <v>19</v>
      </c>
      <c r="F76" s="570"/>
      <c r="G76" s="503" t="s">
        <v>12</v>
      </c>
      <c r="H76" s="515">
        <f>'02_SupisPrac'!H76</f>
        <v>147.07599999999999</v>
      </c>
      <c r="J76" s="655">
        <f>'02_SupisPrac'!J76</f>
        <v>0</v>
      </c>
      <c r="K76" s="656">
        <f t="shared" si="1"/>
        <v>0</v>
      </c>
      <c r="L76" s="463"/>
      <c r="M76" s="463"/>
      <c r="N76" s="463"/>
      <c r="O76" s="463"/>
      <c r="P76" s="463"/>
    </row>
    <row r="77" spans="2:16" s="510" customFormat="1" ht="15.95" customHeight="1" thickBot="1" x14ac:dyDescent="0.25">
      <c r="B77" s="1024"/>
      <c r="C77" s="582" t="s">
        <v>80</v>
      </c>
      <c r="D77" s="543" t="s">
        <v>82</v>
      </c>
      <c r="E77" s="573" t="s">
        <v>83</v>
      </c>
      <c r="F77" s="545"/>
      <c r="G77" s="546" t="s">
        <v>25</v>
      </c>
      <c r="H77" s="547">
        <f>'02_SupisPrac'!H77</f>
        <v>29.5</v>
      </c>
      <c r="I77" s="516"/>
      <c r="J77" s="659">
        <f>'02_SupisPrac'!J77</f>
        <v>0</v>
      </c>
      <c r="K77" s="660">
        <f t="shared" si="1"/>
        <v>0</v>
      </c>
    </row>
    <row r="78" spans="2:16" s="556" customFormat="1" ht="24" x14ac:dyDescent="0.2">
      <c r="B78" s="1024"/>
      <c r="C78" s="609" t="s">
        <v>412</v>
      </c>
      <c r="D78" s="491" t="s">
        <v>438</v>
      </c>
      <c r="E78" s="575" t="s">
        <v>439</v>
      </c>
      <c r="F78" s="610"/>
      <c r="G78" s="494" t="s">
        <v>12</v>
      </c>
      <c r="H78" s="611">
        <f>'02_SupisPrac'!H78</f>
        <v>92.736000000000004</v>
      </c>
      <c r="I78" s="555"/>
      <c r="J78" s="652">
        <f>'02_SupisPrac'!J78</f>
        <v>0</v>
      </c>
      <c r="K78" s="479">
        <f t="shared" si="1"/>
        <v>0</v>
      </c>
    </row>
    <row r="79" spans="2:16" s="461" customFormat="1" ht="15.95" customHeight="1" x14ac:dyDescent="0.2">
      <c r="B79" s="1024"/>
      <c r="C79" s="612" t="s">
        <v>412</v>
      </c>
      <c r="D79" s="474" t="s">
        <v>441</v>
      </c>
      <c r="E79" s="475" t="s">
        <v>442</v>
      </c>
      <c r="F79" s="613"/>
      <c r="G79" s="477" t="s">
        <v>12</v>
      </c>
      <c r="H79" s="614">
        <f>'02_SupisPrac'!H79</f>
        <v>139.10400000000001</v>
      </c>
      <c r="J79" s="653">
        <f>'02_SupisPrac'!J79</f>
        <v>0</v>
      </c>
      <c r="K79" s="654">
        <f t="shared" si="1"/>
        <v>0</v>
      </c>
      <c r="L79" s="463"/>
      <c r="M79" s="463"/>
      <c r="N79" s="463"/>
      <c r="O79" s="463"/>
      <c r="P79" s="463"/>
    </row>
    <row r="80" spans="2:16" s="461" customFormat="1" ht="15.95" customHeight="1" thickBot="1" x14ac:dyDescent="0.25">
      <c r="B80" s="1024"/>
      <c r="C80" s="615" t="s">
        <v>412</v>
      </c>
      <c r="D80" s="500" t="s">
        <v>443</v>
      </c>
      <c r="E80" s="569" t="s">
        <v>444</v>
      </c>
      <c r="F80" s="616"/>
      <c r="G80" s="503" t="s">
        <v>12</v>
      </c>
      <c r="H80" s="617">
        <f>'02_SupisPrac'!H80</f>
        <v>206.25900000000004</v>
      </c>
      <c r="J80" s="655">
        <f>'02_SupisPrac'!J80</f>
        <v>0</v>
      </c>
      <c r="K80" s="656">
        <f t="shared" si="1"/>
        <v>0</v>
      </c>
      <c r="L80" s="463"/>
      <c r="M80" s="463"/>
      <c r="N80" s="463"/>
      <c r="O80" s="463"/>
      <c r="P80" s="463"/>
    </row>
    <row r="81" spans="2:16" s="461" customFormat="1" ht="50.1" customHeight="1" thickBot="1" x14ac:dyDescent="0.25">
      <c r="B81" s="1023"/>
      <c r="C81" s="619" t="s">
        <v>414</v>
      </c>
      <c r="D81" s="620" t="s">
        <v>859</v>
      </c>
      <c r="E81" s="573" t="s">
        <v>860</v>
      </c>
      <c r="F81" s="621"/>
      <c r="G81" s="622" t="s">
        <v>12</v>
      </c>
      <c r="H81" s="623">
        <f>'02_SupisPrac'!H81</f>
        <v>272.42700000000002</v>
      </c>
      <c r="J81" s="659"/>
      <c r="K81" s="660">
        <f t="shared" si="1"/>
        <v>0</v>
      </c>
      <c r="L81" s="463"/>
      <c r="M81" s="463"/>
      <c r="N81" s="463"/>
      <c r="O81" s="463"/>
      <c r="P81" s="463"/>
    </row>
    <row r="82" spans="2:16" s="461" customFormat="1" ht="15.95" customHeight="1" x14ac:dyDescent="0.2">
      <c r="B82" s="556"/>
      <c r="C82" s="556"/>
      <c r="D82" s="463"/>
      <c r="E82" s="463"/>
      <c r="F82" s="624"/>
      <c r="G82" s="463"/>
      <c r="H82" s="625"/>
      <c r="J82" s="626" t="s">
        <v>987</v>
      </c>
      <c r="K82" s="627">
        <f>SUM(K8:K81)</f>
        <v>0</v>
      </c>
      <c r="L82" s="463"/>
      <c r="M82" s="463"/>
      <c r="N82" s="463"/>
      <c r="O82" s="463"/>
      <c r="P82" s="463"/>
    </row>
    <row r="83" spans="2:16" s="461" customFormat="1" ht="15.95" customHeight="1" x14ac:dyDescent="0.2">
      <c r="B83" s="556"/>
      <c r="C83" s="556"/>
      <c r="D83" s="463"/>
      <c r="E83" s="463"/>
      <c r="F83" s="624"/>
      <c r="G83" s="463"/>
      <c r="H83" s="625"/>
      <c r="J83" s="628" t="s">
        <v>988</v>
      </c>
      <c r="K83" s="629">
        <f>K82*0.2</f>
        <v>0</v>
      </c>
      <c r="L83" s="463"/>
      <c r="M83" s="463"/>
      <c r="N83" s="463"/>
      <c r="O83" s="463"/>
      <c r="P83" s="463"/>
    </row>
    <row r="84" spans="2:16" s="461" customFormat="1" ht="15.95" customHeight="1" thickBot="1" x14ac:dyDescent="0.25">
      <c r="B84" s="556"/>
      <c r="C84" s="630"/>
      <c r="D84" s="631"/>
      <c r="E84" s="463"/>
      <c r="F84" s="624"/>
      <c r="G84" s="631"/>
      <c r="H84" s="632"/>
      <c r="J84" s="633" t="s">
        <v>989</v>
      </c>
      <c r="K84" s="634">
        <f>SUM(K82:K83)</f>
        <v>0</v>
      </c>
      <c r="L84" s="463"/>
      <c r="M84" s="463"/>
      <c r="N84" s="463"/>
      <c r="O84" s="463"/>
      <c r="P84" s="463"/>
    </row>
    <row r="85" spans="2:16" s="461" customFormat="1" x14ac:dyDescent="0.2">
      <c r="B85" s="556"/>
      <c r="C85" s="556"/>
      <c r="D85" s="463"/>
      <c r="E85" s="463"/>
      <c r="F85" s="624"/>
      <c r="G85" s="463"/>
      <c r="H85" s="625"/>
      <c r="J85" s="462"/>
      <c r="K85" s="463"/>
      <c r="L85" s="463"/>
      <c r="M85" s="463"/>
      <c r="N85" s="463"/>
      <c r="O85" s="463"/>
      <c r="P85" s="463"/>
    </row>
    <row r="86" spans="2:16" s="461" customFormat="1" x14ac:dyDescent="0.2">
      <c r="B86" s="556"/>
      <c r="C86" s="556"/>
      <c r="D86" s="463"/>
      <c r="E86" s="463"/>
      <c r="F86" s="624"/>
      <c r="G86" s="463"/>
      <c r="H86" s="625"/>
      <c r="J86" s="462"/>
      <c r="K86" s="463"/>
      <c r="L86" s="463"/>
      <c r="M86" s="463"/>
      <c r="N86" s="463"/>
      <c r="O86" s="463"/>
      <c r="P86" s="463"/>
    </row>
    <row r="87" spans="2:16" s="461" customFormat="1" x14ac:dyDescent="0.2">
      <c r="B87" s="556"/>
      <c r="C87" s="556"/>
      <c r="D87" s="463"/>
      <c r="E87" s="463"/>
      <c r="F87" s="624"/>
      <c r="G87" s="463"/>
      <c r="H87" s="625"/>
      <c r="J87" s="462"/>
      <c r="K87" s="463"/>
      <c r="L87" s="463"/>
      <c r="M87" s="463"/>
      <c r="N87" s="463"/>
      <c r="O87" s="463"/>
      <c r="P87" s="463"/>
    </row>
    <row r="88" spans="2:16" s="461" customFormat="1" x14ac:dyDescent="0.2">
      <c r="B88" s="556"/>
      <c r="C88" s="556"/>
      <c r="D88" s="463"/>
      <c r="E88" s="463"/>
      <c r="F88" s="624"/>
      <c r="G88" s="463"/>
      <c r="H88" s="625"/>
      <c r="J88" s="462"/>
      <c r="K88" s="463"/>
      <c r="L88" s="463"/>
      <c r="M88" s="463"/>
      <c r="N88" s="463"/>
      <c r="O88" s="463"/>
      <c r="P88" s="463"/>
    </row>
    <row r="91" spans="2:16" s="461" customFormat="1" ht="15.75" customHeight="1" x14ac:dyDescent="0.2">
      <c r="B91" s="556"/>
      <c r="C91" s="556"/>
      <c r="D91" s="463"/>
      <c r="E91" s="463"/>
      <c r="F91" s="624"/>
      <c r="G91" s="463"/>
      <c r="H91" s="625"/>
      <c r="J91" s="462"/>
      <c r="K91" s="463"/>
      <c r="L91" s="463"/>
      <c r="M91" s="463"/>
      <c r="N91" s="463"/>
      <c r="O91" s="463"/>
      <c r="P91" s="463"/>
    </row>
  </sheetData>
  <sheetProtection algorithmName="SHA-512" hashValue="xyzebPbj1hnfQqrEchlzlTGa1fNrbCSmAdcYl0M4nWLmE8dUvzaXgumcgSedmg3A5mBYgboySDoxMz/AAI1ndw==" saltValue="jYqQVVW0JEYj3Kh08BDWnA==" spinCount="100000" sheet="1" objects="1" scenarios="1" selectLockedCells="1"/>
  <mergeCells count="10">
    <mergeCell ref="B8:B81"/>
    <mergeCell ref="J6:J7"/>
    <mergeCell ref="K6:K7"/>
    <mergeCell ref="C1:H1"/>
    <mergeCell ref="C2:E2"/>
    <mergeCell ref="B6:B7"/>
    <mergeCell ref="C6:D7"/>
    <mergeCell ref="E6:F7"/>
    <mergeCell ref="G6:G7"/>
    <mergeCell ref="H6:H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8906-FB0D-4FB4-9BC4-DAB035BFCCC2}">
  <dimension ref="B1:Q494"/>
  <sheetViews>
    <sheetView view="pageBreakPreview" zoomScaleNormal="120" zoomScaleSheetLayoutView="100" workbookViewId="0">
      <pane ySplit="7" topLeftCell="A8" activePane="bottomLeft" state="frozen"/>
      <selection pane="bottomLeft" activeCell="M71" sqref="M71"/>
    </sheetView>
  </sheetViews>
  <sheetFormatPr defaultRowHeight="12.75" x14ac:dyDescent="0.2"/>
  <cols>
    <col min="1" max="1" width="3.28515625" style="463" customWidth="1"/>
    <col min="2" max="2" width="4.7109375" style="556" customWidth="1"/>
    <col min="3" max="3" width="9.28515625" style="556" bestFit="1" customWidth="1"/>
    <col min="4" max="4" width="9.5703125" style="463" bestFit="1" customWidth="1"/>
    <col min="5" max="5" width="11" style="463" customWidth="1"/>
    <col min="6" max="6" width="52.7109375" style="463" customWidth="1"/>
    <col min="7" max="7" width="10.5703125" style="624" bestFit="1" customWidth="1"/>
    <col min="8" max="8" width="5" style="463" bestFit="1" customWidth="1"/>
    <col min="9" max="9" width="9.85546875" style="625" customWidth="1"/>
    <col min="10" max="10" width="3.42578125" style="461" customWidth="1"/>
    <col min="11" max="11" width="15.28515625" style="462" customWidth="1"/>
    <col min="12" max="12" width="6.28515625" style="463" customWidth="1"/>
    <col min="13" max="16384" width="9.140625" style="463"/>
  </cols>
  <sheetData>
    <row r="1" spans="2:9" ht="25.5" customHeight="1" x14ac:dyDescent="0.2">
      <c r="B1" s="460" t="s">
        <v>626</v>
      </c>
      <c r="F1" s="982" t="s">
        <v>724</v>
      </c>
      <c r="G1" s="982"/>
      <c r="H1" s="982"/>
      <c r="I1" s="982"/>
    </row>
    <row r="2" spans="2:9" x14ac:dyDescent="0.2">
      <c r="B2" s="460" t="s">
        <v>149</v>
      </c>
      <c r="C2" s="460"/>
      <c r="D2" s="467"/>
      <c r="E2" s="644"/>
      <c r="F2" s="468" t="s">
        <v>725</v>
      </c>
      <c r="G2" s="464"/>
      <c r="H2" s="465"/>
      <c r="I2" s="466"/>
    </row>
    <row r="3" spans="2:9" x14ac:dyDescent="0.2">
      <c r="B3" s="460"/>
      <c r="C3" s="460"/>
      <c r="D3" s="467"/>
      <c r="E3" s="644"/>
      <c r="F3" s="468"/>
      <c r="G3" s="464"/>
      <c r="H3" s="465"/>
      <c r="I3" s="466"/>
    </row>
    <row r="4" spans="2:9" ht="15.75" x14ac:dyDescent="0.2">
      <c r="B4" s="469" t="s">
        <v>152</v>
      </c>
      <c r="C4" s="460"/>
      <c r="D4" s="467"/>
      <c r="E4" s="644"/>
      <c r="F4" s="468"/>
      <c r="G4" s="464"/>
      <c r="H4" s="465"/>
      <c r="I4" s="466"/>
    </row>
    <row r="5" spans="2:9" ht="13.5" thickBot="1" x14ac:dyDescent="0.25">
      <c r="B5" s="663"/>
      <c r="C5" s="460"/>
      <c r="D5" s="467"/>
      <c r="E5" s="644"/>
      <c r="F5" s="470"/>
      <c r="G5" s="464"/>
      <c r="H5" s="664"/>
      <c r="I5" s="466"/>
    </row>
    <row r="6" spans="2:9" x14ac:dyDescent="0.2">
      <c r="B6" s="1025" t="s">
        <v>151</v>
      </c>
      <c r="C6" s="1026"/>
      <c r="D6" s="1026"/>
      <c r="E6" s="665"/>
      <c r="F6" s="1027" t="s">
        <v>152</v>
      </c>
      <c r="G6" s="1028"/>
      <c r="H6" s="1031" t="s">
        <v>153</v>
      </c>
      <c r="I6" s="1033" t="s">
        <v>154</v>
      </c>
    </row>
    <row r="7" spans="2:9" ht="13.5" thickBot="1" x14ac:dyDescent="0.25">
      <c r="B7" s="666" t="s">
        <v>155</v>
      </c>
      <c r="C7" s="667" t="s">
        <v>950</v>
      </c>
      <c r="D7" s="667" t="s">
        <v>951</v>
      </c>
      <c r="E7" s="667" t="s">
        <v>952</v>
      </c>
      <c r="F7" s="1029"/>
      <c r="G7" s="1030"/>
      <c r="H7" s="1032"/>
      <c r="I7" s="1034"/>
    </row>
    <row r="8" spans="2:9" x14ac:dyDescent="0.2">
      <c r="B8" s="668"/>
      <c r="C8" s="669"/>
      <c r="D8" s="669"/>
      <c r="E8" s="670"/>
      <c r="F8" s="671"/>
      <c r="G8" s="672"/>
      <c r="H8" s="673"/>
      <c r="I8" s="674"/>
    </row>
    <row r="9" spans="2:9" x14ac:dyDescent="0.2">
      <c r="B9" s="675"/>
      <c r="C9" s="676" t="s">
        <v>867</v>
      </c>
      <c r="D9" s="676"/>
      <c r="E9" s="677"/>
      <c r="F9" s="678" t="s">
        <v>868</v>
      </c>
      <c r="G9" s="679"/>
      <c r="H9" s="680"/>
      <c r="I9" s="681"/>
    </row>
    <row r="10" spans="2:9" x14ac:dyDescent="0.2">
      <c r="B10" s="682"/>
      <c r="C10" s="683"/>
      <c r="D10" s="683"/>
      <c r="E10" s="684"/>
      <c r="F10" s="685"/>
      <c r="G10" s="686"/>
      <c r="H10" s="687"/>
      <c r="I10" s="688"/>
    </row>
    <row r="11" spans="2:9" ht="25.5" x14ac:dyDescent="0.2">
      <c r="B11" s="689">
        <f>MAX(B$5:B9)+1</f>
        <v>1</v>
      </c>
      <c r="C11" s="683"/>
      <c r="D11" s="690" t="s">
        <v>869</v>
      </c>
      <c r="E11" s="691"/>
      <c r="F11" s="692" t="s">
        <v>870</v>
      </c>
      <c r="G11" s="693"/>
      <c r="H11" s="694" t="s">
        <v>5</v>
      </c>
      <c r="I11" s="695">
        <f>G93</f>
        <v>208.97</v>
      </c>
    </row>
    <row r="12" spans="2:9" x14ac:dyDescent="0.2">
      <c r="B12" s="682"/>
      <c r="C12" s="683"/>
      <c r="D12" s="683"/>
      <c r="E12" s="684"/>
      <c r="F12" s="685"/>
      <c r="G12" s="686"/>
      <c r="H12" s="687"/>
      <c r="I12" s="688"/>
    </row>
    <row r="13" spans="2:9" x14ac:dyDescent="0.2">
      <c r="B13" s="689">
        <f>MAX(B$5:B11)+1</f>
        <v>2</v>
      </c>
      <c r="C13" s="683"/>
      <c r="D13" s="690" t="s">
        <v>871</v>
      </c>
      <c r="E13" s="691"/>
      <c r="F13" s="692" t="s">
        <v>872</v>
      </c>
      <c r="G13" s="693"/>
      <c r="H13" s="696" t="s">
        <v>51</v>
      </c>
      <c r="I13" s="695">
        <f>G155</f>
        <v>127.6</v>
      </c>
    </row>
    <row r="14" spans="2:9" x14ac:dyDescent="0.2">
      <c r="B14" s="682"/>
      <c r="C14" s="683"/>
      <c r="D14" s="683"/>
      <c r="E14" s="684"/>
      <c r="F14" s="685"/>
      <c r="G14" s="686"/>
      <c r="H14" s="687"/>
      <c r="I14" s="688"/>
    </row>
    <row r="15" spans="2:9" ht="25.5" x14ac:dyDescent="0.2">
      <c r="B15" s="689">
        <f>MAX(B$5:B13)+1</f>
        <v>3</v>
      </c>
      <c r="C15" s="683"/>
      <c r="D15" s="690" t="s">
        <v>873</v>
      </c>
      <c r="E15" s="691"/>
      <c r="F15" s="692" t="s">
        <v>874</v>
      </c>
      <c r="G15" s="693"/>
      <c r="H15" s="694" t="s">
        <v>51</v>
      </c>
      <c r="I15" s="695">
        <v>5</v>
      </c>
    </row>
    <row r="16" spans="2:9" x14ac:dyDescent="0.2">
      <c r="B16" s="682"/>
      <c r="C16" s="683"/>
      <c r="D16" s="683"/>
      <c r="E16" s="684"/>
      <c r="F16" s="685"/>
      <c r="G16" s="686"/>
      <c r="H16" s="687"/>
      <c r="I16" s="688"/>
    </row>
    <row r="17" spans="2:9" ht="25.5" x14ac:dyDescent="0.2">
      <c r="B17" s="689">
        <f>MAX(B$5:B15)+1</f>
        <v>4</v>
      </c>
      <c r="C17" s="683"/>
      <c r="D17" s="697" t="s">
        <v>876</v>
      </c>
      <c r="E17" s="684"/>
      <c r="F17" s="698" t="s">
        <v>875</v>
      </c>
      <c r="G17" s="686"/>
      <c r="H17" s="699" t="s">
        <v>543</v>
      </c>
      <c r="I17" s="695">
        <f>I19+I22</f>
        <v>2</v>
      </c>
    </row>
    <row r="18" spans="2:9" x14ac:dyDescent="0.2">
      <c r="B18" s="682"/>
      <c r="C18" s="683"/>
      <c r="D18" s="683"/>
      <c r="E18" s="684"/>
      <c r="F18" s="685"/>
      <c r="G18" s="686"/>
      <c r="H18" s="687"/>
      <c r="I18" s="688"/>
    </row>
    <row r="19" spans="2:9" x14ac:dyDescent="0.2">
      <c r="B19" s="682"/>
      <c r="C19" s="683"/>
      <c r="D19" s="683"/>
      <c r="E19" s="480" t="s">
        <v>877</v>
      </c>
      <c r="F19" s="700" t="s">
        <v>878</v>
      </c>
      <c r="G19" s="686"/>
      <c r="H19" s="687" t="s">
        <v>543</v>
      </c>
      <c r="I19" s="688">
        <v>1</v>
      </c>
    </row>
    <row r="20" spans="2:9" ht="22.5" x14ac:dyDescent="0.2">
      <c r="B20" s="682"/>
      <c r="C20" s="683"/>
      <c r="D20" s="683"/>
      <c r="E20" s="684"/>
      <c r="F20" s="701" t="s">
        <v>879</v>
      </c>
      <c r="G20" s="686">
        <v>1</v>
      </c>
      <c r="H20" s="687"/>
      <c r="I20" s="688"/>
    </row>
    <row r="21" spans="2:9" x14ac:dyDescent="0.2">
      <c r="B21" s="682"/>
      <c r="C21" s="683"/>
      <c r="D21" s="683"/>
      <c r="E21" s="684"/>
      <c r="F21" s="685"/>
      <c r="G21" s="686"/>
      <c r="H21" s="687"/>
      <c r="I21" s="688"/>
    </row>
    <row r="22" spans="2:9" x14ac:dyDescent="0.2">
      <c r="B22" s="682"/>
      <c r="C22" s="683"/>
      <c r="D22" s="683"/>
      <c r="E22" s="480" t="s">
        <v>880</v>
      </c>
      <c r="F22" s="700" t="s">
        <v>881</v>
      </c>
      <c r="G22" s="686"/>
      <c r="H22" s="687" t="s">
        <v>543</v>
      </c>
      <c r="I22" s="688">
        <v>1</v>
      </c>
    </row>
    <row r="23" spans="2:9" ht="22.5" x14ac:dyDescent="0.2">
      <c r="B23" s="682"/>
      <c r="C23" s="683"/>
      <c r="D23" s="683"/>
      <c r="E23" s="684"/>
      <c r="F23" s="701" t="s">
        <v>890</v>
      </c>
      <c r="G23" s="686">
        <v>1</v>
      </c>
      <c r="H23" s="687"/>
      <c r="I23" s="688"/>
    </row>
    <row r="24" spans="2:9" x14ac:dyDescent="0.2">
      <c r="B24" s="682"/>
      <c r="C24" s="683"/>
      <c r="D24" s="683"/>
      <c r="E24" s="684"/>
      <c r="F24" s="685"/>
      <c r="G24" s="686"/>
      <c r="H24" s="687"/>
      <c r="I24" s="688"/>
    </row>
    <row r="25" spans="2:9" ht="38.25" x14ac:dyDescent="0.2">
      <c r="B25" s="689">
        <f>MAX(B$5:B23)+1</f>
        <v>5</v>
      </c>
      <c r="C25" s="683"/>
      <c r="D25" s="697" t="s">
        <v>882</v>
      </c>
      <c r="E25" s="684"/>
      <c r="F25" s="698" t="s">
        <v>891</v>
      </c>
      <c r="G25" s="686"/>
      <c r="H25" s="699" t="s">
        <v>543</v>
      </c>
      <c r="I25" s="695">
        <v>1</v>
      </c>
    </row>
    <row r="26" spans="2:9" x14ac:dyDescent="0.2">
      <c r="B26" s="682"/>
      <c r="C26" s="683"/>
      <c r="D26" s="683"/>
      <c r="E26" s="684"/>
      <c r="F26" s="701"/>
      <c r="G26" s="686"/>
      <c r="H26" s="687"/>
      <c r="I26" s="688"/>
    </row>
    <row r="27" spans="2:9" ht="25.5" x14ac:dyDescent="0.2">
      <c r="B27" s="689">
        <f>MAX(B$5:B25)+1</f>
        <v>6</v>
      </c>
      <c r="C27" s="683"/>
      <c r="D27" s="697" t="s">
        <v>883</v>
      </c>
      <c r="E27" s="684"/>
      <c r="F27" s="698" t="s">
        <v>884</v>
      </c>
      <c r="G27" s="686"/>
      <c r="H27" s="699" t="s">
        <v>543</v>
      </c>
      <c r="I27" s="695">
        <f>I28+I29+I30</f>
        <v>3</v>
      </c>
    </row>
    <row r="28" spans="2:9" ht="36" x14ac:dyDescent="0.2">
      <c r="B28" s="682"/>
      <c r="C28" s="683"/>
      <c r="D28" s="683"/>
      <c r="E28" s="480" t="s">
        <v>885</v>
      </c>
      <c r="F28" s="481" t="s">
        <v>886</v>
      </c>
      <c r="G28" s="686">
        <v>1</v>
      </c>
      <c r="H28" s="687" t="s">
        <v>543</v>
      </c>
      <c r="I28" s="688">
        <v>1</v>
      </c>
    </row>
    <row r="29" spans="2:9" ht="36" x14ac:dyDescent="0.2">
      <c r="B29" s="682"/>
      <c r="C29" s="683"/>
      <c r="D29" s="683"/>
      <c r="E29" s="480" t="s">
        <v>887</v>
      </c>
      <c r="F29" s="481" t="s">
        <v>888</v>
      </c>
      <c r="G29" s="686">
        <v>1</v>
      </c>
      <c r="H29" s="687" t="s">
        <v>543</v>
      </c>
      <c r="I29" s="688">
        <v>1</v>
      </c>
    </row>
    <row r="30" spans="2:9" ht="24" x14ac:dyDescent="0.2">
      <c r="B30" s="682"/>
      <c r="C30" s="683"/>
      <c r="D30" s="683"/>
      <c r="E30" s="480" t="s">
        <v>880</v>
      </c>
      <c r="F30" s="481" t="s">
        <v>889</v>
      </c>
      <c r="G30" s="686">
        <v>1</v>
      </c>
      <c r="H30" s="687" t="s">
        <v>543</v>
      </c>
      <c r="I30" s="688">
        <v>1</v>
      </c>
    </row>
    <row r="31" spans="2:9" x14ac:dyDescent="0.2">
      <c r="B31" s="682"/>
      <c r="C31" s="683"/>
      <c r="D31" s="683"/>
      <c r="E31" s="684"/>
      <c r="F31" s="481"/>
      <c r="G31" s="686"/>
      <c r="H31" s="687"/>
      <c r="I31" s="688"/>
    </row>
    <row r="32" spans="2:9" x14ac:dyDescent="0.2">
      <c r="B32" s="682"/>
      <c r="C32" s="683"/>
      <c r="D32" s="683"/>
      <c r="E32" s="684"/>
      <c r="F32" s="701"/>
      <c r="G32" s="686"/>
      <c r="H32" s="687"/>
      <c r="I32" s="688"/>
    </row>
    <row r="33" spans="2:17" ht="15.75" x14ac:dyDescent="0.2">
      <c r="B33" s="675"/>
      <c r="C33" s="702" t="s">
        <v>288</v>
      </c>
      <c r="D33" s="703"/>
      <c r="E33" s="704"/>
      <c r="F33" s="705" t="s">
        <v>289</v>
      </c>
      <c r="G33" s="679"/>
      <c r="H33" s="680"/>
      <c r="I33" s="681"/>
    </row>
    <row r="34" spans="2:17" x14ac:dyDescent="0.2">
      <c r="B34" s="682"/>
      <c r="C34" s="683"/>
      <c r="D34" s="683"/>
      <c r="E34" s="684"/>
      <c r="F34" s="706"/>
      <c r="G34" s="686"/>
      <c r="H34" s="687"/>
      <c r="I34" s="688"/>
    </row>
    <row r="35" spans="2:17" ht="25.5" x14ac:dyDescent="0.2">
      <c r="B35" s="689">
        <f>MAX(B$5:B33)+1</f>
        <v>7</v>
      </c>
      <c r="C35" s="683"/>
      <c r="D35" s="707" t="s">
        <v>290</v>
      </c>
      <c r="E35" s="708"/>
      <c r="F35" s="709" t="s">
        <v>291</v>
      </c>
      <c r="G35" s="710"/>
      <c r="H35" s="694" t="s">
        <v>51</v>
      </c>
      <c r="I35" s="695">
        <f>G42</f>
        <v>22.343620000000001</v>
      </c>
    </row>
    <row r="36" spans="2:17" s="556" customFormat="1" ht="13.5" customHeight="1" x14ac:dyDescent="0.2">
      <c r="B36" s="711"/>
      <c r="C36" s="712"/>
      <c r="D36" s="713"/>
      <c r="E36" s="714"/>
      <c r="F36" s="715" t="s">
        <v>469</v>
      </c>
      <c r="G36" s="686"/>
      <c r="H36" s="716"/>
      <c r="I36" s="695"/>
      <c r="K36" s="717"/>
      <c r="N36" s="463"/>
      <c r="O36" s="463"/>
      <c r="P36" s="463"/>
      <c r="Q36" s="463"/>
    </row>
    <row r="37" spans="2:17" s="556" customFormat="1" ht="13.5" customHeight="1" x14ac:dyDescent="0.2">
      <c r="B37" s="711"/>
      <c r="C37" s="712"/>
      <c r="D37" s="713"/>
      <c r="E37" s="714"/>
      <c r="F37" s="718" t="s">
        <v>729</v>
      </c>
      <c r="G37" s="719">
        <f>15*0.38*0.65</f>
        <v>3.7050000000000001</v>
      </c>
      <c r="H37" s="716"/>
      <c r="I37" s="695"/>
      <c r="K37" s="717"/>
      <c r="N37" s="463"/>
      <c r="O37" s="463"/>
      <c r="P37" s="463"/>
      <c r="Q37" s="463"/>
    </row>
    <row r="38" spans="2:17" s="556" customFormat="1" ht="13.5" customHeight="1" x14ac:dyDescent="0.2">
      <c r="B38" s="711"/>
      <c r="C38" s="712"/>
      <c r="D38" s="713"/>
      <c r="E38" s="714"/>
      <c r="F38" s="718" t="s">
        <v>730</v>
      </c>
      <c r="G38" s="719">
        <f>14.5*0.38*0.65</f>
        <v>3.5815000000000001</v>
      </c>
      <c r="H38" s="716"/>
      <c r="I38" s="695"/>
      <c r="K38" s="717"/>
    </row>
    <row r="39" spans="2:17" s="556" customFormat="1" x14ac:dyDescent="0.2">
      <c r="B39" s="711"/>
      <c r="C39" s="712"/>
      <c r="D39" s="713"/>
      <c r="E39" s="714"/>
      <c r="F39" s="718" t="s">
        <v>726</v>
      </c>
      <c r="G39" s="719">
        <f>0.12*9.36*10.35</f>
        <v>11.625119999999999</v>
      </c>
      <c r="H39" s="716"/>
      <c r="I39" s="695"/>
      <c r="K39" s="717"/>
    </row>
    <row r="40" spans="2:17" s="556" customFormat="1" x14ac:dyDescent="0.2">
      <c r="B40" s="711"/>
      <c r="C40" s="712"/>
      <c r="D40" s="713"/>
      <c r="E40" s="714"/>
      <c r="F40" s="718" t="s">
        <v>727</v>
      </c>
      <c r="G40" s="720">
        <f>2*0.3*0.65*8.8</f>
        <v>3.4320000000000004</v>
      </c>
      <c r="H40" s="716"/>
      <c r="I40" s="695"/>
      <c r="K40" s="717"/>
    </row>
    <row r="41" spans="2:17" s="556" customFormat="1" x14ac:dyDescent="0.2">
      <c r="B41" s="711"/>
      <c r="C41" s="712"/>
      <c r="D41" s="713"/>
      <c r="E41" s="714"/>
      <c r="F41" s="718" t="s">
        <v>642</v>
      </c>
      <c r="G41" s="720">
        <v>0</v>
      </c>
      <c r="H41" s="716"/>
      <c r="I41" s="695"/>
      <c r="K41" s="717"/>
    </row>
    <row r="42" spans="2:17" s="556" customFormat="1" ht="13.5" customHeight="1" x14ac:dyDescent="0.2">
      <c r="B42" s="711"/>
      <c r="C42" s="712"/>
      <c r="D42" s="713"/>
      <c r="E42" s="714"/>
      <c r="F42" s="721" t="s">
        <v>250</v>
      </c>
      <c r="G42" s="686">
        <f>SUM(G37:G40)</f>
        <v>22.343620000000001</v>
      </c>
      <c r="H42" s="716"/>
      <c r="I42" s="695"/>
      <c r="K42" s="717"/>
    </row>
    <row r="43" spans="2:17" ht="13.5" customHeight="1" x14ac:dyDescent="0.2">
      <c r="B43" s="682"/>
      <c r="C43" s="683"/>
      <c r="D43" s="683"/>
      <c r="E43" s="684"/>
      <c r="F43" s="706"/>
      <c r="G43" s="686"/>
      <c r="H43" s="687"/>
      <c r="I43" s="688"/>
    </row>
    <row r="44" spans="2:17" ht="25.5" customHeight="1" x14ac:dyDescent="0.2">
      <c r="B44" s="689">
        <f>MAX(B$5:B36)+1</f>
        <v>8</v>
      </c>
      <c r="C44" s="683"/>
      <c r="D44" s="707" t="s">
        <v>292</v>
      </c>
      <c r="E44" s="708"/>
      <c r="F44" s="709" t="s">
        <v>293</v>
      </c>
      <c r="G44" s="710"/>
      <c r="H44" s="694" t="s">
        <v>12</v>
      </c>
      <c r="I44" s="695">
        <f>G45</f>
        <v>116.25119999999998</v>
      </c>
    </row>
    <row r="45" spans="2:17" ht="13.5" customHeight="1" x14ac:dyDescent="0.2">
      <c r="B45" s="682"/>
      <c r="C45" s="683"/>
      <c r="D45" s="683"/>
      <c r="E45" s="684"/>
      <c r="F45" s="715" t="s">
        <v>728</v>
      </c>
      <c r="G45" s="719">
        <f>9.36*10.35*1.2</f>
        <v>116.25119999999998</v>
      </c>
      <c r="H45" s="687"/>
      <c r="I45" s="688"/>
    </row>
    <row r="46" spans="2:17" x14ac:dyDescent="0.2">
      <c r="B46" s="682"/>
      <c r="C46" s="683"/>
      <c r="D46" s="683"/>
      <c r="E46" s="684"/>
      <c r="F46" s="706"/>
      <c r="G46" s="686"/>
      <c r="H46" s="687"/>
      <c r="I46" s="688"/>
    </row>
    <row r="47" spans="2:17" ht="25.5" x14ac:dyDescent="0.2">
      <c r="B47" s="689">
        <f>MAX(B$5:B45)+1</f>
        <v>9</v>
      </c>
      <c r="C47" s="683"/>
      <c r="D47" s="707" t="s">
        <v>294</v>
      </c>
      <c r="E47" s="708"/>
      <c r="F47" s="709" t="s">
        <v>295</v>
      </c>
      <c r="G47" s="710"/>
      <c r="H47" s="694" t="s">
        <v>12</v>
      </c>
      <c r="I47" s="695">
        <f>G49</f>
        <v>96.800000000000011</v>
      </c>
    </row>
    <row r="48" spans="2:17" ht="25.5" x14ac:dyDescent="0.2">
      <c r="B48" s="682"/>
      <c r="C48" s="683"/>
      <c r="D48" s="683"/>
      <c r="E48" s="714" t="s">
        <v>296</v>
      </c>
      <c r="F48" s="722" t="s">
        <v>297</v>
      </c>
      <c r="G48" s="723"/>
      <c r="H48" s="716" t="s">
        <v>12</v>
      </c>
      <c r="I48" s="688">
        <f>G49</f>
        <v>96.800000000000011</v>
      </c>
    </row>
    <row r="49" spans="2:11" ht="30" customHeight="1" x14ac:dyDescent="0.2">
      <c r="B49" s="682"/>
      <c r="C49" s="683"/>
      <c r="D49" s="683"/>
      <c r="E49" s="684"/>
      <c r="F49" s="724" t="s">
        <v>915</v>
      </c>
      <c r="G49" s="723">
        <f>2*8.8*5.5</f>
        <v>96.800000000000011</v>
      </c>
      <c r="H49" s="687"/>
      <c r="I49" s="688"/>
    </row>
    <row r="50" spans="2:11" x14ac:dyDescent="0.2">
      <c r="B50" s="682"/>
      <c r="C50" s="683"/>
      <c r="D50" s="683"/>
      <c r="E50" s="684"/>
      <c r="F50" s="706"/>
      <c r="G50" s="686"/>
      <c r="H50" s="687"/>
      <c r="I50" s="688"/>
    </row>
    <row r="51" spans="2:11" ht="25.5" customHeight="1" x14ac:dyDescent="0.2">
      <c r="B51" s="689">
        <f>MAX(B$5:B49)+1</f>
        <v>10</v>
      </c>
      <c r="C51" s="683"/>
      <c r="D51" s="707" t="s">
        <v>299</v>
      </c>
      <c r="E51" s="708"/>
      <c r="F51" s="709" t="s">
        <v>300</v>
      </c>
      <c r="G51" s="710"/>
      <c r="H51" s="694" t="s">
        <v>12</v>
      </c>
      <c r="I51" s="695">
        <f>I52</f>
        <v>102.2</v>
      </c>
    </row>
    <row r="52" spans="2:11" ht="36" x14ac:dyDescent="0.2">
      <c r="B52" s="682"/>
      <c r="C52" s="683"/>
      <c r="D52" s="683"/>
      <c r="E52" s="725" t="s">
        <v>301</v>
      </c>
      <c r="F52" s="726" t="s">
        <v>302</v>
      </c>
      <c r="G52" s="686">
        <v>13.2</v>
      </c>
      <c r="H52" s="716" t="s">
        <v>12</v>
      </c>
      <c r="I52" s="688">
        <f>G54</f>
        <v>102.2</v>
      </c>
    </row>
    <row r="53" spans="2:11" ht="25.5" x14ac:dyDescent="0.2">
      <c r="B53" s="682"/>
      <c r="C53" s="683"/>
      <c r="D53" s="683"/>
      <c r="E53" s="684"/>
      <c r="F53" s="727" t="s">
        <v>716</v>
      </c>
      <c r="G53" s="686">
        <v>89</v>
      </c>
      <c r="H53" s="687"/>
      <c r="I53" s="688"/>
    </row>
    <row r="54" spans="2:11" x14ac:dyDescent="0.2">
      <c r="B54" s="682"/>
      <c r="C54" s="683"/>
      <c r="D54" s="683"/>
      <c r="E54" s="684"/>
      <c r="F54" s="728" t="s">
        <v>250</v>
      </c>
      <c r="G54" s="686">
        <f>SUM(G52:G53)</f>
        <v>102.2</v>
      </c>
      <c r="H54" s="687"/>
      <c r="I54" s="688"/>
    </row>
    <row r="55" spans="2:11" x14ac:dyDescent="0.2">
      <c r="B55" s="682"/>
      <c r="C55" s="683"/>
      <c r="D55" s="683"/>
      <c r="E55" s="684"/>
      <c r="F55" s="706"/>
      <c r="G55" s="686"/>
      <c r="H55" s="687"/>
      <c r="I55" s="688"/>
    </row>
    <row r="56" spans="2:11" ht="25.5" customHeight="1" x14ac:dyDescent="0.2">
      <c r="B56" s="689">
        <f>MAX(B$5:B53)+1</f>
        <v>11</v>
      </c>
      <c r="C56" s="683"/>
      <c r="D56" s="707" t="s">
        <v>303</v>
      </c>
      <c r="E56" s="708"/>
      <c r="F56" s="709" t="s">
        <v>304</v>
      </c>
      <c r="G56" s="710"/>
      <c r="H56" s="694" t="s">
        <v>25</v>
      </c>
      <c r="I56" s="695">
        <f>G60</f>
        <v>29.5</v>
      </c>
      <c r="J56" s="498"/>
      <c r="K56" s="729"/>
    </row>
    <row r="57" spans="2:11" ht="25.5" x14ac:dyDescent="0.2">
      <c r="B57" s="682"/>
      <c r="C57" s="683"/>
      <c r="D57" s="730"/>
      <c r="E57" s="725" t="s">
        <v>305</v>
      </c>
      <c r="F57" s="731" t="s">
        <v>306</v>
      </c>
      <c r="G57" s="686"/>
      <c r="H57" s="732" t="s">
        <v>25</v>
      </c>
      <c r="I57" s="688"/>
    </row>
    <row r="58" spans="2:11" ht="19.5" customHeight="1" x14ac:dyDescent="0.2">
      <c r="B58" s="682"/>
      <c r="C58" s="683"/>
      <c r="D58" s="683"/>
      <c r="E58" s="684"/>
      <c r="F58" s="724" t="s">
        <v>732</v>
      </c>
      <c r="G58" s="686">
        <v>14.5</v>
      </c>
      <c r="H58" s="687"/>
      <c r="I58" s="688"/>
    </row>
    <row r="59" spans="2:11" ht="18.75" customHeight="1" x14ac:dyDescent="0.2">
      <c r="B59" s="682"/>
      <c r="C59" s="683"/>
      <c r="D59" s="683"/>
      <c r="E59" s="684"/>
      <c r="F59" s="724" t="s">
        <v>731</v>
      </c>
      <c r="G59" s="733">
        <v>15</v>
      </c>
      <c r="H59" s="687"/>
      <c r="I59" s="688"/>
    </row>
    <row r="60" spans="2:11" ht="13.5" customHeight="1" x14ac:dyDescent="0.2">
      <c r="B60" s="682"/>
      <c r="C60" s="683"/>
      <c r="D60" s="683"/>
      <c r="E60" s="684"/>
      <c r="F60" s="728" t="s">
        <v>250</v>
      </c>
      <c r="G60" s="686">
        <f>SUM(G58:G59)</f>
        <v>29.5</v>
      </c>
      <c r="H60" s="687"/>
      <c r="I60" s="688"/>
    </row>
    <row r="61" spans="2:11" x14ac:dyDescent="0.2">
      <c r="B61" s="682"/>
      <c r="C61" s="683"/>
      <c r="D61" s="683"/>
      <c r="E61" s="684"/>
      <c r="F61" s="706"/>
      <c r="G61" s="686"/>
      <c r="H61" s="687"/>
      <c r="I61" s="688"/>
    </row>
    <row r="62" spans="2:11" ht="25.5" customHeight="1" x14ac:dyDescent="0.2">
      <c r="B62" s="689">
        <f>MAX(B$5:B58)+1</f>
        <v>12</v>
      </c>
      <c r="C62" s="683"/>
      <c r="D62" s="707" t="s">
        <v>307</v>
      </c>
      <c r="E62" s="708"/>
      <c r="F62" s="709" t="s">
        <v>308</v>
      </c>
      <c r="G62" s="710"/>
      <c r="H62" s="694" t="s">
        <v>25</v>
      </c>
      <c r="I62" s="695">
        <f>G65</f>
        <v>28.3</v>
      </c>
      <c r="J62" s="498"/>
      <c r="K62" s="729"/>
    </row>
    <row r="63" spans="2:11" ht="18" customHeight="1" x14ac:dyDescent="0.2">
      <c r="B63" s="682"/>
      <c r="C63" s="683"/>
      <c r="D63" s="683"/>
      <c r="E63" s="684"/>
      <c r="F63" s="715" t="s">
        <v>717</v>
      </c>
      <c r="G63" s="686">
        <v>13.8</v>
      </c>
      <c r="H63" s="687"/>
      <c r="I63" s="688"/>
    </row>
    <row r="64" spans="2:11" x14ac:dyDescent="0.2">
      <c r="B64" s="682"/>
      <c r="C64" s="683"/>
      <c r="D64" s="683"/>
      <c r="E64" s="684"/>
      <c r="F64" s="715" t="s">
        <v>718</v>
      </c>
      <c r="G64" s="733">
        <v>14.5</v>
      </c>
      <c r="H64" s="687"/>
      <c r="I64" s="688"/>
    </row>
    <row r="65" spans="2:11" x14ac:dyDescent="0.2">
      <c r="B65" s="682"/>
      <c r="C65" s="683"/>
      <c r="D65" s="683"/>
      <c r="E65" s="684"/>
      <c r="F65" s="721" t="s">
        <v>250</v>
      </c>
      <c r="G65" s="686">
        <f>SUM(G63:G64)</f>
        <v>28.3</v>
      </c>
      <c r="H65" s="687"/>
      <c r="I65" s="688"/>
    </row>
    <row r="66" spans="2:11" x14ac:dyDescent="0.2">
      <c r="B66" s="682"/>
      <c r="C66" s="683"/>
      <c r="D66" s="683"/>
      <c r="E66" s="684"/>
      <c r="F66" s="706"/>
      <c r="G66" s="686"/>
      <c r="H66" s="687"/>
      <c r="I66" s="688"/>
    </row>
    <row r="67" spans="2:11" ht="25.5" x14ac:dyDescent="0.2">
      <c r="B67" s="689">
        <f>MAX(B$5:B66)+1</f>
        <v>13</v>
      </c>
      <c r="C67" s="683"/>
      <c r="D67" s="707" t="s">
        <v>313</v>
      </c>
      <c r="E67" s="708"/>
      <c r="F67" s="709" t="s">
        <v>314</v>
      </c>
      <c r="G67" s="710"/>
      <c r="H67" s="694" t="s">
        <v>12</v>
      </c>
      <c r="I67" s="695">
        <f>G76</f>
        <v>230.24200000000005</v>
      </c>
      <c r="J67" s="498"/>
      <c r="K67" s="729"/>
    </row>
    <row r="68" spans="2:11" ht="25.5" x14ac:dyDescent="0.2">
      <c r="B68" s="682"/>
      <c r="C68" s="683"/>
      <c r="D68" s="730"/>
      <c r="E68" s="725" t="s">
        <v>315</v>
      </c>
      <c r="F68" s="731" t="s">
        <v>316</v>
      </c>
      <c r="G68" s="734"/>
      <c r="H68" s="732" t="s">
        <v>12</v>
      </c>
      <c r="I68" s="688">
        <f>G76</f>
        <v>230.24200000000005</v>
      </c>
    </row>
    <row r="69" spans="2:11" ht="38.25" x14ac:dyDescent="0.2">
      <c r="B69" s="682"/>
      <c r="C69" s="683"/>
      <c r="D69" s="683"/>
      <c r="E69" s="684"/>
      <c r="F69" s="735" t="s">
        <v>317</v>
      </c>
      <c r="G69" s="686"/>
      <c r="H69" s="687"/>
      <c r="I69" s="688"/>
    </row>
    <row r="70" spans="2:11" x14ac:dyDescent="0.2">
      <c r="B70" s="682"/>
      <c r="C70" s="683"/>
      <c r="D70" s="683"/>
      <c r="E70" s="684"/>
      <c r="F70" s="724" t="s">
        <v>911</v>
      </c>
      <c r="G70" s="686">
        <f>10.35*8.96</f>
        <v>92.736000000000004</v>
      </c>
      <c r="H70" s="687"/>
      <c r="I70" s="688"/>
    </row>
    <row r="71" spans="2:11" x14ac:dyDescent="0.2">
      <c r="B71" s="682"/>
      <c r="C71" s="683"/>
      <c r="D71" s="683"/>
      <c r="E71" s="684"/>
      <c r="F71" s="736" t="s">
        <v>912</v>
      </c>
      <c r="G71" s="686"/>
      <c r="H71" s="687"/>
      <c r="I71" s="688"/>
    </row>
    <row r="72" spans="2:11" x14ac:dyDescent="0.2">
      <c r="B72" s="682"/>
      <c r="C72" s="683"/>
      <c r="D72" s="683"/>
      <c r="E72" s="684"/>
      <c r="F72" s="510" t="s">
        <v>897</v>
      </c>
      <c r="G72" s="686">
        <f>((2*0.45*10*8.96)+(2*0.45*8.96)+(2*0.5*8.96))</f>
        <v>97.664000000000016</v>
      </c>
      <c r="H72" s="687"/>
      <c r="I72" s="688"/>
    </row>
    <row r="73" spans="2:11" x14ac:dyDescent="0.2">
      <c r="B73" s="682"/>
      <c r="C73" s="683"/>
      <c r="D73" s="683"/>
      <c r="E73" s="684"/>
      <c r="F73" s="737" t="s">
        <v>913</v>
      </c>
      <c r="G73" s="686"/>
      <c r="H73" s="687"/>
      <c r="I73" s="688"/>
    </row>
    <row r="74" spans="2:11" x14ac:dyDescent="0.2">
      <c r="B74" s="682"/>
      <c r="C74" s="683"/>
      <c r="D74" s="683"/>
      <c r="E74" s="684"/>
      <c r="F74" s="510" t="s">
        <v>898</v>
      </c>
      <c r="G74" s="686">
        <f>((1.1*(10.35+2*1.2))+1.1*(2.51+2.67))</f>
        <v>19.722999999999999</v>
      </c>
      <c r="H74" s="687"/>
      <c r="I74" s="688"/>
    </row>
    <row r="75" spans="2:11" x14ac:dyDescent="0.2">
      <c r="B75" s="682"/>
      <c r="C75" s="683"/>
      <c r="D75" s="683"/>
      <c r="E75" s="684"/>
      <c r="F75" s="510" t="s">
        <v>903</v>
      </c>
      <c r="G75" s="733">
        <f>((1.1*(10.35+2*1.2))+1.1*(2.6+2.94))</f>
        <v>20.119</v>
      </c>
      <c r="H75" s="687"/>
      <c r="I75" s="688"/>
    </row>
    <row r="76" spans="2:11" x14ac:dyDescent="0.2">
      <c r="B76" s="682"/>
      <c r="C76" s="683"/>
      <c r="D76" s="683"/>
      <c r="E76" s="684"/>
      <c r="F76" s="738" t="s">
        <v>914</v>
      </c>
      <c r="G76" s="686">
        <f>SUM(G70:G75)</f>
        <v>230.24200000000005</v>
      </c>
      <c r="H76" s="687"/>
      <c r="I76" s="688"/>
    </row>
    <row r="77" spans="2:11" x14ac:dyDescent="0.2">
      <c r="B77" s="682"/>
      <c r="C77" s="683"/>
      <c r="D77" s="683"/>
      <c r="E77" s="684"/>
      <c r="F77" s="735"/>
      <c r="G77" s="686"/>
      <c r="H77" s="687"/>
      <c r="I77" s="688"/>
    </row>
    <row r="78" spans="2:11" ht="25.5" x14ac:dyDescent="0.2">
      <c r="B78" s="689">
        <f>MAX(B$5:B69)+1</f>
        <v>14</v>
      </c>
      <c r="C78" s="683"/>
      <c r="D78" s="707" t="s">
        <v>318</v>
      </c>
      <c r="E78" s="708"/>
      <c r="F78" s="709" t="s">
        <v>319</v>
      </c>
      <c r="G78" s="710"/>
      <c r="H78" s="694" t="s">
        <v>12</v>
      </c>
      <c r="I78" s="695">
        <f>G83</f>
        <v>846.56000000000006</v>
      </c>
      <c r="K78" s="729"/>
    </row>
    <row r="79" spans="2:11" ht="25.5" x14ac:dyDescent="0.2">
      <c r="B79" s="682"/>
      <c r="C79" s="683"/>
      <c r="D79" s="683"/>
      <c r="E79" s="684"/>
      <c r="F79" s="715" t="s">
        <v>733</v>
      </c>
      <c r="G79" s="686"/>
      <c r="H79" s="687"/>
      <c r="I79" s="688"/>
    </row>
    <row r="80" spans="2:11" x14ac:dyDescent="0.2">
      <c r="B80" s="682"/>
      <c r="C80" s="683"/>
      <c r="D80" s="683"/>
      <c r="E80" s="684"/>
      <c r="F80" s="715" t="s">
        <v>908</v>
      </c>
      <c r="G80" s="686">
        <f xml:space="preserve"> 8.8*33.4</f>
        <v>293.92</v>
      </c>
      <c r="H80" s="687"/>
      <c r="I80" s="688"/>
    </row>
    <row r="81" spans="2:11" x14ac:dyDescent="0.2">
      <c r="B81" s="682"/>
      <c r="C81" s="683"/>
      <c r="D81" s="683"/>
      <c r="E81" s="684"/>
      <c r="F81" s="715" t="s">
        <v>909</v>
      </c>
      <c r="G81" s="686">
        <f xml:space="preserve"> 8.8*22.8</f>
        <v>200.64000000000001</v>
      </c>
      <c r="H81" s="687"/>
      <c r="I81" s="688"/>
    </row>
    <row r="82" spans="2:11" x14ac:dyDescent="0.2">
      <c r="B82" s="682"/>
      <c r="C82" s="683"/>
      <c r="D82" s="683"/>
      <c r="E82" s="684"/>
      <c r="F82" s="715" t="s">
        <v>910</v>
      </c>
      <c r="G82" s="733">
        <f xml:space="preserve"> 2*8.8*20</f>
        <v>352</v>
      </c>
      <c r="H82" s="687"/>
      <c r="I82" s="688"/>
    </row>
    <row r="83" spans="2:11" x14ac:dyDescent="0.2">
      <c r="B83" s="682"/>
      <c r="C83" s="683"/>
      <c r="D83" s="683"/>
      <c r="E83" s="684"/>
      <c r="F83" s="721" t="s">
        <v>814</v>
      </c>
      <c r="G83" s="686">
        <f>SUM(G80:G82)</f>
        <v>846.56000000000006</v>
      </c>
      <c r="H83" s="687"/>
      <c r="I83" s="688"/>
    </row>
    <row r="84" spans="2:11" x14ac:dyDescent="0.2">
      <c r="B84" s="682"/>
      <c r="C84" s="683"/>
      <c r="D84" s="683"/>
      <c r="E84" s="684"/>
      <c r="F84" s="715"/>
      <c r="G84" s="686"/>
      <c r="H84" s="687"/>
      <c r="I84" s="688"/>
    </row>
    <row r="85" spans="2:11" x14ac:dyDescent="0.2">
      <c r="B85" s="689">
        <f>MAX(B$5:B79)+1</f>
        <v>15</v>
      </c>
      <c r="C85" s="683"/>
      <c r="D85" s="739" t="s">
        <v>546</v>
      </c>
      <c r="E85" s="740"/>
      <c r="F85" s="709" t="s">
        <v>547</v>
      </c>
      <c r="G85" s="741"/>
      <c r="H85" s="694" t="s">
        <v>548</v>
      </c>
      <c r="I85" s="695">
        <f>G89</f>
        <v>15900</v>
      </c>
    </row>
    <row r="86" spans="2:11" x14ac:dyDescent="0.2">
      <c r="B86" s="682"/>
      <c r="C86" s="683"/>
      <c r="D86" s="683"/>
      <c r="E86" s="684"/>
      <c r="F86" s="715" t="s">
        <v>735</v>
      </c>
      <c r="G86" s="686">
        <f>15*360</f>
        <v>5400</v>
      </c>
      <c r="H86" s="687"/>
      <c r="I86" s="688"/>
    </row>
    <row r="87" spans="2:11" x14ac:dyDescent="0.2">
      <c r="B87" s="682"/>
      <c r="C87" s="683"/>
      <c r="D87" s="683"/>
      <c r="E87" s="684"/>
      <c r="F87" s="715" t="s">
        <v>736</v>
      </c>
      <c r="G87" s="686">
        <f>30*86</f>
        <v>2580</v>
      </c>
      <c r="H87" s="687"/>
      <c r="I87" s="688"/>
    </row>
    <row r="88" spans="2:11" ht="25.5" x14ac:dyDescent="0.2">
      <c r="B88" s="682"/>
      <c r="C88" s="683"/>
      <c r="D88" s="683"/>
      <c r="E88" s="684"/>
      <c r="F88" s="715" t="s">
        <v>734</v>
      </c>
      <c r="G88" s="733">
        <f>30*264</f>
        <v>7920</v>
      </c>
      <c r="H88" s="687"/>
      <c r="I88" s="688"/>
    </row>
    <row r="89" spans="2:11" x14ac:dyDescent="0.2">
      <c r="B89" s="682"/>
      <c r="C89" s="683"/>
      <c r="D89" s="683"/>
      <c r="E89" s="684"/>
      <c r="F89" s="721" t="s">
        <v>250</v>
      </c>
      <c r="G89" s="686">
        <f>SUM(G86:G88)</f>
        <v>15900</v>
      </c>
      <c r="H89" s="687"/>
      <c r="I89" s="688"/>
    </row>
    <row r="90" spans="2:11" x14ac:dyDescent="0.2">
      <c r="B90" s="682"/>
      <c r="C90" s="683"/>
      <c r="D90" s="683"/>
      <c r="E90" s="684"/>
      <c r="F90" s="721"/>
      <c r="G90" s="686"/>
      <c r="H90" s="687"/>
      <c r="I90" s="688"/>
    </row>
    <row r="91" spans="2:11" x14ac:dyDescent="0.2">
      <c r="B91" s="682"/>
      <c r="C91" s="683"/>
      <c r="D91" s="683"/>
      <c r="E91" s="684"/>
      <c r="F91" s="715"/>
      <c r="G91" s="686"/>
      <c r="H91" s="687"/>
      <c r="I91" s="688"/>
    </row>
    <row r="92" spans="2:11" ht="25.5" x14ac:dyDescent="0.2">
      <c r="B92" s="689">
        <f>MAX(B$5:B91)+1</f>
        <v>16</v>
      </c>
      <c r="C92" s="683"/>
      <c r="D92" s="707" t="s">
        <v>309</v>
      </c>
      <c r="E92" s="708"/>
      <c r="F92" s="709" t="s">
        <v>639</v>
      </c>
      <c r="G92" s="710"/>
      <c r="H92" s="694" t="s">
        <v>5</v>
      </c>
      <c r="I92" s="695">
        <f>G93</f>
        <v>208.97</v>
      </c>
      <c r="J92" s="742"/>
      <c r="K92" s="743"/>
    </row>
    <row r="93" spans="2:11" ht="38.25" x14ac:dyDescent="0.2">
      <c r="B93" s="682"/>
      <c r="C93" s="683"/>
      <c r="D93" s="683"/>
      <c r="E93" s="684"/>
      <c r="F93" s="735" t="s">
        <v>855</v>
      </c>
      <c r="G93" s="686">
        <v>208.97</v>
      </c>
      <c r="H93" s="687"/>
      <c r="I93" s="688"/>
      <c r="J93" s="742"/>
      <c r="K93" s="744"/>
    </row>
    <row r="94" spans="2:11" ht="51" x14ac:dyDescent="0.2">
      <c r="B94" s="682"/>
      <c r="C94" s="683"/>
      <c r="D94" s="683"/>
      <c r="E94" s="684"/>
      <c r="F94" s="745" t="s">
        <v>856</v>
      </c>
      <c r="G94" s="686"/>
      <c r="H94" s="687"/>
      <c r="I94" s="688"/>
      <c r="J94" s="742"/>
      <c r="K94" s="744"/>
    </row>
    <row r="95" spans="2:11" x14ac:dyDescent="0.2">
      <c r="B95" s="682"/>
      <c r="C95" s="683"/>
      <c r="D95" s="683"/>
      <c r="E95" s="684"/>
      <c r="F95" s="715"/>
      <c r="G95" s="686"/>
      <c r="H95" s="687"/>
      <c r="I95" s="688"/>
    </row>
    <row r="96" spans="2:11" x14ac:dyDescent="0.2">
      <c r="B96" s="675"/>
      <c r="C96" s="746" t="s">
        <v>322</v>
      </c>
      <c r="D96" s="747"/>
      <c r="E96" s="748"/>
      <c r="F96" s="749" t="s">
        <v>323</v>
      </c>
      <c r="G96" s="679"/>
      <c r="H96" s="680"/>
      <c r="I96" s="681"/>
    </row>
    <row r="97" spans="2:11" s="461" customFormat="1" x14ac:dyDescent="0.2">
      <c r="B97" s="682"/>
      <c r="C97" s="683"/>
      <c r="D97" s="683"/>
      <c r="E97" s="684"/>
      <c r="F97" s="735"/>
      <c r="G97" s="686"/>
      <c r="H97" s="687"/>
      <c r="I97" s="688"/>
      <c r="K97" s="462"/>
    </row>
    <row r="98" spans="2:11" s="461" customFormat="1" x14ac:dyDescent="0.2">
      <c r="B98" s="689">
        <f>MAX(B$5:B96)+1</f>
        <v>17</v>
      </c>
      <c r="C98" s="683"/>
      <c r="D98" s="750" t="s">
        <v>324</v>
      </c>
      <c r="E98" s="751"/>
      <c r="F98" s="752" t="s">
        <v>325</v>
      </c>
      <c r="G98" s="753"/>
      <c r="H98" s="754" t="s">
        <v>12</v>
      </c>
      <c r="I98" s="755">
        <f>G100</f>
        <v>10</v>
      </c>
      <c r="K98" s="462"/>
    </row>
    <row r="99" spans="2:11" s="461" customFormat="1" x14ac:dyDescent="0.2">
      <c r="B99" s="682"/>
      <c r="C99" s="683"/>
      <c r="D99" s="756"/>
      <c r="E99" s="757" t="s">
        <v>326</v>
      </c>
      <c r="F99" s="758" t="s">
        <v>327</v>
      </c>
      <c r="G99" s="759"/>
      <c r="H99" s="760" t="s">
        <v>12</v>
      </c>
      <c r="I99" s="761">
        <f>G100</f>
        <v>10</v>
      </c>
      <c r="K99" s="462"/>
    </row>
    <row r="100" spans="2:11" s="461" customFormat="1" x14ac:dyDescent="0.2">
      <c r="B100" s="682"/>
      <c r="C100" s="683"/>
      <c r="D100" s="756"/>
      <c r="E100" s="762"/>
      <c r="F100" s="763" t="s">
        <v>328</v>
      </c>
      <c r="G100" s="719">
        <v>10</v>
      </c>
      <c r="H100" s="764"/>
      <c r="I100" s="761"/>
      <c r="K100" s="462"/>
    </row>
    <row r="101" spans="2:11" s="461" customFormat="1" ht="7.5" customHeight="1" x14ac:dyDescent="0.2">
      <c r="B101" s="682"/>
      <c r="C101" s="683"/>
      <c r="D101" s="756"/>
      <c r="E101" s="762"/>
      <c r="F101" s="763"/>
      <c r="G101" s="719"/>
      <c r="H101" s="764"/>
      <c r="I101" s="761"/>
      <c r="K101" s="462"/>
    </row>
    <row r="102" spans="2:11" s="461" customFormat="1" x14ac:dyDescent="0.2">
      <c r="B102" s="689">
        <f>MAX(B$5:B100)+1</f>
        <v>18</v>
      </c>
      <c r="C102" s="683"/>
      <c r="D102" s="750" t="s">
        <v>329</v>
      </c>
      <c r="E102" s="751"/>
      <c r="F102" s="752" t="s">
        <v>330</v>
      </c>
      <c r="G102" s="753"/>
      <c r="H102" s="754" t="s">
        <v>12</v>
      </c>
      <c r="I102" s="755">
        <f>G104</f>
        <v>60</v>
      </c>
      <c r="K102" s="462"/>
    </row>
    <row r="103" spans="2:11" s="461" customFormat="1" x14ac:dyDescent="0.2">
      <c r="B103" s="682"/>
      <c r="C103" s="683"/>
      <c r="D103" s="756"/>
      <c r="E103" s="757" t="s">
        <v>331</v>
      </c>
      <c r="F103" s="758" t="s">
        <v>332</v>
      </c>
      <c r="G103" s="759"/>
      <c r="H103" s="760" t="s">
        <v>12</v>
      </c>
      <c r="I103" s="761">
        <f>G104</f>
        <v>60</v>
      </c>
      <c r="K103" s="462"/>
    </row>
    <row r="104" spans="2:11" s="461" customFormat="1" x14ac:dyDescent="0.2">
      <c r="B104" s="682"/>
      <c r="C104" s="683"/>
      <c r="D104" s="756"/>
      <c r="E104" s="762"/>
      <c r="F104" s="763" t="s">
        <v>328</v>
      </c>
      <c r="G104" s="719">
        <v>60</v>
      </c>
      <c r="H104" s="764"/>
      <c r="I104" s="761"/>
      <c r="K104" s="462"/>
    </row>
    <row r="105" spans="2:11" s="461" customFormat="1" x14ac:dyDescent="0.2">
      <c r="B105" s="682"/>
      <c r="C105" s="683"/>
      <c r="D105" s="683"/>
      <c r="E105" s="684"/>
      <c r="F105" s="735"/>
      <c r="G105" s="686"/>
      <c r="H105" s="687"/>
      <c r="I105" s="688"/>
      <c r="K105" s="462"/>
    </row>
    <row r="106" spans="2:11" s="461" customFormat="1" x14ac:dyDescent="0.2">
      <c r="B106" s="675"/>
      <c r="C106" s="746" t="s">
        <v>333</v>
      </c>
      <c r="D106" s="747"/>
      <c r="E106" s="748"/>
      <c r="F106" s="705" t="s">
        <v>177</v>
      </c>
      <c r="G106" s="679"/>
      <c r="H106" s="680"/>
      <c r="I106" s="681"/>
      <c r="K106" s="462"/>
    </row>
    <row r="107" spans="2:11" s="461" customFormat="1" x14ac:dyDescent="0.2">
      <c r="B107" s="682"/>
      <c r="C107" s="765"/>
      <c r="D107" s="766"/>
      <c r="E107" s="767"/>
      <c r="F107" s="698"/>
      <c r="G107" s="686"/>
      <c r="H107" s="687"/>
      <c r="I107" s="688"/>
      <c r="K107" s="462"/>
    </row>
    <row r="108" spans="2:11" s="461" customFormat="1" x14ac:dyDescent="0.2">
      <c r="B108" s="689">
        <f>MAX(B$5:B107)+1</f>
        <v>19</v>
      </c>
      <c r="C108" s="740"/>
      <c r="D108" s="690" t="s">
        <v>557</v>
      </c>
      <c r="E108" s="768"/>
      <c r="F108" s="692" t="s">
        <v>558</v>
      </c>
      <c r="G108" s="693"/>
      <c r="H108" s="696" t="s">
        <v>51</v>
      </c>
      <c r="I108" s="769">
        <f>G109</f>
        <v>1.08</v>
      </c>
      <c r="K108" s="462"/>
    </row>
    <row r="109" spans="2:11" s="461" customFormat="1" x14ac:dyDescent="0.2">
      <c r="B109" s="682"/>
      <c r="C109" s="740"/>
      <c r="D109" s="770"/>
      <c r="E109" s="708"/>
      <c r="F109" s="763" t="s">
        <v>916</v>
      </c>
      <c r="G109" s="734">
        <f>1.5*0.9*0.2*4</f>
        <v>1.08</v>
      </c>
      <c r="H109" s="771"/>
      <c r="I109" s="772"/>
      <c r="K109" s="462"/>
    </row>
    <row r="110" spans="2:11" s="461" customFormat="1" x14ac:dyDescent="0.2">
      <c r="B110" s="682"/>
      <c r="C110" s="740"/>
      <c r="D110" s="770"/>
      <c r="E110" s="708"/>
      <c r="F110" s="763" t="s">
        <v>917</v>
      </c>
      <c r="G110" s="734"/>
      <c r="H110" s="771"/>
      <c r="I110" s="772"/>
      <c r="K110" s="462"/>
    </row>
    <row r="111" spans="2:11" s="461" customFormat="1" x14ac:dyDescent="0.2">
      <c r="B111" s="682"/>
      <c r="C111" s="740"/>
      <c r="D111" s="770"/>
      <c r="E111" s="708"/>
      <c r="F111" s="773"/>
      <c r="G111" s="734"/>
      <c r="H111" s="771"/>
      <c r="I111" s="772"/>
      <c r="K111" s="462"/>
    </row>
    <row r="112" spans="2:11" s="461" customFormat="1" x14ac:dyDescent="0.2">
      <c r="B112" s="689">
        <f>MAX(B$5:B111)+1</f>
        <v>20</v>
      </c>
      <c r="C112" s="740"/>
      <c r="D112" s="690" t="s">
        <v>945</v>
      </c>
      <c r="E112" s="691"/>
      <c r="F112" s="692" t="s">
        <v>946</v>
      </c>
      <c r="G112" s="693"/>
      <c r="H112" s="696" t="s">
        <v>51</v>
      </c>
      <c r="I112" s="774">
        <f>I113</f>
        <v>40</v>
      </c>
      <c r="K112" s="462"/>
    </row>
    <row r="113" spans="2:11" s="461" customFormat="1" x14ac:dyDescent="0.2">
      <c r="B113" s="682"/>
      <c r="C113" s="740"/>
      <c r="D113" s="770"/>
      <c r="E113" s="775" t="s">
        <v>947</v>
      </c>
      <c r="F113" s="776" t="s">
        <v>948</v>
      </c>
      <c r="G113" s="777"/>
      <c r="H113" s="778" t="s">
        <v>51</v>
      </c>
      <c r="I113" s="772">
        <f>G114</f>
        <v>40</v>
      </c>
      <c r="K113" s="462"/>
    </row>
    <row r="114" spans="2:11" s="461" customFormat="1" ht="25.5" x14ac:dyDescent="0.2">
      <c r="B114" s="682"/>
      <c r="C114" s="740"/>
      <c r="D114" s="770"/>
      <c r="E114" s="708"/>
      <c r="F114" s="773" t="s">
        <v>949</v>
      </c>
      <c r="G114" s="734">
        <f>2*20*1</f>
        <v>40</v>
      </c>
      <c r="H114" s="771"/>
      <c r="I114" s="772"/>
      <c r="K114" s="462"/>
    </row>
    <row r="115" spans="2:11" s="461" customFormat="1" x14ac:dyDescent="0.2">
      <c r="B115" s="682"/>
      <c r="C115" s="765"/>
      <c r="D115" s="766"/>
      <c r="E115" s="767"/>
      <c r="F115" s="698"/>
      <c r="G115" s="686"/>
      <c r="H115" s="687"/>
      <c r="I115" s="688"/>
      <c r="K115" s="462"/>
    </row>
    <row r="116" spans="2:11" s="461" customFormat="1" x14ac:dyDescent="0.2">
      <c r="B116" s="689">
        <f>MAX(B$5:B114)+1</f>
        <v>21</v>
      </c>
      <c r="C116" s="765"/>
      <c r="D116" s="739" t="s">
        <v>704</v>
      </c>
      <c r="E116" s="740"/>
      <c r="F116" s="709" t="s">
        <v>705</v>
      </c>
      <c r="G116" s="741"/>
      <c r="H116" s="694" t="s">
        <v>51</v>
      </c>
      <c r="I116" s="695">
        <f>G117</f>
        <v>60</v>
      </c>
      <c r="K116" s="462"/>
    </row>
    <row r="117" spans="2:11" s="461" customFormat="1" ht="25.5" x14ac:dyDescent="0.2">
      <c r="B117" s="682"/>
      <c r="C117" s="765"/>
      <c r="D117" s="766"/>
      <c r="E117" s="767"/>
      <c r="F117" s="763" t="s">
        <v>737</v>
      </c>
      <c r="G117" s="686">
        <v>60</v>
      </c>
      <c r="H117" s="687"/>
      <c r="I117" s="688"/>
      <c r="K117" s="462"/>
    </row>
    <row r="118" spans="2:11" s="461" customFormat="1" x14ac:dyDescent="0.2">
      <c r="B118" s="682"/>
      <c r="C118" s="765"/>
      <c r="D118" s="766"/>
      <c r="E118" s="767"/>
      <c r="F118" s="763" t="s">
        <v>559</v>
      </c>
      <c r="G118" s="686"/>
      <c r="H118" s="687"/>
      <c r="I118" s="688"/>
      <c r="K118" s="462"/>
    </row>
    <row r="119" spans="2:11" s="461" customFormat="1" x14ac:dyDescent="0.2">
      <c r="B119" s="682"/>
      <c r="C119" s="765"/>
      <c r="D119" s="766"/>
      <c r="E119" s="767"/>
      <c r="F119" s="763" t="s">
        <v>650</v>
      </c>
      <c r="G119" s="686"/>
      <c r="H119" s="687"/>
      <c r="I119" s="688"/>
      <c r="K119" s="462"/>
    </row>
    <row r="120" spans="2:11" s="461" customFormat="1" x14ac:dyDescent="0.2">
      <c r="B120" s="682"/>
      <c r="C120" s="765"/>
      <c r="D120" s="766"/>
      <c r="E120" s="767"/>
      <c r="F120" s="773"/>
      <c r="G120" s="686"/>
      <c r="H120" s="687"/>
      <c r="I120" s="688"/>
      <c r="K120" s="462"/>
    </row>
    <row r="121" spans="2:11" s="461" customFormat="1" x14ac:dyDescent="0.2">
      <c r="B121" s="779">
        <f>MAX(B$1:B120)+1</f>
        <v>22</v>
      </c>
      <c r="C121" s="780"/>
      <c r="D121" s="781" t="s">
        <v>169</v>
      </c>
      <c r="E121" s="782"/>
      <c r="F121" s="783" t="s">
        <v>170</v>
      </c>
      <c r="G121" s="784"/>
      <c r="H121" s="785" t="s">
        <v>51</v>
      </c>
      <c r="I121" s="786">
        <f>I122</f>
        <v>34.839999999999996</v>
      </c>
      <c r="K121" s="462"/>
    </row>
    <row r="122" spans="2:11" s="461" customFormat="1" x14ac:dyDescent="0.2">
      <c r="B122" s="787"/>
      <c r="C122" s="788"/>
      <c r="D122" s="789"/>
      <c r="E122" s="790" t="s">
        <v>171</v>
      </c>
      <c r="F122" s="791" t="s">
        <v>172</v>
      </c>
      <c r="G122" s="792"/>
      <c r="H122" s="793" t="s">
        <v>51</v>
      </c>
      <c r="I122" s="794">
        <f>G132</f>
        <v>34.839999999999996</v>
      </c>
      <c r="K122" s="462"/>
    </row>
    <row r="123" spans="2:11" s="461" customFormat="1" x14ac:dyDescent="0.2">
      <c r="B123" s="787"/>
      <c r="C123" s="788"/>
      <c r="D123" s="789"/>
      <c r="E123" s="790"/>
      <c r="F123" s="795" t="s">
        <v>918</v>
      </c>
      <c r="G123" s="792"/>
      <c r="H123" s="793"/>
      <c r="I123" s="794"/>
      <c r="K123" s="462"/>
    </row>
    <row r="124" spans="2:11" s="461" customFormat="1" x14ac:dyDescent="0.2">
      <c r="B124" s="787"/>
      <c r="C124" s="788"/>
      <c r="D124" s="789"/>
      <c r="E124" s="796"/>
      <c r="F124" s="795" t="s">
        <v>919</v>
      </c>
      <c r="G124" s="797">
        <f>0.5*0.8*4.5*4</f>
        <v>7.2</v>
      </c>
      <c r="H124" s="793"/>
      <c r="I124" s="794"/>
      <c r="K124" s="462"/>
    </row>
    <row r="125" spans="2:11" s="461" customFormat="1" x14ac:dyDescent="0.2">
      <c r="B125" s="787"/>
      <c r="C125" s="788"/>
      <c r="D125" s="789"/>
      <c r="E125" s="796"/>
      <c r="F125" s="795" t="s">
        <v>940</v>
      </c>
      <c r="G125" s="797">
        <f>0.5*0.8*(15+15)</f>
        <v>12</v>
      </c>
      <c r="H125" s="793"/>
      <c r="I125" s="794"/>
      <c r="K125" s="462"/>
    </row>
    <row r="126" spans="2:11" s="461" customFormat="1" x14ac:dyDescent="0.2">
      <c r="B126" s="787"/>
      <c r="C126" s="788"/>
      <c r="D126" s="789"/>
      <c r="E126" s="796"/>
      <c r="F126" s="795" t="s">
        <v>941</v>
      </c>
      <c r="G126" s="798">
        <f>(0.7*0.2*(5+5))</f>
        <v>1.4</v>
      </c>
      <c r="H126" s="793"/>
      <c r="I126" s="794"/>
      <c r="K126" s="462"/>
    </row>
    <row r="127" spans="2:11" s="461" customFormat="1" x14ac:dyDescent="0.2">
      <c r="B127" s="787"/>
      <c r="C127" s="788"/>
      <c r="D127" s="789"/>
      <c r="E127" s="796"/>
      <c r="F127" s="795" t="s">
        <v>944</v>
      </c>
      <c r="G127" s="798">
        <f>(0.7*0.2*7)</f>
        <v>0.97999999999999987</v>
      </c>
      <c r="H127" s="793"/>
      <c r="I127" s="794"/>
      <c r="K127" s="462"/>
    </row>
    <row r="128" spans="2:11" s="461" customFormat="1" x14ac:dyDescent="0.2">
      <c r="B128" s="787"/>
      <c r="C128" s="788"/>
      <c r="D128" s="789"/>
      <c r="E128" s="796"/>
      <c r="F128" s="795" t="s">
        <v>920</v>
      </c>
      <c r="G128" s="792"/>
      <c r="H128" s="793"/>
      <c r="I128" s="794"/>
      <c r="K128" s="462"/>
    </row>
    <row r="129" spans="2:17" s="461" customFormat="1" x14ac:dyDescent="0.2">
      <c r="B129" s="787"/>
      <c r="C129" s="788"/>
      <c r="D129" s="789"/>
      <c r="E129" s="796"/>
      <c r="F129" s="795" t="s">
        <v>942</v>
      </c>
      <c r="G129" s="797">
        <f>0.6*0.5*20</f>
        <v>6</v>
      </c>
      <c r="H129" s="793"/>
      <c r="I129" s="794"/>
      <c r="K129" s="462"/>
    </row>
    <row r="130" spans="2:17" s="461" customFormat="1" x14ac:dyDescent="0.2">
      <c r="B130" s="787"/>
      <c r="C130" s="788"/>
      <c r="D130" s="789"/>
      <c r="E130" s="796"/>
      <c r="F130" s="795" t="s">
        <v>921</v>
      </c>
      <c r="G130" s="797">
        <f>0.5*0.6*20</f>
        <v>6</v>
      </c>
      <c r="H130" s="793"/>
      <c r="I130" s="794"/>
      <c r="K130" s="462"/>
    </row>
    <row r="131" spans="2:17" s="461" customFormat="1" x14ac:dyDescent="0.2">
      <c r="B131" s="787"/>
      <c r="C131" s="788"/>
      <c r="D131" s="789"/>
      <c r="E131" s="796"/>
      <c r="F131" s="795" t="s">
        <v>943</v>
      </c>
      <c r="G131" s="799">
        <f xml:space="preserve"> 0.75*0.3*(2.8+2.8)</f>
        <v>1.2599999999999998</v>
      </c>
      <c r="H131" s="793"/>
      <c r="I131" s="794"/>
      <c r="K131" s="462"/>
    </row>
    <row r="132" spans="2:17" s="461" customFormat="1" x14ac:dyDescent="0.2">
      <c r="B132" s="800"/>
      <c r="C132" s="788"/>
      <c r="D132" s="789"/>
      <c r="E132" s="790"/>
      <c r="F132" s="801" t="s">
        <v>250</v>
      </c>
      <c r="G132" s="802">
        <f>SUM(G124:G131)</f>
        <v>34.839999999999996</v>
      </c>
      <c r="H132" s="793"/>
      <c r="I132" s="794"/>
      <c r="K132" s="462"/>
    </row>
    <row r="133" spans="2:17" s="461" customFormat="1" x14ac:dyDescent="0.2">
      <c r="B133" s="682"/>
      <c r="C133" s="683"/>
      <c r="D133" s="683"/>
      <c r="E133" s="684"/>
      <c r="G133" s="686"/>
      <c r="H133" s="687"/>
      <c r="I133" s="688"/>
      <c r="K133" s="462"/>
    </row>
    <row r="134" spans="2:17" s="461" customFormat="1" x14ac:dyDescent="0.2">
      <c r="B134" s="689">
        <f>MAX(B$5:B133)+1</f>
        <v>23</v>
      </c>
      <c r="C134" s="683"/>
      <c r="D134" s="707" t="s">
        <v>165</v>
      </c>
      <c r="E134" s="708"/>
      <c r="F134" s="709" t="s">
        <v>166</v>
      </c>
      <c r="G134" s="710"/>
      <c r="H134" s="694" t="s">
        <v>51</v>
      </c>
      <c r="I134" s="755">
        <f>G137</f>
        <v>31.680000000000003</v>
      </c>
      <c r="K134" s="462"/>
    </row>
    <row r="135" spans="2:17" s="461" customFormat="1" x14ac:dyDescent="0.2">
      <c r="B135" s="682"/>
      <c r="C135" s="683"/>
      <c r="D135" s="683"/>
      <c r="E135" s="725" t="s">
        <v>167</v>
      </c>
      <c r="F135" s="731" t="s">
        <v>168</v>
      </c>
      <c r="G135" s="734"/>
      <c r="H135" s="732" t="s">
        <v>51</v>
      </c>
      <c r="I135" s="761"/>
      <c r="K135" s="462"/>
      <c r="L135" s="463"/>
      <c r="M135" s="463"/>
      <c r="N135" s="463"/>
      <c r="O135" s="463"/>
      <c r="P135" s="463"/>
      <c r="Q135" s="463"/>
    </row>
    <row r="136" spans="2:17" s="461" customFormat="1" ht="21" customHeight="1" x14ac:dyDescent="0.2">
      <c r="B136" s="682"/>
      <c r="C136" s="683"/>
      <c r="D136" s="683"/>
      <c r="E136" s="684"/>
      <c r="F136" s="715" t="s">
        <v>334</v>
      </c>
      <c r="G136" s="686"/>
      <c r="H136" s="687"/>
      <c r="I136" s="761"/>
      <c r="K136" s="462"/>
      <c r="L136" s="463"/>
      <c r="M136" s="463"/>
      <c r="N136" s="463"/>
      <c r="O136" s="463"/>
      <c r="P136" s="463"/>
      <c r="Q136" s="463"/>
    </row>
    <row r="137" spans="2:17" s="461" customFormat="1" x14ac:dyDescent="0.2">
      <c r="B137" s="682"/>
      <c r="C137" s="683"/>
      <c r="D137" s="683"/>
      <c r="E137" s="684"/>
      <c r="F137" s="735" t="s">
        <v>739</v>
      </c>
      <c r="G137" s="686">
        <f>1.8*8.8*2</f>
        <v>31.680000000000003</v>
      </c>
      <c r="H137" s="687"/>
      <c r="I137" s="761"/>
      <c r="K137" s="462"/>
      <c r="L137" s="463"/>
      <c r="M137" s="463"/>
      <c r="N137" s="463"/>
      <c r="O137" s="463"/>
      <c r="P137" s="463"/>
      <c r="Q137" s="463"/>
    </row>
    <row r="138" spans="2:17" s="461" customFormat="1" x14ac:dyDescent="0.2">
      <c r="B138" s="682"/>
      <c r="C138" s="683"/>
      <c r="D138" s="683"/>
      <c r="E138" s="684"/>
      <c r="F138" s="735"/>
      <c r="G138" s="686"/>
      <c r="H138" s="687"/>
      <c r="I138" s="761"/>
      <c r="K138" s="462"/>
      <c r="L138" s="463"/>
      <c r="M138" s="463"/>
      <c r="N138" s="463"/>
      <c r="O138" s="463"/>
      <c r="P138" s="463"/>
      <c r="Q138" s="463"/>
    </row>
    <row r="139" spans="2:17" s="804" customFormat="1" x14ac:dyDescent="0.2">
      <c r="B139" s="689">
        <f>MAX(B$5:B138)+1</f>
        <v>24</v>
      </c>
      <c r="C139" s="803"/>
      <c r="D139" s="739" t="s">
        <v>542</v>
      </c>
      <c r="E139" s="740"/>
      <c r="F139" s="752" t="s">
        <v>578</v>
      </c>
      <c r="G139" s="741"/>
      <c r="H139" s="694" t="s">
        <v>543</v>
      </c>
      <c r="I139" s="755">
        <v>2</v>
      </c>
      <c r="J139" s="498"/>
      <c r="K139" s="729"/>
    </row>
    <row r="140" spans="2:17" s="804" customFormat="1" ht="25.5" x14ac:dyDescent="0.2">
      <c r="B140" s="805"/>
      <c r="C140" s="803"/>
      <c r="D140" s="806"/>
      <c r="E140" s="757"/>
      <c r="F140" s="807" t="s">
        <v>738</v>
      </c>
      <c r="G140" s="759"/>
      <c r="H140" s="760"/>
      <c r="I140" s="761"/>
      <c r="J140" s="498"/>
      <c r="K140" s="729"/>
    </row>
    <row r="141" spans="2:17" s="804" customFormat="1" x14ac:dyDescent="0.2">
      <c r="B141" s="805"/>
      <c r="C141" s="803"/>
      <c r="D141" s="806"/>
      <c r="E141" s="757"/>
      <c r="F141" s="807" t="s">
        <v>544</v>
      </c>
      <c r="G141" s="759"/>
      <c r="H141" s="760"/>
      <c r="I141" s="761"/>
      <c r="J141" s="498"/>
      <c r="K141" s="729"/>
    </row>
    <row r="142" spans="2:17" s="804" customFormat="1" x14ac:dyDescent="0.2">
      <c r="B142" s="805"/>
      <c r="C142" s="803"/>
      <c r="D142" s="806"/>
      <c r="E142" s="757"/>
      <c r="F142" s="807"/>
      <c r="G142" s="759"/>
      <c r="H142" s="760"/>
      <c r="I142" s="761"/>
      <c r="J142" s="498"/>
      <c r="K142" s="729"/>
    </row>
    <row r="143" spans="2:17" s="804" customFormat="1" x14ac:dyDescent="0.2">
      <c r="B143" s="779">
        <f>MAX(B$1:B142)+1</f>
        <v>25</v>
      </c>
      <c r="C143" s="780"/>
      <c r="D143" s="781" t="s">
        <v>173</v>
      </c>
      <c r="E143" s="782"/>
      <c r="F143" s="783" t="s">
        <v>174</v>
      </c>
      <c r="G143" s="784"/>
      <c r="H143" s="785" t="s">
        <v>12</v>
      </c>
      <c r="I143" s="786">
        <f>I144</f>
        <v>106</v>
      </c>
      <c r="J143" s="498"/>
      <c r="K143" s="729"/>
    </row>
    <row r="144" spans="2:17" s="804" customFormat="1" ht="16.5" customHeight="1" x14ac:dyDescent="0.2">
      <c r="B144" s="808"/>
      <c r="C144" s="780"/>
      <c r="D144" s="809"/>
      <c r="E144" s="810" t="s">
        <v>175</v>
      </c>
      <c r="F144" s="811" t="s">
        <v>176</v>
      </c>
      <c r="G144" s="812"/>
      <c r="H144" s="813" t="s">
        <v>12</v>
      </c>
      <c r="I144" s="814">
        <f>G145</f>
        <v>106</v>
      </c>
      <c r="J144" s="498"/>
      <c r="K144" s="729"/>
    </row>
    <row r="145" spans="2:11" s="804" customFormat="1" x14ac:dyDescent="0.2">
      <c r="B145" s="808"/>
      <c r="C145" s="780"/>
      <c r="D145" s="815"/>
      <c r="E145" s="816"/>
      <c r="F145" s="817" t="s">
        <v>939</v>
      </c>
      <c r="G145" s="818">
        <f>(5*3)+(8*6)+(5*3)+(7*4)</f>
        <v>106</v>
      </c>
      <c r="H145" s="819"/>
      <c r="I145" s="814"/>
      <c r="J145" s="498"/>
      <c r="K145" s="729"/>
    </row>
    <row r="146" spans="2:11" x14ac:dyDescent="0.2">
      <c r="B146" s="820"/>
      <c r="C146" s="821"/>
      <c r="D146" s="713"/>
      <c r="E146" s="714"/>
      <c r="F146" s="727"/>
      <c r="G146" s="822"/>
      <c r="H146" s="716"/>
      <c r="I146" s="688"/>
    </row>
    <row r="147" spans="2:11" x14ac:dyDescent="0.2">
      <c r="B147" s="823"/>
      <c r="C147" s="746" t="s">
        <v>178</v>
      </c>
      <c r="D147" s="747"/>
      <c r="E147" s="748"/>
      <c r="F147" s="749" t="s">
        <v>179</v>
      </c>
      <c r="G147" s="824"/>
      <c r="H147" s="825"/>
      <c r="I147" s="681"/>
    </row>
    <row r="148" spans="2:11" ht="7.5" customHeight="1" x14ac:dyDescent="0.2">
      <c r="B148" s="820"/>
      <c r="C148" s="821"/>
      <c r="D148" s="713"/>
      <c r="E148" s="714"/>
      <c r="F148" s="727"/>
      <c r="G148" s="822"/>
      <c r="H148" s="716"/>
      <c r="I148" s="688"/>
    </row>
    <row r="149" spans="2:11" s="556" customFormat="1" x14ac:dyDescent="0.2">
      <c r="B149" s="689">
        <f>MAX(B$5:B148)+1</f>
        <v>26</v>
      </c>
      <c r="C149" s="821"/>
      <c r="D149" s="707" t="s">
        <v>161</v>
      </c>
      <c r="E149" s="708"/>
      <c r="F149" s="709" t="s">
        <v>162</v>
      </c>
      <c r="G149" s="710"/>
      <c r="H149" s="694" t="s">
        <v>51</v>
      </c>
      <c r="I149" s="755">
        <f>G155</f>
        <v>127.6</v>
      </c>
      <c r="J149" s="555"/>
      <c r="K149" s="717"/>
    </row>
    <row r="150" spans="2:11" s="556" customFormat="1" ht="25.5" x14ac:dyDescent="0.2">
      <c r="B150" s="820"/>
      <c r="C150" s="821"/>
      <c r="D150" s="826"/>
      <c r="E150" s="725" t="s">
        <v>163</v>
      </c>
      <c r="F150" s="731" t="s">
        <v>164</v>
      </c>
      <c r="G150" s="734"/>
      <c r="H150" s="732" t="s">
        <v>51</v>
      </c>
      <c r="I150" s="761">
        <f>G155</f>
        <v>127.6</v>
      </c>
      <c r="J150" s="555"/>
      <c r="K150" s="717"/>
    </row>
    <row r="151" spans="2:11" s="556" customFormat="1" x14ac:dyDescent="0.2">
      <c r="B151" s="820"/>
      <c r="C151" s="821"/>
      <c r="D151" s="826"/>
      <c r="E151" s="714"/>
      <c r="F151" s="827" t="s">
        <v>916</v>
      </c>
      <c r="G151" s="828">
        <f>G109</f>
        <v>1.08</v>
      </c>
      <c r="H151" s="732"/>
      <c r="I151" s="761"/>
      <c r="J151" s="555"/>
      <c r="K151" s="717"/>
    </row>
    <row r="152" spans="2:11" s="556" customFormat="1" x14ac:dyDescent="0.2">
      <c r="B152" s="820"/>
      <c r="C152" s="821"/>
      <c r="D152" s="826"/>
      <c r="E152" s="714"/>
      <c r="F152" s="827" t="s">
        <v>922</v>
      </c>
      <c r="G152" s="828">
        <f>G117</f>
        <v>60</v>
      </c>
      <c r="H152" s="732"/>
      <c r="I152" s="761"/>
      <c r="J152" s="555"/>
      <c r="K152" s="717"/>
    </row>
    <row r="153" spans="2:11" s="556" customFormat="1" x14ac:dyDescent="0.2">
      <c r="B153" s="820"/>
      <c r="C153" s="821"/>
      <c r="D153" s="826"/>
      <c r="E153" s="714"/>
      <c r="F153" s="829" t="s">
        <v>923</v>
      </c>
      <c r="G153" s="828">
        <f>G132</f>
        <v>34.839999999999996</v>
      </c>
      <c r="H153" s="732"/>
      <c r="I153" s="761"/>
      <c r="J153" s="555"/>
      <c r="K153" s="717"/>
    </row>
    <row r="154" spans="2:11" s="556" customFormat="1" x14ac:dyDescent="0.2">
      <c r="B154" s="820"/>
      <c r="C154" s="821"/>
      <c r="D154" s="826"/>
      <c r="E154" s="830"/>
      <c r="F154" s="727" t="s">
        <v>339</v>
      </c>
      <c r="G154" s="831">
        <f>G137</f>
        <v>31.680000000000003</v>
      </c>
      <c r="H154" s="684"/>
      <c r="I154" s="761"/>
      <c r="J154" s="461"/>
      <c r="K154" s="717"/>
    </row>
    <row r="155" spans="2:11" s="556" customFormat="1" x14ac:dyDescent="0.2">
      <c r="B155" s="820"/>
      <c r="C155" s="821"/>
      <c r="D155" s="826"/>
      <c r="E155" s="830"/>
      <c r="F155" s="832" t="s">
        <v>250</v>
      </c>
      <c r="G155" s="833">
        <f>SUM(G151:G154)</f>
        <v>127.6</v>
      </c>
      <c r="H155" s="684"/>
      <c r="I155" s="761"/>
      <c r="J155" s="461"/>
      <c r="K155" s="717"/>
    </row>
    <row r="156" spans="2:11" s="556" customFormat="1" ht="9.75" customHeight="1" x14ac:dyDescent="0.2">
      <c r="B156" s="820"/>
      <c r="C156" s="821"/>
      <c r="D156" s="826"/>
      <c r="E156" s="830"/>
      <c r="F156" s="727"/>
      <c r="G156" s="734"/>
      <c r="H156" s="684"/>
      <c r="I156" s="688"/>
      <c r="J156" s="461"/>
      <c r="K156" s="717"/>
    </row>
    <row r="157" spans="2:11" s="556" customFormat="1" x14ac:dyDescent="0.2">
      <c r="B157" s="823"/>
      <c r="C157" s="834" t="s">
        <v>156</v>
      </c>
      <c r="D157" s="834"/>
      <c r="E157" s="748"/>
      <c r="F157" s="835" t="s">
        <v>180</v>
      </c>
      <c r="G157" s="836"/>
      <c r="H157" s="825"/>
      <c r="I157" s="681"/>
      <c r="J157" s="555"/>
      <c r="K157" s="717"/>
    </row>
    <row r="158" spans="2:11" s="556" customFormat="1" ht="7.5" customHeight="1" x14ac:dyDescent="0.2">
      <c r="B158" s="820"/>
      <c r="C158" s="837"/>
      <c r="D158" s="838"/>
      <c r="E158" s="839"/>
      <c r="F158" s="715"/>
      <c r="G158" s="733"/>
      <c r="H158" s="684"/>
      <c r="I158" s="688"/>
      <c r="J158" s="555"/>
      <c r="K158" s="717"/>
    </row>
    <row r="159" spans="2:11" ht="25.5" x14ac:dyDescent="0.2">
      <c r="B159" s="689">
        <f>MAX(B$5:B157)+1</f>
        <v>27</v>
      </c>
      <c r="C159" s="837"/>
      <c r="D159" s="840" t="s">
        <v>94</v>
      </c>
      <c r="E159" s="767"/>
      <c r="F159" s="841" t="s">
        <v>95</v>
      </c>
      <c r="G159" s="842"/>
      <c r="H159" s="843" t="s">
        <v>51</v>
      </c>
      <c r="I159" s="695">
        <f>G161</f>
        <v>9.1</v>
      </c>
    </row>
    <row r="160" spans="2:11" ht="25.5" x14ac:dyDescent="0.2">
      <c r="B160" s="820"/>
      <c r="C160" s="837"/>
      <c r="D160" s="713"/>
      <c r="E160" s="844" t="s">
        <v>340</v>
      </c>
      <c r="F160" s="845" t="s">
        <v>341</v>
      </c>
      <c r="G160" s="846"/>
      <c r="H160" s="684" t="s">
        <v>51</v>
      </c>
      <c r="I160" s="688">
        <f>G161</f>
        <v>9.1</v>
      </c>
    </row>
    <row r="161" spans="2:17" ht="15" x14ac:dyDescent="0.2">
      <c r="B161" s="820"/>
      <c r="C161" s="837"/>
      <c r="D161" s="713"/>
      <c r="E161" s="844"/>
      <c r="F161" s="727" t="s">
        <v>740</v>
      </c>
      <c r="G161" s="846">
        <f>2*8.75*0.65*0.4*2</f>
        <v>9.1</v>
      </c>
      <c r="H161" s="684"/>
      <c r="I161" s="688"/>
    </row>
    <row r="162" spans="2:17" s="461" customFormat="1" ht="15" x14ac:dyDescent="0.2">
      <c r="B162" s="820"/>
      <c r="C162" s="837"/>
      <c r="D162" s="838"/>
      <c r="E162" s="839"/>
      <c r="F162" s="727" t="s">
        <v>261</v>
      </c>
      <c r="G162" s="733"/>
      <c r="H162" s="684"/>
      <c r="I162" s="688"/>
      <c r="K162" s="462"/>
      <c r="L162" s="463"/>
      <c r="M162" s="463"/>
      <c r="N162" s="463"/>
      <c r="O162" s="463"/>
      <c r="P162" s="463"/>
      <c r="Q162" s="463"/>
    </row>
    <row r="163" spans="2:17" s="461" customFormat="1" ht="7.5" customHeight="1" x14ac:dyDescent="0.2">
      <c r="B163" s="820"/>
      <c r="C163" s="837"/>
      <c r="D163" s="838"/>
      <c r="E163" s="839"/>
      <c r="F163" s="847"/>
      <c r="G163" s="733"/>
      <c r="H163" s="684"/>
      <c r="I163" s="688"/>
      <c r="K163" s="462"/>
      <c r="L163" s="463"/>
      <c r="M163" s="463"/>
      <c r="N163" s="463"/>
      <c r="O163" s="463"/>
      <c r="P163" s="463"/>
      <c r="Q163" s="463"/>
    </row>
    <row r="164" spans="2:17" s="461" customFormat="1" ht="25.5" x14ac:dyDescent="0.2">
      <c r="B164" s="689">
        <f>MAX(B$5:B162)+1</f>
        <v>28</v>
      </c>
      <c r="C164" s="837"/>
      <c r="D164" s="707" t="s">
        <v>96</v>
      </c>
      <c r="E164" s="708"/>
      <c r="F164" s="848" t="s">
        <v>97</v>
      </c>
      <c r="G164" s="710"/>
      <c r="H164" s="694" t="s">
        <v>12</v>
      </c>
      <c r="I164" s="695">
        <f>G166</f>
        <v>7</v>
      </c>
      <c r="K164" s="462"/>
      <c r="L164" s="463"/>
      <c r="M164" s="463"/>
      <c r="N164" s="463"/>
      <c r="O164" s="463"/>
      <c r="P164" s="463"/>
      <c r="Q164" s="463"/>
    </row>
    <row r="165" spans="2:17" s="461" customFormat="1" ht="25.5" x14ac:dyDescent="0.2">
      <c r="B165" s="820"/>
      <c r="C165" s="837"/>
      <c r="D165" s="713"/>
      <c r="E165" s="725" t="s">
        <v>98</v>
      </c>
      <c r="F165" s="461" t="s">
        <v>99</v>
      </c>
      <c r="G165" s="734"/>
      <c r="H165" s="732" t="s">
        <v>12</v>
      </c>
      <c r="I165" s="688">
        <f>G166</f>
        <v>7</v>
      </c>
      <c r="K165" s="462"/>
      <c r="L165" s="463"/>
      <c r="M165" s="463"/>
      <c r="N165" s="463"/>
      <c r="O165" s="463"/>
      <c r="P165" s="463"/>
      <c r="Q165" s="463"/>
    </row>
    <row r="166" spans="2:17" s="461" customFormat="1" ht="15" x14ac:dyDescent="0.2">
      <c r="B166" s="820"/>
      <c r="C166" s="837"/>
      <c r="D166" s="713"/>
      <c r="E166" s="725"/>
      <c r="F166" s="727" t="s">
        <v>852</v>
      </c>
      <c r="G166" s="846">
        <f>2*8.75*0.4</f>
        <v>7</v>
      </c>
      <c r="H166" s="732"/>
      <c r="I166" s="688"/>
      <c r="K166" s="462"/>
      <c r="L166" s="463"/>
      <c r="M166" s="463"/>
      <c r="N166" s="463"/>
      <c r="O166" s="463"/>
      <c r="P166" s="463"/>
      <c r="Q166" s="463"/>
    </row>
    <row r="167" spans="2:17" s="461" customFormat="1" ht="15" x14ac:dyDescent="0.2">
      <c r="B167" s="820"/>
      <c r="C167" s="837"/>
      <c r="D167" s="838"/>
      <c r="E167" s="839"/>
      <c r="F167" s="847"/>
      <c r="G167" s="733"/>
      <c r="H167" s="684"/>
      <c r="I167" s="688"/>
      <c r="K167" s="462"/>
      <c r="L167" s="463"/>
      <c r="M167" s="463"/>
      <c r="N167" s="463"/>
      <c r="O167" s="463"/>
      <c r="P167" s="463"/>
      <c r="Q167" s="463"/>
    </row>
    <row r="168" spans="2:17" s="461" customFormat="1" ht="25.5" x14ac:dyDescent="0.2">
      <c r="B168" s="689">
        <f>MAX(B$5:B166)+1</f>
        <v>29</v>
      </c>
      <c r="C168" s="837"/>
      <c r="D168" s="707" t="s">
        <v>100</v>
      </c>
      <c r="E168" s="708"/>
      <c r="F168" s="848" t="s">
        <v>101</v>
      </c>
      <c r="G168" s="710"/>
      <c r="H168" s="694" t="s">
        <v>5</v>
      </c>
      <c r="I168" s="755">
        <f>G174</f>
        <v>1.5725340000000001</v>
      </c>
      <c r="K168" s="462"/>
      <c r="L168" s="463"/>
      <c r="M168" s="463"/>
      <c r="N168" s="463"/>
      <c r="O168" s="463"/>
      <c r="P168" s="463"/>
      <c r="Q168" s="463"/>
    </row>
    <row r="169" spans="2:17" s="462" customFormat="1" ht="25.5" x14ac:dyDescent="0.2">
      <c r="B169" s="820"/>
      <c r="C169" s="837"/>
      <c r="D169" s="713"/>
      <c r="E169" s="725" t="s">
        <v>102</v>
      </c>
      <c r="F169" s="461" t="s">
        <v>103</v>
      </c>
      <c r="G169" s="734"/>
      <c r="H169" s="732" t="s">
        <v>5</v>
      </c>
      <c r="I169" s="761">
        <f>G174</f>
        <v>1.5725340000000001</v>
      </c>
      <c r="J169" s="461"/>
      <c r="L169" s="463"/>
      <c r="M169" s="463"/>
      <c r="N169" s="463"/>
      <c r="O169" s="463"/>
      <c r="P169" s="463"/>
      <c r="Q169" s="463"/>
    </row>
    <row r="170" spans="2:17" s="462" customFormat="1" ht="15" x14ac:dyDescent="0.2">
      <c r="B170" s="820"/>
      <c r="C170" s="837"/>
      <c r="D170" s="838"/>
      <c r="E170" s="839"/>
      <c r="F170" s="727" t="s">
        <v>251</v>
      </c>
      <c r="G170" s="723"/>
      <c r="H170" s="684"/>
      <c r="I170" s="761"/>
      <c r="J170" s="461"/>
      <c r="L170" s="463"/>
      <c r="M170" s="463"/>
      <c r="N170" s="463"/>
      <c r="O170" s="463"/>
      <c r="P170" s="463"/>
      <c r="Q170" s="463"/>
    </row>
    <row r="171" spans="2:17" s="462" customFormat="1" ht="25.5" x14ac:dyDescent="0.2">
      <c r="B171" s="820"/>
      <c r="C171" s="837"/>
      <c r="D171" s="838"/>
      <c r="E171" s="839"/>
      <c r="F171" s="795" t="s">
        <v>760</v>
      </c>
      <c r="G171" s="723"/>
      <c r="H171" s="684"/>
      <c r="I171" s="761"/>
      <c r="J171" s="461"/>
      <c r="L171" s="463"/>
      <c r="M171" s="463"/>
      <c r="N171" s="463"/>
      <c r="O171" s="463"/>
      <c r="P171" s="463"/>
      <c r="Q171" s="463"/>
    </row>
    <row r="172" spans="2:17" s="462" customFormat="1" ht="15" x14ac:dyDescent="0.2">
      <c r="B172" s="820"/>
      <c r="C172" s="837"/>
      <c r="D172" s="838"/>
      <c r="E172" s="839"/>
      <c r="F172" s="727" t="s">
        <v>719</v>
      </c>
      <c r="G172" s="723"/>
      <c r="H172" s="684"/>
      <c r="I172" s="761"/>
      <c r="J172" s="461"/>
      <c r="L172" s="463"/>
      <c r="M172" s="463"/>
      <c r="N172" s="463"/>
      <c r="O172" s="463"/>
      <c r="P172" s="463"/>
      <c r="Q172" s="463"/>
    </row>
    <row r="173" spans="2:17" s="462" customFormat="1" ht="15" x14ac:dyDescent="0.2">
      <c r="B173" s="820"/>
      <c r="C173" s="837"/>
      <c r="D173" s="838"/>
      <c r="E173" s="839"/>
      <c r="F173" s="727" t="s">
        <v>741</v>
      </c>
      <c r="G173" s="849">
        <f xml:space="preserve"> 1.5417*1.02</f>
        <v>1.5725340000000001</v>
      </c>
      <c r="H173" s="684"/>
      <c r="I173" s="761"/>
      <c r="J173" s="461"/>
      <c r="L173" s="463"/>
      <c r="M173" s="463"/>
      <c r="N173" s="463"/>
      <c r="O173" s="463"/>
      <c r="P173" s="463"/>
      <c r="Q173" s="463"/>
    </row>
    <row r="174" spans="2:17" s="462" customFormat="1" ht="15" x14ac:dyDescent="0.2">
      <c r="B174" s="820"/>
      <c r="C174" s="837"/>
      <c r="D174" s="838"/>
      <c r="E174" s="839"/>
      <c r="F174" s="721" t="s">
        <v>298</v>
      </c>
      <c r="G174" s="686">
        <f>SUM(G172:G173)</f>
        <v>1.5725340000000001</v>
      </c>
      <c r="H174" s="684"/>
      <c r="I174" s="761"/>
      <c r="J174" s="461"/>
      <c r="L174" s="463"/>
      <c r="M174" s="463"/>
      <c r="N174" s="463"/>
      <c r="O174" s="463"/>
      <c r="P174" s="463"/>
      <c r="Q174" s="463"/>
    </row>
    <row r="175" spans="2:17" s="462" customFormat="1" ht="15" x14ac:dyDescent="0.2">
      <c r="B175" s="820"/>
      <c r="C175" s="837"/>
      <c r="D175" s="838"/>
      <c r="E175" s="839"/>
      <c r="F175" s="847"/>
      <c r="G175" s="733"/>
      <c r="H175" s="684"/>
      <c r="I175" s="761"/>
      <c r="J175" s="461"/>
      <c r="L175" s="463"/>
      <c r="M175" s="463"/>
      <c r="N175" s="463"/>
      <c r="O175" s="463"/>
      <c r="P175" s="463"/>
      <c r="Q175" s="463"/>
    </row>
    <row r="176" spans="2:17" s="462" customFormat="1" ht="25.5" x14ac:dyDescent="0.2">
      <c r="B176" s="689">
        <f>MAX(B$5:B175)+1</f>
        <v>30</v>
      </c>
      <c r="C176" s="837"/>
      <c r="D176" s="707" t="s">
        <v>127</v>
      </c>
      <c r="E176" s="708"/>
      <c r="F176" s="848" t="s">
        <v>128</v>
      </c>
      <c r="G176" s="710"/>
      <c r="H176" s="694" t="s">
        <v>51</v>
      </c>
      <c r="I176" s="755">
        <f>G180</f>
        <v>6.5047499999999996</v>
      </c>
      <c r="J176" s="461"/>
      <c r="L176" s="463"/>
      <c r="M176" s="463"/>
      <c r="N176" s="463"/>
      <c r="O176" s="463"/>
      <c r="P176" s="463"/>
      <c r="Q176" s="463"/>
    </row>
    <row r="177" spans="2:17" s="462" customFormat="1" ht="25.5" x14ac:dyDescent="0.2">
      <c r="B177" s="820"/>
      <c r="C177" s="837"/>
      <c r="D177" s="713"/>
      <c r="E177" s="850" t="s">
        <v>129</v>
      </c>
      <c r="F177" s="851" t="s">
        <v>130</v>
      </c>
      <c r="G177" s="828"/>
      <c r="H177" s="684" t="s">
        <v>51</v>
      </c>
      <c r="I177" s="761">
        <f>G180</f>
        <v>6.5047499999999996</v>
      </c>
      <c r="J177" s="461"/>
      <c r="L177" s="463"/>
      <c r="M177" s="463"/>
      <c r="N177" s="463"/>
      <c r="O177" s="463"/>
      <c r="P177" s="463"/>
      <c r="Q177" s="463"/>
    </row>
    <row r="178" spans="2:17" s="462" customFormat="1" ht="15" x14ac:dyDescent="0.2">
      <c r="B178" s="820"/>
      <c r="C178" s="837"/>
      <c r="D178" s="713"/>
      <c r="E178" s="844"/>
      <c r="F178" s="727" t="s">
        <v>742</v>
      </c>
      <c r="G178" s="822">
        <f>15*0.245*0.9</f>
        <v>3.3075000000000001</v>
      </c>
      <c r="H178" s="684"/>
      <c r="I178" s="761"/>
      <c r="J178" s="461"/>
      <c r="L178" s="463"/>
      <c r="M178" s="463"/>
      <c r="N178" s="463"/>
      <c r="O178" s="463"/>
      <c r="P178" s="463"/>
      <c r="Q178" s="463"/>
    </row>
    <row r="179" spans="2:17" s="461" customFormat="1" ht="15" x14ac:dyDescent="0.2">
      <c r="B179" s="820"/>
      <c r="C179" s="837"/>
      <c r="D179" s="713"/>
      <c r="E179" s="844"/>
      <c r="F179" s="727" t="s">
        <v>743</v>
      </c>
      <c r="G179" s="822">
        <f>14.5*0.245*0.9</f>
        <v>3.1972499999999999</v>
      </c>
      <c r="H179" s="684"/>
      <c r="I179" s="761"/>
      <c r="K179" s="462"/>
      <c r="L179" s="463"/>
      <c r="M179" s="463"/>
      <c r="N179" s="463"/>
      <c r="O179" s="463"/>
      <c r="P179" s="463"/>
      <c r="Q179" s="463"/>
    </row>
    <row r="180" spans="2:17" s="461" customFormat="1" ht="15" x14ac:dyDescent="0.2">
      <c r="B180" s="820"/>
      <c r="C180" s="837"/>
      <c r="D180" s="838"/>
      <c r="E180" s="839"/>
      <c r="F180" s="721" t="s">
        <v>298</v>
      </c>
      <c r="G180" s="723">
        <f>SUM(G178:G179)</f>
        <v>6.5047499999999996</v>
      </c>
      <c r="H180" s="684"/>
      <c r="I180" s="761"/>
      <c r="K180" s="462"/>
      <c r="L180" s="463"/>
      <c r="M180" s="463"/>
      <c r="N180" s="463"/>
      <c r="O180" s="463"/>
      <c r="P180" s="463"/>
      <c r="Q180" s="463"/>
    </row>
    <row r="181" spans="2:17" s="461" customFormat="1" ht="15" x14ac:dyDescent="0.2">
      <c r="B181" s="820"/>
      <c r="C181" s="837"/>
      <c r="D181" s="838"/>
      <c r="E181" s="839"/>
      <c r="F181" s="715" t="s">
        <v>253</v>
      </c>
      <c r="G181" s="733"/>
      <c r="H181" s="684"/>
      <c r="I181" s="761"/>
      <c r="K181" s="462"/>
      <c r="L181" s="463"/>
      <c r="M181" s="463"/>
      <c r="N181" s="463"/>
      <c r="O181" s="463"/>
      <c r="P181" s="463"/>
      <c r="Q181" s="463"/>
    </row>
    <row r="182" spans="2:17" s="461" customFormat="1" ht="15" x14ac:dyDescent="0.2">
      <c r="B182" s="820"/>
      <c r="C182" s="837"/>
      <c r="D182" s="838"/>
      <c r="E182" s="839"/>
      <c r="F182" s="715" t="s">
        <v>496</v>
      </c>
      <c r="G182" s="733"/>
      <c r="H182" s="684"/>
      <c r="I182" s="761"/>
      <c r="K182" s="462"/>
      <c r="L182" s="463"/>
      <c r="M182" s="463"/>
      <c r="N182" s="463"/>
      <c r="O182" s="463"/>
      <c r="P182" s="463"/>
      <c r="Q182" s="463"/>
    </row>
    <row r="183" spans="2:17" s="461" customFormat="1" ht="15" x14ac:dyDescent="0.2">
      <c r="B183" s="820"/>
      <c r="C183" s="837"/>
      <c r="D183" s="838"/>
      <c r="E183" s="839"/>
      <c r="F183" s="847"/>
      <c r="G183" s="733"/>
      <c r="H183" s="684"/>
      <c r="I183" s="761"/>
      <c r="K183" s="462"/>
      <c r="L183" s="463"/>
      <c r="M183" s="463"/>
      <c r="N183" s="463"/>
      <c r="O183" s="463"/>
      <c r="P183" s="463"/>
      <c r="Q183" s="463"/>
    </row>
    <row r="184" spans="2:17" s="461" customFormat="1" ht="25.5" x14ac:dyDescent="0.2">
      <c r="B184" s="689">
        <f>MAX(B$5:B182)+1</f>
        <v>31</v>
      </c>
      <c r="C184" s="837"/>
      <c r="D184" s="707" t="s">
        <v>131</v>
      </c>
      <c r="E184" s="708"/>
      <c r="F184" s="848" t="s">
        <v>184</v>
      </c>
      <c r="G184" s="710"/>
      <c r="H184" s="694" t="s">
        <v>12</v>
      </c>
      <c r="I184" s="755">
        <f>G188</f>
        <v>15.337</v>
      </c>
      <c r="K184" s="462"/>
      <c r="L184" s="463"/>
      <c r="M184" s="463"/>
      <c r="N184" s="463"/>
      <c r="O184" s="463"/>
      <c r="P184" s="463"/>
      <c r="Q184" s="463"/>
    </row>
    <row r="185" spans="2:17" s="461" customFormat="1" ht="25.5" x14ac:dyDescent="0.2">
      <c r="B185" s="820"/>
      <c r="C185" s="837"/>
      <c r="D185" s="713"/>
      <c r="E185" s="725" t="s">
        <v>132</v>
      </c>
      <c r="F185" s="461" t="s">
        <v>185</v>
      </c>
      <c r="G185" s="734"/>
      <c r="H185" s="732" t="s">
        <v>12</v>
      </c>
      <c r="I185" s="761">
        <f>G188</f>
        <v>15.337</v>
      </c>
      <c r="K185" s="462"/>
      <c r="L185" s="463"/>
      <c r="M185" s="463"/>
      <c r="N185" s="463"/>
      <c r="O185" s="463"/>
      <c r="P185" s="463"/>
      <c r="Q185" s="463"/>
    </row>
    <row r="186" spans="2:17" s="461" customFormat="1" ht="15" x14ac:dyDescent="0.2">
      <c r="B186" s="820"/>
      <c r="C186" s="837"/>
      <c r="D186" s="838"/>
      <c r="E186" s="839"/>
      <c r="F186" s="727" t="s">
        <v>744</v>
      </c>
      <c r="G186" s="822">
        <f xml:space="preserve"> 2*15*0.245+2*0.9*0.245</f>
        <v>7.7909999999999995</v>
      </c>
      <c r="H186" s="684"/>
      <c r="I186" s="761"/>
      <c r="K186" s="462"/>
      <c r="L186" s="463"/>
      <c r="M186" s="463"/>
      <c r="N186" s="463"/>
      <c r="O186" s="463"/>
      <c r="P186" s="463"/>
      <c r="Q186" s="463"/>
    </row>
    <row r="187" spans="2:17" s="461" customFormat="1" ht="15" x14ac:dyDescent="0.2">
      <c r="B187" s="820"/>
      <c r="C187" s="837"/>
      <c r="D187" s="838"/>
      <c r="E187" s="839"/>
      <c r="F187" s="727" t="s">
        <v>745</v>
      </c>
      <c r="G187" s="852">
        <f>2*14.5*0.245+2*0.9*0.245</f>
        <v>7.5459999999999994</v>
      </c>
      <c r="H187" s="684"/>
      <c r="I187" s="761"/>
      <c r="K187" s="462"/>
      <c r="L187" s="463"/>
      <c r="M187" s="463"/>
      <c r="N187" s="463"/>
      <c r="O187" s="463"/>
      <c r="P187" s="463"/>
      <c r="Q187" s="463"/>
    </row>
    <row r="188" spans="2:17" s="461" customFormat="1" ht="15" x14ac:dyDescent="0.2">
      <c r="B188" s="820"/>
      <c r="C188" s="837"/>
      <c r="D188" s="838"/>
      <c r="E188" s="839"/>
      <c r="F188" s="727" t="s">
        <v>250</v>
      </c>
      <c r="G188" s="723">
        <f>SUM(G186:G187)</f>
        <v>15.337</v>
      </c>
      <c r="H188" s="684"/>
      <c r="I188" s="761"/>
      <c r="K188" s="462"/>
      <c r="L188" s="463"/>
      <c r="M188" s="463"/>
      <c r="N188" s="463"/>
      <c r="O188" s="463"/>
      <c r="P188" s="463"/>
      <c r="Q188" s="463"/>
    </row>
    <row r="189" spans="2:17" s="461" customFormat="1" ht="9" customHeight="1" x14ac:dyDescent="0.2">
      <c r="B189" s="820"/>
      <c r="C189" s="837"/>
      <c r="D189" s="838"/>
      <c r="E189" s="839"/>
      <c r="F189" s="727"/>
      <c r="G189" s="723"/>
      <c r="H189" s="684"/>
      <c r="I189" s="761"/>
      <c r="K189" s="462"/>
      <c r="L189" s="463"/>
      <c r="M189" s="463"/>
      <c r="N189" s="463"/>
      <c r="O189" s="463"/>
      <c r="P189" s="463"/>
      <c r="Q189" s="463"/>
    </row>
    <row r="190" spans="2:17" s="461" customFormat="1" ht="25.5" x14ac:dyDescent="0.2">
      <c r="B190" s="689">
        <f>MAX(B$5:B189)+1</f>
        <v>32</v>
      </c>
      <c r="C190" s="837"/>
      <c r="D190" s="707" t="s">
        <v>133</v>
      </c>
      <c r="E190" s="708"/>
      <c r="F190" s="848" t="s">
        <v>186</v>
      </c>
      <c r="G190" s="710"/>
      <c r="H190" s="694" t="s">
        <v>5</v>
      </c>
      <c r="I190" s="755">
        <f>G194</f>
        <v>1.07948</v>
      </c>
      <c r="K190" s="462"/>
      <c r="L190" s="463"/>
      <c r="M190" s="463"/>
      <c r="N190" s="463"/>
      <c r="O190" s="463"/>
      <c r="P190" s="463"/>
      <c r="Q190" s="463"/>
    </row>
    <row r="191" spans="2:17" s="461" customFormat="1" ht="25.5" x14ac:dyDescent="0.2">
      <c r="B191" s="820"/>
      <c r="C191" s="837"/>
      <c r="D191" s="713"/>
      <c r="E191" s="725" t="s">
        <v>134</v>
      </c>
      <c r="F191" s="461" t="s">
        <v>187</v>
      </c>
      <c r="G191" s="853"/>
      <c r="H191" s="732" t="s">
        <v>5</v>
      </c>
      <c r="I191" s="761">
        <f>G194</f>
        <v>1.07948</v>
      </c>
      <c r="K191" s="462"/>
      <c r="L191" s="463"/>
      <c r="M191" s="463"/>
      <c r="N191" s="463"/>
      <c r="O191" s="463"/>
      <c r="P191" s="463"/>
      <c r="Q191" s="463"/>
    </row>
    <row r="192" spans="2:17" s="461" customFormat="1" ht="15" x14ac:dyDescent="0.2">
      <c r="B192" s="820"/>
      <c r="C192" s="837"/>
      <c r="D192" s="838"/>
      <c r="E192" s="839"/>
      <c r="F192" s="727" t="s">
        <v>746</v>
      </c>
      <c r="G192" s="734">
        <f>0.87356</f>
        <v>0.87356</v>
      </c>
      <c r="H192" s="684"/>
      <c r="I192" s="761"/>
      <c r="K192" s="462"/>
      <c r="L192" s="463"/>
      <c r="M192" s="463"/>
      <c r="N192" s="463"/>
      <c r="O192" s="463"/>
      <c r="P192" s="463"/>
      <c r="Q192" s="463"/>
    </row>
    <row r="193" spans="2:17" s="461" customFormat="1" ht="15" x14ac:dyDescent="0.2">
      <c r="B193" s="820"/>
      <c r="C193" s="837"/>
      <c r="D193" s="838"/>
      <c r="E193" s="839"/>
      <c r="F193" s="727" t="s">
        <v>747</v>
      </c>
      <c r="G193" s="734">
        <f>0.20592</f>
        <v>0.20591999999999999</v>
      </c>
      <c r="H193" s="684"/>
      <c r="I193" s="761"/>
      <c r="K193" s="462"/>
      <c r="L193" s="463"/>
      <c r="M193" s="463"/>
      <c r="N193" s="463"/>
      <c r="O193" s="463"/>
      <c r="P193" s="463"/>
      <c r="Q193" s="463"/>
    </row>
    <row r="194" spans="2:17" s="461" customFormat="1" ht="15" x14ac:dyDescent="0.2">
      <c r="B194" s="820"/>
      <c r="C194" s="837"/>
      <c r="D194" s="838"/>
      <c r="E194" s="839"/>
      <c r="F194" s="727"/>
      <c r="G194" s="686">
        <f>SUM(G192:G193)</f>
        <v>1.07948</v>
      </c>
      <c r="H194" s="684"/>
      <c r="I194" s="761"/>
      <c r="K194" s="462"/>
      <c r="L194" s="463"/>
      <c r="M194" s="463"/>
      <c r="N194" s="463"/>
      <c r="O194" s="463"/>
      <c r="P194" s="463"/>
      <c r="Q194" s="463"/>
    </row>
    <row r="195" spans="2:17" s="461" customFormat="1" ht="15" x14ac:dyDescent="0.2">
      <c r="B195" s="820"/>
      <c r="C195" s="837"/>
      <c r="D195" s="838"/>
      <c r="E195" s="839"/>
      <c r="F195" s="727"/>
      <c r="G195" s="686"/>
      <c r="H195" s="684"/>
      <c r="I195" s="761"/>
      <c r="K195" s="462"/>
      <c r="L195" s="463"/>
      <c r="M195" s="463"/>
      <c r="N195" s="463"/>
      <c r="O195" s="463"/>
      <c r="P195" s="463"/>
      <c r="Q195" s="463"/>
    </row>
    <row r="196" spans="2:17" s="461" customFormat="1" ht="25.5" x14ac:dyDescent="0.2">
      <c r="B196" s="689">
        <f>MAX(B$5:B195)+1</f>
        <v>33</v>
      </c>
      <c r="C196" s="837"/>
      <c r="D196" s="707" t="s">
        <v>135</v>
      </c>
      <c r="E196" s="708"/>
      <c r="F196" s="854" t="s">
        <v>188</v>
      </c>
      <c r="G196" s="855"/>
      <c r="H196" s="694" t="s">
        <v>51</v>
      </c>
      <c r="I196" s="755">
        <f>I197</f>
        <v>24.08</v>
      </c>
      <c r="K196" s="462"/>
      <c r="L196" s="463"/>
      <c r="M196" s="463"/>
      <c r="N196" s="463"/>
      <c r="O196" s="463"/>
      <c r="P196" s="463"/>
      <c r="Q196" s="463"/>
    </row>
    <row r="197" spans="2:17" s="461" customFormat="1" ht="25.5" x14ac:dyDescent="0.2">
      <c r="B197" s="820"/>
      <c r="C197" s="837"/>
      <c r="D197" s="838"/>
      <c r="E197" s="850" t="s">
        <v>672</v>
      </c>
      <c r="F197" s="851" t="s">
        <v>673</v>
      </c>
      <c r="G197" s="856"/>
      <c r="H197" s="732" t="s">
        <v>51</v>
      </c>
      <c r="I197" s="761">
        <f>G201</f>
        <v>24.08</v>
      </c>
      <c r="K197" s="462"/>
      <c r="L197" s="463"/>
      <c r="M197" s="463"/>
      <c r="N197" s="463"/>
      <c r="O197" s="463"/>
      <c r="P197" s="463"/>
      <c r="Q197" s="463"/>
    </row>
    <row r="198" spans="2:17" s="461" customFormat="1" ht="15" x14ac:dyDescent="0.2">
      <c r="B198" s="820"/>
      <c r="C198" s="837"/>
      <c r="D198" s="838"/>
      <c r="E198" s="839"/>
      <c r="F198" s="795" t="s">
        <v>761</v>
      </c>
      <c r="G198" s="857">
        <f xml:space="preserve"> 8.6*4*0.25</f>
        <v>8.6</v>
      </c>
      <c r="H198" s="684"/>
      <c r="I198" s="761"/>
      <c r="K198" s="462"/>
      <c r="L198" s="463"/>
      <c r="M198" s="463"/>
      <c r="N198" s="463"/>
      <c r="O198" s="463"/>
      <c r="P198" s="463"/>
      <c r="Q198" s="463"/>
    </row>
    <row r="199" spans="2:17" s="461" customFormat="1" ht="15" x14ac:dyDescent="0.2">
      <c r="B199" s="820"/>
      <c r="C199" s="837"/>
      <c r="D199" s="838"/>
      <c r="E199" s="839"/>
      <c r="F199" s="795" t="s">
        <v>762</v>
      </c>
      <c r="G199" s="857">
        <f xml:space="preserve"> 8.6*4*0.25</f>
        <v>8.6</v>
      </c>
      <c r="H199" s="684"/>
      <c r="I199" s="761"/>
      <c r="K199" s="462"/>
      <c r="L199" s="463"/>
      <c r="M199" s="463"/>
      <c r="N199" s="463"/>
      <c r="O199" s="463"/>
      <c r="P199" s="463"/>
      <c r="Q199" s="463"/>
    </row>
    <row r="200" spans="2:17" s="461" customFormat="1" ht="15" x14ac:dyDescent="0.2">
      <c r="B200" s="820"/>
      <c r="C200" s="837"/>
      <c r="D200" s="838"/>
      <c r="E200" s="839"/>
      <c r="F200" s="795" t="s">
        <v>763</v>
      </c>
      <c r="G200" s="858">
        <f xml:space="preserve"> (8.6+8.6)*4*0.1</f>
        <v>6.88</v>
      </c>
      <c r="H200" s="684"/>
      <c r="I200" s="761"/>
      <c r="K200" s="462"/>
      <c r="L200" s="463"/>
      <c r="M200" s="463"/>
      <c r="N200" s="463"/>
      <c r="O200" s="463"/>
      <c r="P200" s="463"/>
      <c r="Q200" s="463"/>
    </row>
    <row r="201" spans="2:17" s="461" customFormat="1" ht="15" x14ac:dyDescent="0.2">
      <c r="B201" s="820"/>
      <c r="C201" s="837"/>
      <c r="D201" s="838"/>
      <c r="E201" s="839"/>
      <c r="F201" s="795" t="s">
        <v>250</v>
      </c>
      <c r="G201" s="857">
        <f>SUM(G198:G200)</f>
        <v>24.08</v>
      </c>
      <c r="H201" s="684"/>
      <c r="I201" s="761"/>
      <c r="K201" s="462"/>
      <c r="L201" s="463"/>
      <c r="M201" s="463"/>
      <c r="N201" s="463"/>
      <c r="O201" s="463"/>
      <c r="P201" s="463"/>
      <c r="Q201" s="463"/>
    </row>
    <row r="202" spans="2:17" s="461" customFormat="1" ht="15" x14ac:dyDescent="0.2">
      <c r="B202" s="820"/>
      <c r="C202" s="837"/>
      <c r="D202" s="838"/>
      <c r="E202" s="839"/>
      <c r="F202" s="727"/>
      <c r="G202" s="686"/>
      <c r="H202" s="684"/>
      <c r="I202" s="761"/>
      <c r="K202" s="462"/>
      <c r="L202" s="463"/>
      <c r="M202" s="463"/>
      <c r="N202" s="463"/>
      <c r="O202" s="463"/>
      <c r="P202" s="463"/>
      <c r="Q202" s="463"/>
    </row>
    <row r="203" spans="2:17" s="461" customFormat="1" ht="25.5" x14ac:dyDescent="0.2">
      <c r="B203" s="689">
        <f>MAX(B$5:B202)+1</f>
        <v>34</v>
      </c>
      <c r="C203" s="837"/>
      <c r="D203" s="707" t="s">
        <v>136</v>
      </c>
      <c r="E203" s="708"/>
      <c r="F203" s="848" t="s">
        <v>137</v>
      </c>
      <c r="G203" s="855"/>
      <c r="H203" s="694" t="s">
        <v>12</v>
      </c>
      <c r="I203" s="755">
        <f>I204</f>
        <v>17.64</v>
      </c>
      <c r="K203" s="462"/>
      <c r="L203" s="463"/>
      <c r="M203" s="463"/>
      <c r="N203" s="463"/>
      <c r="O203" s="463"/>
      <c r="P203" s="463"/>
      <c r="Q203" s="463"/>
    </row>
    <row r="204" spans="2:17" s="461" customFormat="1" ht="25.5" x14ac:dyDescent="0.2">
      <c r="B204" s="820"/>
      <c r="C204" s="837"/>
      <c r="D204" s="838"/>
      <c r="E204" s="790" t="s">
        <v>138</v>
      </c>
      <c r="F204" s="791" t="s">
        <v>139</v>
      </c>
      <c r="G204" s="792"/>
      <c r="H204" s="684" t="s">
        <v>12</v>
      </c>
      <c r="I204" s="761">
        <f>G208</f>
        <v>17.64</v>
      </c>
      <c r="K204" s="462"/>
      <c r="L204" s="463"/>
      <c r="M204" s="463"/>
      <c r="N204" s="463"/>
      <c r="O204" s="463"/>
      <c r="P204" s="463"/>
      <c r="Q204" s="463"/>
    </row>
    <row r="205" spans="2:17" s="461" customFormat="1" ht="15" x14ac:dyDescent="0.2">
      <c r="B205" s="820"/>
      <c r="C205" s="837"/>
      <c r="D205" s="838"/>
      <c r="E205" s="859"/>
      <c r="F205" s="795" t="s">
        <v>764</v>
      </c>
      <c r="G205" s="857">
        <f xml:space="preserve"> (8.6+4)*0.25*2</f>
        <v>6.3</v>
      </c>
      <c r="H205" s="684"/>
      <c r="I205" s="761"/>
      <c r="K205" s="462"/>
      <c r="L205" s="463"/>
      <c r="M205" s="463"/>
      <c r="N205" s="463"/>
      <c r="O205" s="463"/>
      <c r="P205" s="463"/>
      <c r="Q205" s="463"/>
    </row>
    <row r="206" spans="2:17" s="461" customFormat="1" ht="15" x14ac:dyDescent="0.2">
      <c r="B206" s="820"/>
      <c r="C206" s="837"/>
      <c r="D206" s="838"/>
      <c r="E206" s="859"/>
      <c r="F206" s="795" t="s">
        <v>765</v>
      </c>
      <c r="G206" s="857">
        <f xml:space="preserve"> (8.6+4)*0.25*2</f>
        <v>6.3</v>
      </c>
      <c r="H206" s="684"/>
      <c r="I206" s="761"/>
      <c r="K206" s="462"/>
      <c r="L206" s="463"/>
      <c r="M206" s="463"/>
      <c r="N206" s="463"/>
      <c r="O206" s="463"/>
      <c r="P206" s="463"/>
      <c r="Q206" s="463"/>
    </row>
    <row r="207" spans="2:17" s="461" customFormat="1" ht="15" x14ac:dyDescent="0.2">
      <c r="B207" s="820"/>
      <c r="C207" s="837"/>
      <c r="D207" s="838"/>
      <c r="E207" s="859"/>
      <c r="F207" s="795" t="s">
        <v>766</v>
      </c>
      <c r="G207" s="858">
        <f xml:space="preserve"> (8.6+8.6+2*4)*2*0.1</f>
        <v>5.04</v>
      </c>
      <c r="H207" s="684"/>
      <c r="I207" s="761"/>
      <c r="K207" s="462"/>
      <c r="L207" s="463"/>
      <c r="M207" s="463"/>
      <c r="N207" s="463"/>
      <c r="O207" s="463"/>
      <c r="P207" s="463"/>
      <c r="Q207" s="463"/>
    </row>
    <row r="208" spans="2:17" s="461" customFormat="1" ht="15" x14ac:dyDescent="0.2">
      <c r="B208" s="820"/>
      <c r="C208" s="837"/>
      <c r="D208" s="838"/>
      <c r="E208" s="859"/>
      <c r="F208" s="795" t="s">
        <v>250</v>
      </c>
      <c r="G208" s="857">
        <f>SUM(G205:G207)</f>
        <v>17.64</v>
      </c>
      <c r="H208" s="684"/>
      <c r="I208" s="761"/>
      <c r="K208" s="462"/>
      <c r="L208" s="463"/>
      <c r="M208" s="463"/>
      <c r="N208" s="463"/>
      <c r="O208" s="463"/>
      <c r="P208" s="463"/>
      <c r="Q208" s="463"/>
    </row>
    <row r="209" spans="2:17" s="461" customFormat="1" ht="15" x14ac:dyDescent="0.2">
      <c r="B209" s="820"/>
      <c r="C209" s="837"/>
      <c r="D209" s="838"/>
      <c r="E209" s="839"/>
      <c r="F209" s="727"/>
      <c r="G209" s="686"/>
      <c r="H209" s="684"/>
      <c r="I209" s="761"/>
      <c r="K209" s="462"/>
      <c r="L209" s="463"/>
      <c r="M209" s="463"/>
      <c r="N209" s="463"/>
      <c r="O209" s="463"/>
      <c r="P209" s="463"/>
      <c r="Q209" s="463"/>
    </row>
    <row r="210" spans="2:17" s="461" customFormat="1" ht="25.5" x14ac:dyDescent="0.2">
      <c r="B210" s="689">
        <f>MAX(B$5:B209)+1</f>
        <v>35</v>
      </c>
      <c r="C210" s="837"/>
      <c r="D210" s="707" t="s">
        <v>140</v>
      </c>
      <c r="E210" s="708"/>
      <c r="F210" s="848" t="s">
        <v>141</v>
      </c>
      <c r="G210" s="855"/>
      <c r="H210" s="694" t="s">
        <v>5</v>
      </c>
      <c r="I210" s="755">
        <f>G211</f>
        <v>1.70153</v>
      </c>
      <c r="K210" s="462"/>
      <c r="L210" s="463"/>
      <c r="M210" s="463"/>
      <c r="N210" s="463"/>
      <c r="O210" s="463"/>
      <c r="P210" s="463"/>
      <c r="Q210" s="463"/>
    </row>
    <row r="211" spans="2:17" s="461" customFormat="1" ht="15" x14ac:dyDescent="0.2">
      <c r="B211" s="820"/>
      <c r="C211" s="837"/>
      <c r="D211" s="838"/>
      <c r="E211" s="839"/>
      <c r="F211" s="727" t="s">
        <v>892</v>
      </c>
      <c r="G211" s="686">
        <f>1.70153</f>
        <v>1.70153</v>
      </c>
      <c r="H211" s="684"/>
      <c r="I211" s="761"/>
      <c r="K211" s="462"/>
      <c r="L211" s="463"/>
      <c r="M211" s="463"/>
      <c r="N211" s="463"/>
      <c r="O211" s="463"/>
      <c r="P211" s="463"/>
      <c r="Q211" s="463"/>
    </row>
    <row r="212" spans="2:17" s="461" customFormat="1" ht="15" x14ac:dyDescent="0.2">
      <c r="B212" s="820"/>
      <c r="C212" s="837"/>
      <c r="D212" s="838"/>
      <c r="E212" s="839"/>
      <c r="F212" s="847"/>
      <c r="G212" s="733"/>
      <c r="H212" s="684"/>
      <c r="I212" s="761"/>
      <c r="K212" s="462"/>
      <c r="L212" s="463"/>
      <c r="M212" s="463"/>
      <c r="N212" s="463"/>
      <c r="O212" s="463"/>
      <c r="P212" s="463"/>
      <c r="Q212" s="463"/>
    </row>
    <row r="213" spans="2:17" s="461" customFormat="1" ht="25.5" x14ac:dyDescent="0.2">
      <c r="B213" s="689">
        <f>MAX(B$5:B212)+1</f>
        <v>36</v>
      </c>
      <c r="C213" s="837"/>
      <c r="D213" s="707" t="s">
        <v>144</v>
      </c>
      <c r="E213" s="708"/>
      <c r="F213" s="848" t="s">
        <v>189</v>
      </c>
      <c r="G213" s="710"/>
      <c r="H213" s="694" t="s">
        <v>51</v>
      </c>
      <c r="I213" s="755">
        <f>G217</f>
        <v>13.946</v>
      </c>
      <c r="K213" s="462"/>
      <c r="L213" s="463"/>
      <c r="M213" s="463"/>
      <c r="N213" s="463"/>
      <c r="O213" s="463"/>
      <c r="P213" s="463"/>
      <c r="Q213" s="463"/>
    </row>
    <row r="214" spans="2:17" s="461" customFormat="1" ht="25.5" x14ac:dyDescent="0.2">
      <c r="B214" s="820"/>
      <c r="C214" s="837"/>
      <c r="D214" s="713"/>
      <c r="E214" s="850" t="s">
        <v>360</v>
      </c>
      <c r="F214" s="851" t="s">
        <v>361</v>
      </c>
      <c r="G214" s="828"/>
      <c r="H214" s="684" t="s">
        <v>51</v>
      </c>
      <c r="I214" s="761">
        <f>G217</f>
        <v>13.946</v>
      </c>
      <c r="K214" s="462"/>
      <c r="L214" s="463"/>
      <c r="M214" s="463"/>
      <c r="N214" s="463"/>
      <c r="O214" s="463"/>
      <c r="P214" s="463"/>
      <c r="Q214" s="463"/>
    </row>
    <row r="215" spans="2:17" s="461" customFormat="1" ht="15" x14ac:dyDescent="0.2">
      <c r="B215" s="820"/>
      <c r="C215" s="837"/>
      <c r="D215" s="838"/>
      <c r="E215" s="839"/>
      <c r="F215" s="715" t="s">
        <v>748</v>
      </c>
      <c r="G215" s="686">
        <f>1.35*9.36</f>
        <v>12.635999999999999</v>
      </c>
      <c r="H215" s="684"/>
      <c r="I215" s="761"/>
      <c r="K215" s="462"/>
      <c r="L215" s="463"/>
      <c r="M215" s="463"/>
      <c r="N215" s="463"/>
      <c r="O215" s="463"/>
      <c r="P215" s="463"/>
      <c r="Q215" s="463"/>
    </row>
    <row r="216" spans="2:17" s="461" customFormat="1" ht="15" x14ac:dyDescent="0.2">
      <c r="B216" s="820"/>
      <c r="C216" s="837"/>
      <c r="D216" s="838"/>
      <c r="E216" s="839"/>
      <c r="F216" s="715" t="s">
        <v>767</v>
      </c>
      <c r="G216" s="686">
        <f>0.32+0.36+0.31+0.32</f>
        <v>1.31</v>
      </c>
      <c r="H216" s="684"/>
      <c r="I216" s="761"/>
      <c r="K216" s="462"/>
      <c r="L216" s="463"/>
      <c r="M216" s="463"/>
      <c r="N216" s="463"/>
      <c r="O216" s="463"/>
      <c r="P216" s="463"/>
      <c r="Q216" s="463"/>
    </row>
    <row r="217" spans="2:17" s="461" customFormat="1" ht="15" x14ac:dyDescent="0.2">
      <c r="B217" s="820"/>
      <c r="C217" s="837"/>
      <c r="D217" s="838"/>
      <c r="E217" s="839"/>
      <c r="F217" s="721" t="s">
        <v>298</v>
      </c>
      <c r="G217" s="686">
        <f>SUM(G215:G216)</f>
        <v>13.946</v>
      </c>
      <c r="H217" s="684"/>
      <c r="I217" s="761"/>
      <c r="K217" s="462"/>
      <c r="L217" s="463"/>
      <c r="M217" s="463"/>
      <c r="N217" s="463"/>
      <c r="O217" s="463"/>
      <c r="P217" s="463"/>
      <c r="Q217" s="463"/>
    </row>
    <row r="218" spans="2:17" s="461" customFormat="1" ht="25.5" x14ac:dyDescent="0.2">
      <c r="B218" s="820"/>
      <c r="C218" s="837"/>
      <c r="D218" s="838"/>
      <c r="E218" s="839"/>
      <c r="F218" s="860" t="s">
        <v>768</v>
      </c>
      <c r="G218" s="686"/>
      <c r="H218" s="684"/>
      <c r="I218" s="761"/>
      <c r="K218" s="462"/>
      <c r="L218" s="463"/>
      <c r="M218" s="463"/>
      <c r="N218" s="463"/>
      <c r="O218" s="463"/>
      <c r="P218" s="463"/>
      <c r="Q218" s="463"/>
    </row>
    <row r="219" spans="2:17" s="461" customFormat="1" ht="15" x14ac:dyDescent="0.2">
      <c r="B219" s="820"/>
      <c r="C219" s="837"/>
      <c r="D219" s="838"/>
      <c r="E219" s="839"/>
      <c r="F219" s="860" t="s">
        <v>769</v>
      </c>
      <c r="G219" s="686"/>
      <c r="H219" s="684"/>
      <c r="I219" s="761"/>
      <c r="K219" s="462"/>
      <c r="L219" s="463"/>
      <c r="M219" s="463"/>
      <c r="N219" s="463"/>
      <c r="O219" s="463"/>
      <c r="P219" s="463"/>
      <c r="Q219" s="463"/>
    </row>
    <row r="220" spans="2:17" s="462" customFormat="1" ht="15" x14ac:dyDescent="0.2">
      <c r="B220" s="820"/>
      <c r="C220" s="837"/>
      <c r="D220" s="838"/>
      <c r="E220" s="839"/>
      <c r="F220" s="715"/>
      <c r="G220" s="733"/>
      <c r="H220" s="684"/>
      <c r="I220" s="761"/>
      <c r="J220" s="461"/>
      <c r="L220" s="463"/>
      <c r="M220" s="463"/>
      <c r="N220" s="463"/>
      <c r="O220" s="463"/>
      <c r="P220" s="463"/>
      <c r="Q220" s="463"/>
    </row>
    <row r="221" spans="2:17" s="462" customFormat="1" ht="25.5" x14ac:dyDescent="0.2">
      <c r="B221" s="689">
        <f>MAX(B$5:B220)+1</f>
        <v>37</v>
      </c>
      <c r="C221" s="837"/>
      <c r="D221" s="707" t="s">
        <v>145</v>
      </c>
      <c r="E221" s="708"/>
      <c r="F221" s="848" t="s">
        <v>190</v>
      </c>
      <c r="G221" s="710"/>
      <c r="H221" s="694" t="s">
        <v>12</v>
      </c>
      <c r="I221" s="755">
        <f>G223</f>
        <v>5.9130000000000003</v>
      </c>
      <c r="J221" s="461"/>
      <c r="L221" s="463"/>
      <c r="M221" s="463"/>
      <c r="N221" s="463"/>
      <c r="O221" s="463"/>
      <c r="P221" s="463"/>
      <c r="Q221" s="463"/>
    </row>
    <row r="222" spans="2:17" s="462" customFormat="1" ht="25.5" x14ac:dyDescent="0.2">
      <c r="B222" s="820"/>
      <c r="C222" s="837"/>
      <c r="D222" s="713"/>
      <c r="E222" s="725" t="s">
        <v>146</v>
      </c>
      <c r="F222" s="461" t="s">
        <v>191</v>
      </c>
      <c r="G222" s="734"/>
      <c r="H222" s="732" t="s">
        <v>12</v>
      </c>
      <c r="I222" s="761"/>
      <c r="J222" s="461"/>
      <c r="L222" s="463"/>
      <c r="M222" s="463"/>
      <c r="N222" s="463"/>
      <c r="O222" s="463"/>
      <c r="P222" s="463"/>
      <c r="Q222" s="463"/>
    </row>
    <row r="223" spans="2:17" s="462" customFormat="1" ht="15" x14ac:dyDescent="0.2">
      <c r="B223" s="820"/>
      <c r="C223" s="837"/>
      <c r="D223" s="838"/>
      <c r="E223" s="839"/>
      <c r="F223" s="715" t="s">
        <v>749</v>
      </c>
      <c r="G223" s="686">
        <f xml:space="preserve"> 0.15*(10.35+9.36+10.35+9.36)</f>
        <v>5.9130000000000003</v>
      </c>
      <c r="H223" s="684"/>
      <c r="I223" s="761"/>
      <c r="J223" s="461"/>
      <c r="L223" s="463"/>
      <c r="M223" s="463"/>
      <c r="N223" s="463"/>
      <c r="O223" s="463"/>
      <c r="P223" s="463"/>
      <c r="Q223" s="463"/>
    </row>
    <row r="224" spans="2:17" s="462" customFormat="1" ht="15" x14ac:dyDescent="0.2">
      <c r="B224" s="820"/>
      <c r="C224" s="837"/>
      <c r="D224" s="838"/>
      <c r="E224" s="839"/>
      <c r="F224" s="847"/>
      <c r="G224" s="733"/>
      <c r="H224" s="684"/>
      <c r="I224" s="761"/>
      <c r="J224" s="461"/>
      <c r="L224" s="463"/>
      <c r="M224" s="463"/>
      <c r="N224" s="463"/>
      <c r="O224" s="463"/>
      <c r="P224" s="463"/>
      <c r="Q224" s="463"/>
    </row>
    <row r="225" spans="2:17" s="462" customFormat="1" ht="25.5" x14ac:dyDescent="0.2">
      <c r="B225" s="689">
        <f>MAX(B$5:B223)+1</f>
        <v>38</v>
      </c>
      <c r="C225" s="837"/>
      <c r="D225" s="707" t="s">
        <v>147</v>
      </c>
      <c r="E225" s="708"/>
      <c r="F225" s="848" t="s">
        <v>192</v>
      </c>
      <c r="G225" s="710"/>
      <c r="H225" s="694" t="s">
        <v>5</v>
      </c>
      <c r="I225" s="755">
        <f>G230</f>
        <v>2.4507300000000001</v>
      </c>
      <c r="J225" s="461"/>
      <c r="L225" s="463"/>
      <c r="M225" s="463"/>
      <c r="N225" s="463"/>
      <c r="O225" s="463"/>
      <c r="P225" s="463"/>
      <c r="Q225" s="463"/>
    </row>
    <row r="226" spans="2:17" s="462" customFormat="1" ht="25.5" x14ac:dyDescent="0.2">
      <c r="B226" s="820"/>
      <c r="C226" s="837"/>
      <c r="D226" s="713"/>
      <c r="E226" s="725" t="s">
        <v>148</v>
      </c>
      <c r="F226" s="461" t="s">
        <v>193</v>
      </c>
      <c r="G226" s="734"/>
      <c r="H226" s="732" t="s">
        <v>5</v>
      </c>
      <c r="I226" s="761"/>
      <c r="J226" s="461"/>
      <c r="L226" s="463"/>
      <c r="M226" s="463"/>
      <c r="N226" s="463"/>
      <c r="O226" s="463"/>
      <c r="P226" s="463"/>
      <c r="Q226" s="463"/>
    </row>
    <row r="227" spans="2:17" s="462" customFormat="1" ht="15" x14ac:dyDescent="0.2">
      <c r="B227" s="820"/>
      <c r="C227" s="837"/>
      <c r="D227" s="838"/>
      <c r="E227" s="839"/>
      <c r="F227" s="727" t="s">
        <v>750</v>
      </c>
      <c r="G227" s="686">
        <v>0.63405</v>
      </c>
      <c r="H227" s="684"/>
      <c r="I227" s="761"/>
      <c r="J227" s="461"/>
      <c r="L227" s="463"/>
      <c r="M227" s="463"/>
      <c r="N227" s="463"/>
      <c r="O227" s="463"/>
      <c r="P227" s="463"/>
      <c r="Q227" s="463"/>
    </row>
    <row r="228" spans="2:17" s="462" customFormat="1" ht="25.5" x14ac:dyDescent="0.2">
      <c r="B228" s="820"/>
      <c r="C228" s="837"/>
      <c r="D228" s="838"/>
      <c r="E228" s="725" t="s">
        <v>362</v>
      </c>
      <c r="F228" s="461" t="s">
        <v>363</v>
      </c>
      <c r="G228" s="734"/>
      <c r="H228" s="732" t="s">
        <v>5</v>
      </c>
      <c r="I228" s="761"/>
      <c r="J228" s="461"/>
      <c r="L228" s="463"/>
      <c r="M228" s="463"/>
      <c r="N228" s="463"/>
      <c r="O228" s="463"/>
      <c r="P228" s="463"/>
      <c r="Q228" s="463"/>
    </row>
    <row r="229" spans="2:17" s="462" customFormat="1" ht="25.5" x14ac:dyDescent="0.2">
      <c r="B229" s="820"/>
      <c r="C229" s="837"/>
      <c r="D229" s="838"/>
      <c r="E229" s="839"/>
      <c r="F229" s="715" t="s">
        <v>770</v>
      </c>
      <c r="G229" s="733">
        <f>1.7143+0.10238</f>
        <v>1.8166799999999999</v>
      </c>
      <c r="H229" s="684"/>
      <c r="I229" s="761"/>
      <c r="J229" s="461"/>
      <c r="L229" s="463"/>
      <c r="M229" s="463"/>
      <c r="N229" s="463"/>
      <c r="O229" s="463"/>
      <c r="P229" s="463"/>
      <c r="Q229" s="463"/>
    </row>
    <row r="230" spans="2:17" s="462" customFormat="1" ht="15" x14ac:dyDescent="0.2">
      <c r="B230" s="820"/>
      <c r="C230" s="837"/>
      <c r="D230" s="838"/>
      <c r="E230" s="839"/>
      <c r="F230" s="721" t="s">
        <v>298</v>
      </c>
      <c r="G230" s="686">
        <f>G227+G229</f>
        <v>2.4507300000000001</v>
      </c>
      <c r="H230" s="684"/>
      <c r="I230" s="761"/>
      <c r="J230" s="461"/>
      <c r="L230" s="463"/>
      <c r="M230" s="463"/>
      <c r="N230" s="463"/>
      <c r="O230" s="463"/>
      <c r="P230" s="463"/>
      <c r="Q230" s="463"/>
    </row>
    <row r="231" spans="2:17" s="462" customFormat="1" ht="15" x14ac:dyDescent="0.2">
      <c r="B231" s="820"/>
      <c r="C231" s="837"/>
      <c r="D231" s="838"/>
      <c r="E231" s="839"/>
      <c r="F231" s="721"/>
      <c r="G231" s="686"/>
      <c r="H231" s="684"/>
      <c r="I231" s="761"/>
      <c r="J231" s="461"/>
      <c r="L231" s="463"/>
      <c r="M231" s="463"/>
      <c r="N231" s="463"/>
      <c r="O231" s="463"/>
      <c r="P231" s="463"/>
      <c r="Q231" s="463"/>
    </row>
    <row r="232" spans="2:17" s="462" customFormat="1" ht="25.5" x14ac:dyDescent="0.2">
      <c r="B232" s="689">
        <f>MAX(B$5:B231)+1</f>
        <v>39</v>
      </c>
      <c r="C232" s="861"/>
      <c r="D232" s="690" t="s">
        <v>204</v>
      </c>
      <c r="E232" s="691"/>
      <c r="F232" s="692" t="s">
        <v>205</v>
      </c>
      <c r="G232" s="862"/>
      <c r="H232" s="696" t="s">
        <v>25</v>
      </c>
      <c r="I232" s="863">
        <f>I233</f>
        <v>17.2</v>
      </c>
      <c r="J232" s="461"/>
      <c r="L232" s="463"/>
      <c r="M232" s="463"/>
      <c r="N232" s="463"/>
      <c r="O232" s="463"/>
      <c r="P232" s="463"/>
      <c r="Q232" s="463"/>
    </row>
    <row r="233" spans="2:17" s="462" customFormat="1" ht="25.5" x14ac:dyDescent="0.2">
      <c r="B233" s="864"/>
      <c r="C233" s="861"/>
      <c r="D233" s="789"/>
      <c r="E233" s="775" t="s">
        <v>206</v>
      </c>
      <c r="F233" s="776" t="s">
        <v>207</v>
      </c>
      <c r="G233" s="777"/>
      <c r="H233" s="778" t="s">
        <v>25</v>
      </c>
      <c r="I233" s="865">
        <f>G236</f>
        <v>17.2</v>
      </c>
      <c r="J233" s="461"/>
      <c r="L233" s="463"/>
      <c r="M233" s="463"/>
      <c r="N233" s="463"/>
      <c r="O233" s="463"/>
      <c r="P233" s="463"/>
      <c r="Q233" s="463"/>
    </row>
    <row r="234" spans="2:17" s="462" customFormat="1" ht="15" x14ac:dyDescent="0.2">
      <c r="B234" s="864"/>
      <c r="C234" s="861"/>
      <c r="D234" s="866"/>
      <c r="E234" s="867"/>
      <c r="F234" s="868" t="s">
        <v>771</v>
      </c>
      <c r="G234" s="869">
        <v>8.6</v>
      </c>
      <c r="H234" s="870"/>
      <c r="I234" s="865"/>
      <c r="J234" s="461"/>
      <c r="L234" s="463"/>
      <c r="M234" s="463"/>
      <c r="N234" s="463"/>
      <c r="O234" s="463"/>
      <c r="P234" s="463"/>
      <c r="Q234" s="463"/>
    </row>
    <row r="235" spans="2:17" s="462" customFormat="1" ht="15" x14ac:dyDescent="0.2">
      <c r="B235" s="864"/>
      <c r="C235" s="861"/>
      <c r="D235" s="866"/>
      <c r="E235" s="867"/>
      <c r="F235" s="868" t="s">
        <v>772</v>
      </c>
      <c r="G235" s="871">
        <v>8.6</v>
      </c>
      <c r="H235" s="870"/>
      <c r="I235" s="865"/>
      <c r="J235" s="461"/>
      <c r="L235" s="463"/>
      <c r="M235" s="463"/>
      <c r="N235" s="463"/>
      <c r="O235" s="463"/>
      <c r="P235" s="463"/>
      <c r="Q235" s="463"/>
    </row>
    <row r="236" spans="2:17" s="462" customFormat="1" ht="15" x14ac:dyDescent="0.2">
      <c r="B236" s="864"/>
      <c r="C236" s="861"/>
      <c r="D236" s="866"/>
      <c r="E236" s="867"/>
      <c r="F236" s="868" t="s">
        <v>250</v>
      </c>
      <c r="G236" s="869">
        <f>SUM(G234:G235)</f>
        <v>17.2</v>
      </c>
      <c r="H236" s="870"/>
      <c r="I236" s="865"/>
      <c r="J236" s="461"/>
      <c r="L236" s="463"/>
      <c r="M236" s="463"/>
      <c r="N236" s="463"/>
      <c r="O236" s="463"/>
      <c r="P236" s="463"/>
      <c r="Q236" s="463"/>
    </row>
    <row r="237" spans="2:17" s="462" customFormat="1" ht="15" x14ac:dyDescent="0.2">
      <c r="B237" s="820"/>
      <c r="C237" s="837"/>
      <c r="D237" s="838"/>
      <c r="E237" s="839"/>
      <c r="F237" s="721"/>
      <c r="G237" s="686"/>
      <c r="H237" s="684"/>
      <c r="I237" s="761"/>
      <c r="J237" s="461"/>
      <c r="L237" s="463"/>
      <c r="M237" s="463"/>
      <c r="N237" s="463"/>
      <c r="O237" s="463"/>
      <c r="P237" s="463"/>
      <c r="Q237" s="463"/>
    </row>
    <row r="238" spans="2:17" s="462" customFormat="1" ht="25.5" x14ac:dyDescent="0.2">
      <c r="B238" s="689">
        <f>MAX(B$5:B236)+1</f>
        <v>40</v>
      </c>
      <c r="C238" s="837"/>
      <c r="D238" s="872" t="s">
        <v>208</v>
      </c>
      <c r="E238" s="751"/>
      <c r="F238" s="873" t="s">
        <v>209</v>
      </c>
      <c r="G238" s="874"/>
      <c r="H238" s="754" t="s">
        <v>51</v>
      </c>
      <c r="I238" s="755">
        <f>G239</f>
        <v>35.200000000000003</v>
      </c>
      <c r="J238" s="461"/>
      <c r="L238" s="463"/>
      <c r="M238" s="463"/>
      <c r="N238" s="463"/>
      <c r="O238" s="463"/>
      <c r="P238" s="463"/>
      <c r="Q238" s="463"/>
    </row>
    <row r="239" spans="2:17" s="462" customFormat="1" ht="15" x14ac:dyDescent="0.2">
      <c r="B239" s="820"/>
      <c r="C239" s="837"/>
      <c r="D239" s="875"/>
      <c r="E239" s="876"/>
      <c r="F239" s="773" t="s">
        <v>689</v>
      </c>
      <c r="G239" s="719">
        <v>35.200000000000003</v>
      </c>
      <c r="H239" s="762"/>
      <c r="I239" s="755"/>
      <c r="J239" s="461"/>
      <c r="L239" s="463"/>
      <c r="M239" s="463"/>
      <c r="N239" s="463"/>
      <c r="O239" s="463"/>
      <c r="P239" s="463"/>
      <c r="Q239" s="463"/>
    </row>
    <row r="240" spans="2:17" s="462" customFormat="1" ht="15" x14ac:dyDescent="0.2">
      <c r="B240" s="820"/>
      <c r="C240" s="837"/>
      <c r="D240" s="875"/>
      <c r="E240" s="876"/>
      <c r="F240" s="715" t="s">
        <v>751</v>
      </c>
      <c r="G240" s="719"/>
      <c r="H240" s="762"/>
      <c r="I240" s="755"/>
      <c r="J240" s="461"/>
      <c r="L240" s="463"/>
      <c r="M240" s="463"/>
      <c r="N240" s="463"/>
      <c r="O240" s="463"/>
      <c r="P240" s="463"/>
      <c r="Q240" s="463"/>
    </row>
    <row r="241" spans="2:17" s="462" customFormat="1" ht="15" x14ac:dyDescent="0.2">
      <c r="B241" s="820"/>
      <c r="C241" s="837"/>
      <c r="D241" s="875"/>
      <c r="E241" s="876"/>
      <c r="F241" s="715"/>
      <c r="G241" s="719"/>
      <c r="H241" s="762"/>
      <c r="I241" s="755"/>
      <c r="J241" s="461"/>
      <c r="L241" s="463"/>
      <c r="M241" s="463"/>
      <c r="N241" s="463"/>
      <c r="O241" s="463"/>
      <c r="P241" s="463"/>
      <c r="Q241" s="463"/>
    </row>
    <row r="242" spans="2:17" s="462" customFormat="1" ht="15" x14ac:dyDescent="0.2">
      <c r="B242" s="877">
        <f>MAX(B$1:B241)+1</f>
        <v>41</v>
      </c>
      <c r="C242" s="878"/>
      <c r="D242" s="690" t="s">
        <v>210</v>
      </c>
      <c r="E242" s="691"/>
      <c r="F242" s="692" t="s">
        <v>211</v>
      </c>
      <c r="G242" s="693"/>
      <c r="H242" s="696" t="s">
        <v>25</v>
      </c>
      <c r="I242" s="863">
        <f>I243</f>
        <v>64</v>
      </c>
      <c r="J242" s="461"/>
      <c r="L242" s="463"/>
      <c r="M242" s="463"/>
      <c r="N242" s="463"/>
      <c r="O242" s="463"/>
      <c r="P242" s="463"/>
      <c r="Q242" s="463"/>
    </row>
    <row r="243" spans="2:17" s="462" customFormat="1" ht="15" x14ac:dyDescent="0.2">
      <c r="B243" s="879"/>
      <c r="C243" s="878"/>
      <c r="D243" s="691"/>
      <c r="E243" s="775" t="s">
        <v>212</v>
      </c>
      <c r="F243" s="776" t="s">
        <v>213</v>
      </c>
      <c r="G243" s="777"/>
      <c r="H243" s="778" t="s">
        <v>25</v>
      </c>
      <c r="I243" s="865">
        <f>G247</f>
        <v>64</v>
      </c>
      <c r="J243" s="461"/>
      <c r="L243" s="463"/>
      <c r="M243" s="463"/>
      <c r="N243" s="463"/>
      <c r="O243" s="463"/>
      <c r="P243" s="463"/>
      <c r="Q243" s="463"/>
    </row>
    <row r="244" spans="2:17" s="462" customFormat="1" ht="25.5" x14ac:dyDescent="0.2">
      <c r="B244" s="879"/>
      <c r="C244" s="878"/>
      <c r="D244" s="690"/>
      <c r="E244" s="691"/>
      <c r="F244" s="868" t="s">
        <v>773</v>
      </c>
      <c r="G244" s="693"/>
      <c r="H244" s="696"/>
      <c r="I244" s="865"/>
      <c r="J244" s="461"/>
      <c r="L244" s="463"/>
      <c r="M244" s="463"/>
      <c r="N244" s="463"/>
      <c r="O244" s="463"/>
      <c r="P244" s="463"/>
      <c r="Q244" s="463"/>
    </row>
    <row r="245" spans="2:17" s="462" customFormat="1" ht="15" x14ac:dyDescent="0.2">
      <c r="B245" s="879"/>
      <c r="C245" s="878"/>
      <c r="D245" s="690"/>
      <c r="E245" s="691"/>
      <c r="F245" s="868" t="s">
        <v>774</v>
      </c>
      <c r="G245" s="777">
        <v>32</v>
      </c>
      <c r="H245" s="696"/>
      <c r="I245" s="865"/>
      <c r="J245" s="461"/>
      <c r="L245" s="463"/>
      <c r="M245" s="463"/>
      <c r="N245" s="463"/>
      <c r="O245" s="463"/>
      <c r="P245" s="463"/>
      <c r="Q245" s="463"/>
    </row>
    <row r="246" spans="2:17" s="462" customFormat="1" ht="15" x14ac:dyDescent="0.2">
      <c r="B246" s="879"/>
      <c r="C246" s="878"/>
      <c r="D246" s="690"/>
      <c r="E246" s="691"/>
      <c r="F246" s="868" t="s">
        <v>775</v>
      </c>
      <c r="G246" s="777">
        <v>32</v>
      </c>
      <c r="H246" s="696"/>
      <c r="I246" s="865"/>
      <c r="J246" s="461"/>
      <c r="L246" s="463"/>
      <c r="M246" s="463"/>
      <c r="N246" s="463"/>
      <c r="O246" s="463"/>
      <c r="P246" s="463"/>
      <c r="Q246" s="463"/>
    </row>
    <row r="247" spans="2:17" s="462" customFormat="1" ht="15" x14ac:dyDescent="0.2">
      <c r="B247" s="879"/>
      <c r="C247" s="878"/>
      <c r="D247" s="690"/>
      <c r="E247" s="691"/>
      <c r="F247" s="880" t="s">
        <v>250</v>
      </c>
      <c r="G247" s="777">
        <f>SUM(G245:G246)</f>
        <v>64</v>
      </c>
      <c r="H247" s="696"/>
      <c r="I247" s="865"/>
      <c r="J247" s="461"/>
      <c r="L247" s="463"/>
      <c r="M247" s="463"/>
      <c r="N247" s="463"/>
      <c r="O247" s="463"/>
      <c r="P247" s="463"/>
      <c r="Q247" s="463"/>
    </row>
    <row r="248" spans="2:17" s="462" customFormat="1" ht="38.25" x14ac:dyDescent="0.2">
      <c r="B248" s="879"/>
      <c r="C248" s="878"/>
      <c r="D248" s="690"/>
      <c r="E248" s="691"/>
      <c r="F248" s="868" t="s">
        <v>264</v>
      </c>
      <c r="G248" s="693"/>
      <c r="H248" s="696"/>
      <c r="I248" s="865"/>
      <c r="J248" s="461"/>
      <c r="L248" s="463"/>
      <c r="M248" s="463"/>
      <c r="N248" s="463"/>
      <c r="O248" s="463"/>
      <c r="P248" s="463"/>
      <c r="Q248" s="463"/>
    </row>
    <row r="249" spans="2:17" s="462" customFormat="1" ht="15" x14ac:dyDescent="0.2">
      <c r="B249" s="820"/>
      <c r="C249" s="837"/>
      <c r="D249" s="838"/>
      <c r="E249" s="839"/>
      <c r="F249" s="715"/>
      <c r="G249" s="686"/>
      <c r="H249" s="684"/>
      <c r="I249" s="761"/>
      <c r="J249" s="461"/>
      <c r="L249" s="463"/>
      <c r="M249" s="463"/>
      <c r="N249" s="463"/>
      <c r="O249" s="463"/>
      <c r="P249" s="463"/>
      <c r="Q249" s="463"/>
    </row>
    <row r="250" spans="2:17" s="461" customFormat="1" ht="15" x14ac:dyDescent="0.2">
      <c r="B250" s="689">
        <f>MAX(B$5:B249)+1</f>
        <v>42</v>
      </c>
      <c r="C250" s="837"/>
      <c r="D250" s="707" t="s">
        <v>776</v>
      </c>
      <c r="E250" s="708"/>
      <c r="F250" s="848" t="s">
        <v>777</v>
      </c>
      <c r="G250" s="710"/>
      <c r="H250" s="694" t="s">
        <v>25</v>
      </c>
      <c r="I250" s="755">
        <f>G254</f>
        <v>5.6</v>
      </c>
      <c r="K250" s="462"/>
      <c r="L250" s="463"/>
      <c r="M250" s="463"/>
      <c r="N250" s="463"/>
      <c r="O250" s="463"/>
      <c r="P250" s="463"/>
      <c r="Q250" s="463"/>
    </row>
    <row r="251" spans="2:17" s="461" customFormat="1" ht="15" x14ac:dyDescent="0.2">
      <c r="B251" s="820"/>
      <c r="C251" s="837"/>
      <c r="D251" s="840"/>
      <c r="E251" s="767"/>
      <c r="F251" s="727" t="s">
        <v>513</v>
      </c>
      <c r="G251" s="723"/>
      <c r="H251" s="843"/>
      <c r="I251" s="761"/>
      <c r="K251" s="462"/>
      <c r="L251" s="463"/>
      <c r="M251" s="463"/>
      <c r="N251" s="463"/>
      <c r="O251" s="463"/>
      <c r="P251" s="463"/>
      <c r="Q251" s="463"/>
    </row>
    <row r="252" spans="2:17" s="461" customFormat="1" ht="15" x14ac:dyDescent="0.2">
      <c r="B252" s="820"/>
      <c r="C252" s="837"/>
      <c r="D252" s="840"/>
      <c r="E252" s="767"/>
      <c r="F252" s="860" t="s">
        <v>778</v>
      </c>
      <c r="G252" s="792">
        <v>2.8</v>
      </c>
      <c r="H252" s="843"/>
      <c r="I252" s="761"/>
      <c r="K252" s="462"/>
      <c r="L252" s="463"/>
      <c r="M252" s="463"/>
      <c r="N252" s="463"/>
      <c r="O252" s="463"/>
      <c r="P252" s="463"/>
      <c r="Q252" s="463"/>
    </row>
    <row r="253" spans="2:17" s="461" customFormat="1" ht="15" x14ac:dyDescent="0.2">
      <c r="B253" s="820"/>
      <c r="C253" s="837"/>
      <c r="D253" s="840"/>
      <c r="E253" s="767"/>
      <c r="F253" s="860" t="s">
        <v>779</v>
      </c>
      <c r="G253" s="881">
        <v>2.8</v>
      </c>
      <c r="H253" s="843"/>
      <c r="I253" s="761"/>
      <c r="K253" s="462"/>
      <c r="L253" s="463"/>
      <c r="M253" s="463"/>
      <c r="N253" s="463"/>
      <c r="O253" s="463"/>
      <c r="P253" s="463"/>
      <c r="Q253" s="463"/>
    </row>
    <row r="254" spans="2:17" s="461" customFormat="1" ht="15" x14ac:dyDescent="0.2">
      <c r="B254" s="820"/>
      <c r="C254" s="837"/>
      <c r="D254" s="840"/>
      <c r="E254" s="767"/>
      <c r="F254" s="860" t="s">
        <v>250</v>
      </c>
      <c r="G254" s="792">
        <f>SUM(G252:G253)</f>
        <v>5.6</v>
      </c>
      <c r="H254" s="843"/>
      <c r="I254" s="761"/>
      <c r="K254" s="462"/>
      <c r="L254" s="463"/>
      <c r="M254" s="463"/>
      <c r="N254" s="463"/>
      <c r="O254" s="463"/>
      <c r="P254" s="463"/>
      <c r="Q254" s="463"/>
    </row>
    <row r="255" spans="2:17" s="461" customFormat="1" ht="25.5" x14ac:dyDescent="0.2">
      <c r="B255" s="820"/>
      <c r="C255" s="837"/>
      <c r="D255" s="840"/>
      <c r="E255" s="767"/>
      <c r="F255" s="727" t="s">
        <v>585</v>
      </c>
      <c r="G255" s="842"/>
      <c r="H255" s="843"/>
      <c r="I255" s="761"/>
      <c r="K255" s="462"/>
      <c r="L255" s="463"/>
      <c r="M255" s="463"/>
      <c r="N255" s="463"/>
      <c r="O255" s="463"/>
      <c r="P255" s="463"/>
      <c r="Q255" s="463"/>
    </row>
    <row r="256" spans="2:17" s="461" customFormat="1" ht="15" x14ac:dyDescent="0.2">
      <c r="B256" s="820"/>
      <c r="C256" s="837"/>
      <c r="D256" s="840"/>
      <c r="E256" s="767"/>
      <c r="F256" s="841"/>
      <c r="G256" s="842"/>
      <c r="H256" s="843"/>
      <c r="I256" s="688"/>
      <c r="K256" s="462"/>
      <c r="L256" s="463"/>
      <c r="M256" s="463"/>
      <c r="N256" s="463"/>
      <c r="O256" s="463"/>
      <c r="P256" s="463"/>
      <c r="Q256" s="463"/>
    </row>
    <row r="257" spans="2:17" s="461" customFormat="1" ht="25.5" x14ac:dyDescent="0.2">
      <c r="B257" s="689">
        <f>MAX(B$5:B255)+1</f>
        <v>43</v>
      </c>
      <c r="C257" s="837"/>
      <c r="D257" s="750" t="s">
        <v>214</v>
      </c>
      <c r="E257" s="751"/>
      <c r="F257" s="882" t="s">
        <v>215</v>
      </c>
      <c r="G257" s="753"/>
      <c r="H257" s="754" t="s">
        <v>8</v>
      </c>
      <c r="I257" s="755">
        <f>G258</f>
        <v>4</v>
      </c>
      <c r="K257" s="462"/>
      <c r="L257" s="463"/>
      <c r="M257" s="463"/>
      <c r="N257" s="463"/>
      <c r="O257" s="463"/>
      <c r="P257" s="463"/>
      <c r="Q257" s="463"/>
    </row>
    <row r="258" spans="2:17" s="461" customFormat="1" ht="25.5" x14ac:dyDescent="0.2">
      <c r="B258" s="820"/>
      <c r="C258" s="837"/>
      <c r="D258" s="750"/>
      <c r="E258" s="751"/>
      <c r="F258" s="773" t="s">
        <v>514</v>
      </c>
      <c r="G258" s="734">
        <v>4</v>
      </c>
      <c r="H258" s="754"/>
      <c r="I258" s="761"/>
      <c r="K258" s="462"/>
      <c r="L258" s="463"/>
      <c r="M258" s="463"/>
      <c r="N258" s="463"/>
      <c r="O258" s="463"/>
      <c r="P258" s="463"/>
      <c r="Q258" s="463"/>
    </row>
    <row r="259" spans="2:17" s="461" customFormat="1" ht="15" x14ac:dyDescent="0.2">
      <c r="B259" s="820"/>
      <c r="C259" s="837"/>
      <c r="D259" s="840"/>
      <c r="E259" s="767"/>
      <c r="F259" s="841"/>
      <c r="G259" s="842"/>
      <c r="H259" s="843"/>
      <c r="I259" s="688"/>
      <c r="K259" s="462"/>
      <c r="L259" s="463"/>
      <c r="M259" s="463"/>
      <c r="N259" s="463"/>
      <c r="O259" s="463"/>
      <c r="P259" s="463"/>
      <c r="Q259" s="463"/>
    </row>
    <row r="260" spans="2:17" s="462" customFormat="1" ht="25.5" x14ac:dyDescent="0.2">
      <c r="B260" s="689">
        <f>MAX(B$5:B258)+1</f>
        <v>44</v>
      </c>
      <c r="C260" s="837"/>
      <c r="D260" s="707" t="s">
        <v>218</v>
      </c>
      <c r="E260" s="708"/>
      <c r="F260" s="848" t="s">
        <v>219</v>
      </c>
      <c r="G260" s="710"/>
      <c r="H260" s="694" t="s">
        <v>12</v>
      </c>
      <c r="I260" s="755">
        <f>G264</f>
        <v>4.4000000000000004</v>
      </c>
      <c r="J260" s="461"/>
      <c r="L260" s="463"/>
      <c r="M260" s="463"/>
      <c r="N260" s="463"/>
      <c r="O260" s="463"/>
      <c r="P260" s="463"/>
      <c r="Q260" s="463"/>
    </row>
    <row r="261" spans="2:17" s="462" customFormat="1" ht="25.5" x14ac:dyDescent="0.2">
      <c r="B261" s="820"/>
      <c r="C261" s="837"/>
      <c r="D261" s="840"/>
      <c r="E261" s="725" t="s">
        <v>220</v>
      </c>
      <c r="F261" s="461" t="s">
        <v>221</v>
      </c>
      <c r="G261" s="734"/>
      <c r="H261" s="732" t="s">
        <v>12</v>
      </c>
      <c r="I261" s="761"/>
      <c r="J261" s="461"/>
      <c r="L261" s="463"/>
      <c r="M261" s="463"/>
      <c r="N261" s="463"/>
      <c r="O261" s="463"/>
      <c r="P261" s="463"/>
      <c r="Q261" s="463"/>
    </row>
    <row r="262" spans="2:17" s="462" customFormat="1" ht="16.5" customHeight="1" x14ac:dyDescent="0.2">
      <c r="B262" s="820"/>
      <c r="C262" s="837"/>
      <c r="D262" s="840"/>
      <c r="E262" s="725"/>
      <c r="F262" s="868" t="s">
        <v>780</v>
      </c>
      <c r="G262" s="734"/>
      <c r="H262" s="732"/>
      <c r="I262" s="761"/>
      <c r="J262" s="461"/>
      <c r="L262" s="463"/>
      <c r="M262" s="463"/>
      <c r="N262" s="463"/>
      <c r="O262" s="463"/>
      <c r="P262" s="463"/>
      <c r="Q262" s="463"/>
    </row>
    <row r="263" spans="2:17" s="462" customFormat="1" ht="15" x14ac:dyDescent="0.2">
      <c r="B263" s="820"/>
      <c r="C263" s="837"/>
      <c r="D263" s="840"/>
      <c r="E263" s="725"/>
      <c r="F263" s="727" t="s">
        <v>781</v>
      </c>
      <c r="G263" s="734">
        <f>2*8.8*0.25</f>
        <v>4.4000000000000004</v>
      </c>
      <c r="H263" s="732"/>
      <c r="I263" s="761"/>
      <c r="J263" s="461"/>
      <c r="L263" s="463"/>
      <c r="M263" s="463"/>
      <c r="N263" s="463"/>
      <c r="O263" s="463"/>
      <c r="P263" s="463"/>
      <c r="Q263" s="463"/>
    </row>
    <row r="264" spans="2:17" s="462" customFormat="1" ht="15" x14ac:dyDescent="0.2">
      <c r="B264" s="820"/>
      <c r="C264" s="837"/>
      <c r="D264" s="840"/>
      <c r="E264" s="714"/>
      <c r="F264" s="721" t="s">
        <v>298</v>
      </c>
      <c r="G264" s="723">
        <f>SUM(G262:G263)</f>
        <v>4.4000000000000004</v>
      </c>
      <c r="H264" s="716"/>
      <c r="I264" s="761"/>
      <c r="J264" s="461"/>
      <c r="L264" s="463"/>
      <c r="M264" s="463"/>
      <c r="N264" s="463"/>
      <c r="O264" s="463"/>
      <c r="P264" s="463"/>
      <c r="Q264" s="463"/>
    </row>
    <row r="265" spans="2:17" s="462" customFormat="1" ht="15" x14ac:dyDescent="0.2">
      <c r="B265" s="820"/>
      <c r="C265" s="837"/>
      <c r="D265" s="840"/>
      <c r="E265" s="767"/>
      <c r="F265" s="841"/>
      <c r="G265" s="842"/>
      <c r="H265" s="843"/>
      <c r="I265" s="761"/>
      <c r="J265" s="461"/>
      <c r="L265" s="463"/>
      <c r="M265" s="463"/>
      <c r="N265" s="463"/>
      <c r="O265" s="463"/>
      <c r="P265" s="463"/>
      <c r="Q265" s="463"/>
    </row>
    <row r="266" spans="2:17" s="462" customFormat="1" ht="25.5" x14ac:dyDescent="0.2">
      <c r="B266" s="689">
        <f>MAX(B$5:B263)+1</f>
        <v>45</v>
      </c>
      <c r="C266" s="837"/>
      <c r="D266" s="707" t="s">
        <v>222</v>
      </c>
      <c r="E266" s="708"/>
      <c r="F266" s="848" t="s">
        <v>223</v>
      </c>
      <c r="G266" s="710"/>
      <c r="H266" s="694" t="s">
        <v>25</v>
      </c>
      <c r="I266" s="755">
        <f>G268</f>
        <v>35.5</v>
      </c>
      <c r="J266" s="461"/>
      <c r="L266" s="463"/>
      <c r="M266" s="463"/>
      <c r="N266" s="463"/>
      <c r="O266" s="463"/>
      <c r="P266" s="463"/>
      <c r="Q266" s="463"/>
    </row>
    <row r="267" spans="2:17" s="462" customFormat="1" ht="25.5" x14ac:dyDescent="0.2">
      <c r="B267" s="820"/>
      <c r="C267" s="837"/>
      <c r="D267" s="840"/>
      <c r="E267" s="714" t="s">
        <v>224</v>
      </c>
      <c r="F267" s="555" t="s">
        <v>225</v>
      </c>
      <c r="G267" s="723"/>
      <c r="H267" s="716" t="s">
        <v>25</v>
      </c>
      <c r="I267" s="761"/>
      <c r="J267" s="461"/>
      <c r="L267" s="463"/>
      <c r="M267" s="463"/>
      <c r="N267" s="463"/>
      <c r="O267" s="463"/>
      <c r="P267" s="463"/>
      <c r="Q267" s="463"/>
    </row>
    <row r="268" spans="2:17" s="462" customFormat="1" ht="25.5" x14ac:dyDescent="0.2">
      <c r="B268" s="820"/>
      <c r="C268" s="837"/>
      <c r="D268" s="840"/>
      <c r="E268" s="714"/>
      <c r="F268" s="555" t="s">
        <v>782</v>
      </c>
      <c r="G268" s="723">
        <f>15+14.5+3+3</f>
        <v>35.5</v>
      </c>
      <c r="H268" s="716"/>
      <c r="I268" s="761"/>
      <c r="J268" s="461"/>
      <c r="L268" s="463"/>
      <c r="M268" s="463"/>
      <c r="N268" s="463"/>
      <c r="O268" s="463"/>
      <c r="P268" s="463"/>
      <c r="Q268" s="463"/>
    </row>
    <row r="269" spans="2:17" s="462" customFormat="1" ht="15" x14ac:dyDescent="0.2">
      <c r="B269" s="820"/>
      <c r="C269" s="837"/>
      <c r="D269" s="840"/>
      <c r="E269" s="714"/>
      <c r="F269" s="555"/>
      <c r="G269" s="723"/>
      <c r="H269" s="716"/>
      <c r="I269" s="761"/>
      <c r="J269" s="461"/>
      <c r="L269" s="463"/>
      <c r="M269" s="463"/>
      <c r="N269" s="463"/>
      <c r="O269" s="463"/>
      <c r="P269" s="463"/>
      <c r="Q269" s="463"/>
    </row>
    <row r="270" spans="2:17" ht="25.5" x14ac:dyDescent="0.2">
      <c r="B270" s="689">
        <f>MAX(B$5:B269)+1</f>
        <v>46</v>
      </c>
      <c r="C270" s="837"/>
      <c r="D270" s="707" t="s">
        <v>753</v>
      </c>
      <c r="E270" s="708"/>
      <c r="F270" s="848" t="s">
        <v>754</v>
      </c>
      <c r="G270" s="710"/>
      <c r="H270" s="694" t="s">
        <v>25</v>
      </c>
      <c r="I270" s="755">
        <f>G275</f>
        <v>20.7</v>
      </c>
    </row>
    <row r="271" spans="2:17" s="556" customFormat="1" ht="25.5" x14ac:dyDescent="0.2">
      <c r="B271" s="820"/>
      <c r="C271" s="837"/>
      <c r="D271" s="713"/>
      <c r="E271" s="883" t="s">
        <v>755</v>
      </c>
      <c r="F271" s="791" t="s">
        <v>756</v>
      </c>
      <c r="G271" s="792"/>
      <c r="H271" s="793" t="s">
        <v>25</v>
      </c>
      <c r="I271" s="794">
        <f>G275</f>
        <v>20.7</v>
      </c>
      <c r="J271" s="555"/>
      <c r="K271" s="717"/>
    </row>
    <row r="272" spans="2:17" s="556" customFormat="1" ht="15" x14ac:dyDescent="0.2">
      <c r="B272" s="820"/>
      <c r="C272" s="837"/>
      <c r="D272" s="713"/>
      <c r="E272" s="883"/>
      <c r="F272" s="860" t="s">
        <v>757</v>
      </c>
      <c r="G272" s="833">
        <v>10.35</v>
      </c>
      <c r="H272" s="793"/>
      <c r="I272" s="794"/>
      <c r="J272" s="555"/>
      <c r="K272" s="717"/>
    </row>
    <row r="273" spans="2:17" ht="15" x14ac:dyDescent="0.2">
      <c r="B273" s="820"/>
      <c r="C273" s="837"/>
      <c r="D273" s="713"/>
      <c r="E273" s="714"/>
      <c r="F273" s="860" t="s">
        <v>758</v>
      </c>
      <c r="G273" s="846">
        <v>10.35</v>
      </c>
      <c r="H273" s="716"/>
      <c r="I273" s="761"/>
    </row>
    <row r="274" spans="2:17" ht="24" x14ac:dyDescent="0.2">
      <c r="B274" s="820"/>
      <c r="C274" s="837"/>
      <c r="D274" s="838"/>
      <c r="E274" s="839"/>
      <c r="F274" s="884" t="s">
        <v>752</v>
      </c>
      <c r="G274" s="733"/>
      <c r="H274" s="684"/>
      <c r="I274" s="761"/>
    </row>
    <row r="275" spans="2:17" ht="15" x14ac:dyDescent="0.2">
      <c r="B275" s="820"/>
      <c r="C275" s="837"/>
      <c r="D275" s="838"/>
      <c r="E275" s="839"/>
      <c r="F275" s="885" t="s">
        <v>250</v>
      </c>
      <c r="G275" s="733">
        <f>SUM(G272:G274)</f>
        <v>20.7</v>
      </c>
      <c r="H275" s="684"/>
      <c r="I275" s="761"/>
    </row>
    <row r="276" spans="2:17" ht="7.5" customHeight="1" x14ac:dyDescent="0.2">
      <c r="B276" s="820"/>
      <c r="C276" s="837"/>
      <c r="D276" s="838"/>
      <c r="E276" s="839"/>
      <c r="F276" s="727"/>
      <c r="G276" s="733"/>
      <c r="H276" s="684"/>
      <c r="I276" s="761"/>
    </row>
    <row r="277" spans="2:17" ht="15" x14ac:dyDescent="0.2">
      <c r="B277" s="689">
        <f>MAX(B$5:B271)+1</f>
        <v>47</v>
      </c>
      <c r="C277" s="837"/>
      <c r="D277" s="707" t="s">
        <v>226</v>
      </c>
      <c r="E277" s="708"/>
      <c r="F277" s="848" t="s">
        <v>227</v>
      </c>
      <c r="G277" s="710"/>
      <c r="H277" s="694" t="s">
        <v>8</v>
      </c>
      <c r="I277" s="755">
        <f>G282</f>
        <v>48</v>
      </c>
    </row>
    <row r="278" spans="2:17" ht="15" x14ac:dyDescent="0.2">
      <c r="B278" s="820"/>
      <c r="C278" s="837"/>
      <c r="D278" s="838"/>
      <c r="E278" s="839"/>
      <c r="F278" s="727" t="s">
        <v>532</v>
      </c>
      <c r="G278" s="686"/>
      <c r="H278" s="684"/>
      <c r="I278" s="761"/>
    </row>
    <row r="279" spans="2:17" ht="25.5" x14ac:dyDescent="0.2">
      <c r="B279" s="820"/>
      <c r="C279" s="837"/>
      <c r="D279" s="838"/>
      <c r="E279" s="839"/>
      <c r="F279" s="727" t="s">
        <v>279</v>
      </c>
      <c r="G279" s="733">
        <v>44</v>
      </c>
      <c r="H279" s="684"/>
      <c r="I279" s="761"/>
    </row>
    <row r="280" spans="2:17" ht="38.25" x14ac:dyDescent="0.2">
      <c r="B280" s="820"/>
      <c r="C280" s="837"/>
      <c r="D280" s="838"/>
      <c r="E280" s="839"/>
      <c r="F280" s="727" t="s">
        <v>267</v>
      </c>
      <c r="G280" s="733"/>
      <c r="H280" s="684"/>
      <c r="I280" s="761"/>
    </row>
    <row r="281" spans="2:17" ht="66.75" customHeight="1" x14ac:dyDescent="0.2">
      <c r="B281" s="820"/>
      <c r="C281" s="837"/>
      <c r="D281" s="838"/>
      <c r="E281" s="839"/>
      <c r="F281" s="886" t="s">
        <v>783</v>
      </c>
      <c r="G281" s="733">
        <v>4</v>
      </c>
      <c r="H281" s="684"/>
      <c r="I281" s="761"/>
    </row>
    <row r="282" spans="2:17" ht="15" x14ac:dyDescent="0.2">
      <c r="B282" s="820"/>
      <c r="C282" s="837"/>
      <c r="D282" s="838"/>
      <c r="E282" s="839"/>
      <c r="F282" s="721" t="s">
        <v>298</v>
      </c>
      <c r="G282" s="686">
        <f>SUM(G278:G281)</f>
        <v>48</v>
      </c>
      <c r="H282" s="684"/>
      <c r="I282" s="761"/>
    </row>
    <row r="283" spans="2:17" ht="8.25" customHeight="1" x14ac:dyDescent="0.2">
      <c r="B283" s="820"/>
      <c r="C283" s="837"/>
      <c r="D283" s="838"/>
      <c r="E283" s="839"/>
      <c r="F283" s="721"/>
      <c r="G283" s="686"/>
      <c r="H283" s="684"/>
      <c r="I283" s="761"/>
    </row>
    <row r="284" spans="2:17" s="461" customFormat="1" ht="25.5" x14ac:dyDescent="0.2">
      <c r="B284" s="823"/>
      <c r="C284" s="887" t="s">
        <v>681</v>
      </c>
      <c r="D284" s="888"/>
      <c r="E284" s="889"/>
      <c r="F284" s="890" t="s">
        <v>682</v>
      </c>
      <c r="G284" s="679"/>
      <c r="H284" s="891"/>
      <c r="I284" s="681"/>
      <c r="K284" s="462"/>
      <c r="L284" s="463"/>
      <c r="M284" s="463"/>
      <c r="N284" s="463"/>
      <c r="O284" s="463"/>
      <c r="P284" s="463"/>
      <c r="Q284" s="463"/>
    </row>
    <row r="285" spans="2:17" s="461" customFormat="1" x14ac:dyDescent="0.2">
      <c r="B285" s="820"/>
      <c r="C285" s="892"/>
      <c r="D285" s="893"/>
      <c r="E285" s="894"/>
      <c r="F285" s="895"/>
      <c r="G285" s="686"/>
      <c r="H285" s="684"/>
      <c r="I285" s="761"/>
      <c r="K285" s="462"/>
      <c r="L285" s="463"/>
      <c r="M285" s="463"/>
      <c r="N285" s="463"/>
      <c r="O285" s="463"/>
      <c r="P285" s="463"/>
      <c r="Q285" s="463"/>
    </row>
    <row r="286" spans="2:17" s="461" customFormat="1" ht="25.5" x14ac:dyDescent="0.2">
      <c r="B286" s="689">
        <f>MAX(B$5:B283)+1</f>
        <v>48</v>
      </c>
      <c r="C286" s="892"/>
      <c r="D286" s="690" t="s">
        <v>840</v>
      </c>
      <c r="E286" s="691"/>
      <c r="F286" s="692" t="s">
        <v>841</v>
      </c>
      <c r="G286" s="693"/>
      <c r="H286" s="696" t="s">
        <v>51</v>
      </c>
      <c r="I286" s="755">
        <f>I287</f>
        <v>5.4</v>
      </c>
      <c r="K286" s="462"/>
      <c r="L286" s="463"/>
      <c r="M286" s="463"/>
      <c r="N286" s="463"/>
      <c r="O286" s="463"/>
      <c r="P286" s="463"/>
      <c r="Q286" s="463"/>
    </row>
    <row r="287" spans="2:17" s="461" customFormat="1" ht="27" customHeight="1" x14ac:dyDescent="0.2">
      <c r="B287" s="820"/>
      <c r="C287" s="892"/>
      <c r="D287" s="893"/>
      <c r="E287" s="775" t="s">
        <v>842</v>
      </c>
      <c r="F287" s="896" t="s">
        <v>843</v>
      </c>
      <c r="G287" s="777"/>
      <c r="H287" s="684" t="s">
        <v>51</v>
      </c>
      <c r="I287" s="761">
        <f>G288</f>
        <v>5.4</v>
      </c>
      <c r="K287" s="462"/>
      <c r="L287" s="463"/>
      <c r="M287" s="463"/>
      <c r="N287" s="463"/>
      <c r="O287" s="463"/>
      <c r="P287" s="463"/>
      <c r="Q287" s="463"/>
    </row>
    <row r="288" spans="2:17" s="461" customFormat="1" x14ac:dyDescent="0.2">
      <c r="B288" s="820"/>
      <c r="C288" s="892"/>
      <c r="D288" s="893"/>
      <c r="E288" s="894"/>
      <c r="F288" s="727" t="s">
        <v>844</v>
      </c>
      <c r="G288" s="686">
        <f>1.5*0.9*4</f>
        <v>5.4</v>
      </c>
      <c r="H288" s="684"/>
      <c r="I288" s="761"/>
      <c r="K288" s="462"/>
      <c r="L288" s="463"/>
      <c r="M288" s="463"/>
      <c r="N288" s="463"/>
      <c r="O288" s="463"/>
      <c r="P288" s="463"/>
      <c r="Q288" s="463"/>
    </row>
    <row r="289" spans="2:17" s="461" customFormat="1" ht="25.5" x14ac:dyDescent="0.2">
      <c r="B289" s="820"/>
      <c r="C289" s="892"/>
      <c r="D289" s="893"/>
      <c r="E289" s="894"/>
      <c r="F289" s="727" t="s">
        <v>845</v>
      </c>
      <c r="G289" s="733"/>
      <c r="H289" s="684"/>
      <c r="I289" s="761"/>
      <c r="K289" s="462"/>
      <c r="L289" s="463"/>
      <c r="M289" s="463"/>
      <c r="N289" s="463"/>
      <c r="O289" s="463"/>
      <c r="P289" s="463"/>
      <c r="Q289" s="463"/>
    </row>
    <row r="290" spans="2:17" s="461" customFormat="1" ht="15" x14ac:dyDescent="0.2">
      <c r="B290" s="820"/>
      <c r="C290" s="837"/>
      <c r="D290" s="838"/>
      <c r="E290" s="839"/>
      <c r="F290" s="715"/>
      <c r="G290" s="686"/>
      <c r="H290" s="684"/>
      <c r="I290" s="761"/>
      <c r="K290" s="462"/>
      <c r="L290" s="463"/>
      <c r="M290" s="463"/>
      <c r="N290" s="463"/>
      <c r="O290" s="463"/>
      <c r="P290" s="463"/>
      <c r="Q290" s="463"/>
    </row>
    <row r="291" spans="2:17" s="461" customFormat="1" ht="25.5" x14ac:dyDescent="0.2">
      <c r="B291" s="823"/>
      <c r="C291" s="834" t="s">
        <v>248</v>
      </c>
      <c r="D291" s="834"/>
      <c r="E291" s="748"/>
      <c r="F291" s="835" t="s">
        <v>249</v>
      </c>
      <c r="G291" s="897"/>
      <c r="H291" s="891"/>
      <c r="I291" s="681"/>
      <c r="K291" s="462"/>
      <c r="L291" s="463"/>
      <c r="M291" s="463"/>
      <c r="N291" s="463"/>
      <c r="O291" s="463"/>
      <c r="P291" s="463"/>
      <c r="Q291" s="463"/>
    </row>
    <row r="292" spans="2:17" s="461" customFormat="1" x14ac:dyDescent="0.2">
      <c r="B292" s="820"/>
      <c r="C292" s="898"/>
      <c r="D292" s="898"/>
      <c r="E292" s="767"/>
      <c r="F292" s="899"/>
      <c r="G292" s="733"/>
      <c r="H292" s="684"/>
      <c r="I292" s="761"/>
      <c r="K292" s="462"/>
      <c r="L292" s="463"/>
      <c r="M292" s="463"/>
      <c r="N292" s="463"/>
      <c r="O292" s="463"/>
      <c r="P292" s="463"/>
      <c r="Q292" s="463"/>
    </row>
    <row r="293" spans="2:17" s="461" customFormat="1" ht="25.5" x14ac:dyDescent="0.2">
      <c r="B293" s="689">
        <f>MAX(B$2:B292)+1</f>
        <v>49</v>
      </c>
      <c r="C293" s="837"/>
      <c r="D293" s="707" t="s">
        <v>228</v>
      </c>
      <c r="E293" s="708"/>
      <c r="F293" s="848" t="s">
        <v>229</v>
      </c>
      <c r="G293" s="710"/>
      <c r="H293" s="694" t="s">
        <v>12</v>
      </c>
      <c r="I293" s="755">
        <f>G299</f>
        <v>808.65599999999995</v>
      </c>
      <c r="K293" s="462"/>
      <c r="L293" s="463"/>
      <c r="M293" s="463"/>
      <c r="N293" s="463"/>
      <c r="O293" s="463"/>
      <c r="P293" s="463"/>
      <c r="Q293" s="463"/>
    </row>
    <row r="294" spans="2:17" s="461" customFormat="1" ht="25.5" x14ac:dyDescent="0.2">
      <c r="B294" s="820"/>
      <c r="C294" s="837"/>
      <c r="D294" s="838"/>
      <c r="E294" s="775" t="s">
        <v>828</v>
      </c>
      <c r="F294" s="776" t="s">
        <v>829</v>
      </c>
      <c r="G294" s="777"/>
      <c r="H294" s="778" t="s">
        <v>12</v>
      </c>
      <c r="I294" s="865">
        <f>G299</f>
        <v>808.65599999999995</v>
      </c>
      <c r="K294" s="462"/>
      <c r="L294" s="463"/>
      <c r="M294" s="463"/>
      <c r="N294" s="463"/>
      <c r="O294" s="463"/>
      <c r="P294" s="463"/>
      <c r="Q294" s="463"/>
    </row>
    <row r="295" spans="2:17" s="461" customFormat="1" ht="25.5" x14ac:dyDescent="0.2">
      <c r="B295" s="820"/>
      <c r="C295" s="837"/>
      <c r="D295" s="838"/>
      <c r="E295" s="867"/>
      <c r="F295" s="868" t="s">
        <v>826</v>
      </c>
      <c r="G295" s="869">
        <f>9.36*8.8</f>
        <v>82.367999999999995</v>
      </c>
      <c r="H295" s="870"/>
      <c r="I295" s="865"/>
      <c r="K295" s="462"/>
      <c r="L295" s="463"/>
      <c r="M295" s="463"/>
      <c r="N295" s="463"/>
      <c r="O295" s="463"/>
      <c r="P295" s="463"/>
      <c r="Q295" s="463"/>
    </row>
    <row r="296" spans="2:17" s="461" customFormat="1" ht="25.5" x14ac:dyDescent="0.2">
      <c r="B296" s="820"/>
      <c r="C296" s="837"/>
      <c r="D296" s="838"/>
      <c r="E296" s="867"/>
      <c r="F296" s="868" t="s">
        <v>827</v>
      </c>
      <c r="G296" s="871">
        <f>9.36*8.8</f>
        <v>82.367999999999995</v>
      </c>
      <c r="H296" s="870"/>
      <c r="I296" s="865"/>
      <c r="K296" s="462"/>
      <c r="L296" s="463"/>
      <c r="M296" s="463"/>
      <c r="N296" s="463"/>
      <c r="O296" s="463"/>
      <c r="P296" s="463"/>
      <c r="Q296" s="463"/>
    </row>
    <row r="297" spans="2:17" s="461" customFormat="1" ht="15" x14ac:dyDescent="0.2">
      <c r="B297" s="820"/>
      <c r="C297" s="837"/>
      <c r="D297" s="838"/>
      <c r="E297" s="867"/>
      <c r="F297" s="868" t="s">
        <v>831</v>
      </c>
      <c r="G297" s="871">
        <f>24.04*9*2</f>
        <v>432.71999999999997</v>
      </c>
      <c r="H297" s="870"/>
      <c r="I297" s="865"/>
      <c r="K297" s="462"/>
      <c r="L297" s="463"/>
      <c r="M297" s="463"/>
      <c r="N297" s="463"/>
      <c r="O297" s="463"/>
      <c r="P297" s="463"/>
      <c r="Q297" s="463"/>
    </row>
    <row r="298" spans="2:17" s="461" customFormat="1" ht="25.5" x14ac:dyDescent="0.2">
      <c r="B298" s="820"/>
      <c r="C298" s="837"/>
      <c r="D298" s="838"/>
      <c r="E298" s="839"/>
      <c r="F298" s="727" t="s">
        <v>830</v>
      </c>
      <c r="G298" s="733">
        <f>(2*6*8.8)*2</f>
        <v>211.20000000000002</v>
      </c>
      <c r="H298" s="684"/>
      <c r="I298" s="761"/>
      <c r="K298" s="462"/>
      <c r="L298" s="463"/>
      <c r="M298" s="463"/>
      <c r="N298" s="463"/>
      <c r="O298" s="463"/>
      <c r="P298" s="463"/>
      <c r="Q298" s="463"/>
    </row>
    <row r="299" spans="2:17" s="461" customFormat="1" ht="15" x14ac:dyDescent="0.2">
      <c r="B299" s="820"/>
      <c r="C299" s="837"/>
      <c r="D299" s="838"/>
      <c r="E299" s="839"/>
      <c r="F299" s="721" t="s">
        <v>298</v>
      </c>
      <c r="G299" s="686">
        <f>SUM(G295:G298)</f>
        <v>808.65599999999995</v>
      </c>
      <c r="H299" s="684"/>
      <c r="I299" s="761"/>
      <c r="K299" s="462"/>
      <c r="L299" s="463"/>
      <c r="M299" s="463"/>
      <c r="N299" s="463"/>
      <c r="O299" s="463"/>
      <c r="P299" s="463"/>
      <c r="Q299" s="463"/>
    </row>
    <row r="300" spans="2:17" s="461" customFormat="1" ht="15" x14ac:dyDescent="0.2">
      <c r="B300" s="820"/>
      <c r="C300" s="837"/>
      <c r="D300" s="838"/>
      <c r="E300" s="839"/>
      <c r="F300" s="727"/>
      <c r="G300" s="733"/>
      <c r="H300" s="684"/>
      <c r="I300" s="761"/>
      <c r="K300" s="462"/>
      <c r="L300" s="463"/>
      <c r="M300" s="463"/>
      <c r="N300" s="463"/>
      <c r="O300" s="463"/>
      <c r="P300" s="463"/>
      <c r="Q300" s="463"/>
    </row>
    <row r="301" spans="2:17" s="461" customFormat="1" ht="25.5" x14ac:dyDescent="0.2">
      <c r="B301" s="689">
        <f>MAX(B$2:B300)+1</f>
        <v>50</v>
      </c>
      <c r="C301" s="837"/>
      <c r="D301" s="707" t="s">
        <v>380</v>
      </c>
      <c r="E301" s="708"/>
      <c r="F301" s="848" t="s">
        <v>381</v>
      </c>
      <c r="G301" s="710"/>
      <c r="H301" s="694" t="s">
        <v>51</v>
      </c>
      <c r="I301" s="755">
        <f>G306</f>
        <v>19.282560000000004</v>
      </c>
      <c r="K301" s="462"/>
      <c r="L301" s="463"/>
      <c r="M301" s="463"/>
      <c r="N301" s="463"/>
      <c r="O301" s="463"/>
      <c r="P301" s="463"/>
      <c r="Q301" s="463"/>
    </row>
    <row r="302" spans="2:17" s="461" customFormat="1" ht="25.5" x14ac:dyDescent="0.2">
      <c r="B302" s="820"/>
      <c r="C302" s="837"/>
      <c r="D302" s="713"/>
      <c r="E302" s="725" t="s">
        <v>382</v>
      </c>
      <c r="F302" s="461" t="s">
        <v>383</v>
      </c>
      <c r="G302" s="734"/>
      <c r="H302" s="732" t="s">
        <v>51</v>
      </c>
      <c r="I302" s="761">
        <f>G306</f>
        <v>19.282560000000004</v>
      </c>
      <c r="K302" s="462"/>
      <c r="L302" s="463"/>
      <c r="M302" s="463"/>
      <c r="N302" s="463"/>
      <c r="O302" s="463"/>
      <c r="P302" s="463"/>
      <c r="Q302" s="463"/>
    </row>
    <row r="303" spans="2:17" s="461" customFormat="1" ht="15" x14ac:dyDescent="0.2">
      <c r="B303" s="820"/>
      <c r="C303" s="837"/>
      <c r="D303" s="838"/>
      <c r="E303" s="839"/>
      <c r="F303" s="727" t="s">
        <v>837</v>
      </c>
      <c r="G303" s="686">
        <f>9.36*8.8*0.045</f>
        <v>3.7065599999999996</v>
      </c>
      <c r="H303" s="684"/>
      <c r="I303" s="761"/>
      <c r="K303" s="462"/>
      <c r="L303" s="463"/>
      <c r="M303" s="463"/>
      <c r="N303" s="463"/>
      <c r="O303" s="463"/>
      <c r="P303" s="463"/>
      <c r="Q303" s="463"/>
    </row>
    <row r="304" spans="2:17" s="461" customFormat="1" ht="25.5" x14ac:dyDescent="0.2">
      <c r="B304" s="820"/>
      <c r="C304" s="837"/>
      <c r="D304" s="838"/>
      <c r="E304" s="839"/>
      <c r="F304" s="715" t="s">
        <v>838</v>
      </c>
      <c r="G304" s="686">
        <f>2*8.8*6.5*0.06</f>
        <v>6.8639999999999999</v>
      </c>
      <c r="H304" s="684"/>
      <c r="I304" s="761"/>
      <c r="K304" s="462"/>
      <c r="L304" s="463"/>
      <c r="M304" s="463"/>
      <c r="N304" s="463"/>
      <c r="O304" s="463"/>
      <c r="P304" s="463"/>
      <c r="Q304" s="463"/>
    </row>
    <row r="305" spans="2:17" s="461" customFormat="1" ht="25.5" x14ac:dyDescent="0.2">
      <c r="B305" s="820"/>
      <c r="C305" s="837"/>
      <c r="D305" s="838"/>
      <c r="E305" s="839"/>
      <c r="F305" s="715" t="s">
        <v>839</v>
      </c>
      <c r="G305" s="733">
        <f>2*5.5*8.8*0.09</f>
        <v>8.7120000000000015</v>
      </c>
      <c r="H305" s="684"/>
      <c r="I305" s="761"/>
      <c r="K305" s="462"/>
      <c r="L305" s="463"/>
      <c r="M305" s="463"/>
      <c r="N305" s="463"/>
      <c r="O305" s="463"/>
      <c r="P305" s="463"/>
      <c r="Q305" s="463"/>
    </row>
    <row r="306" spans="2:17" s="461" customFormat="1" ht="15" x14ac:dyDescent="0.2">
      <c r="B306" s="820"/>
      <c r="C306" s="837"/>
      <c r="D306" s="838"/>
      <c r="E306" s="839"/>
      <c r="F306" s="721" t="s">
        <v>250</v>
      </c>
      <c r="G306" s="686">
        <f>SUM(G303:G305)</f>
        <v>19.282560000000004</v>
      </c>
      <c r="H306" s="684"/>
      <c r="I306" s="761"/>
      <c r="K306" s="462"/>
      <c r="L306" s="463"/>
      <c r="M306" s="463"/>
      <c r="N306" s="463"/>
      <c r="O306" s="463"/>
      <c r="P306" s="463"/>
      <c r="Q306" s="463"/>
    </row>
    <row r="307" spans="2:17" s="461" customFormat="1" ht="15" x14ac:dyDescent="0.2">
      <c r="B307" s="820"/>
      <c r="C307" s="837"/>
      <c r="D307" s="838"/>
      <c r="E307" s="839"/>
      <c r="F307" s="721"/>
      <c r="G307" s="686"/>
      <c r="H307" s="684"/>
      <c r="I307" s="761"/>
      <c r="K307" s="462"/>
      <c r="L307" s="463"/>
      <c r="M307" s="463"/>
      <c r="N307" s="463"/>
      <c r="O307" s="463"/>
      <c r="P307" s="463"/>
      <c r="Q307" s="463"/>
    </row>
    <row r="308" spans="2:17" s="461" customFormat="1" ht="25.5" x14ac:dyDescent="0.2">
      <c r="B308" s="877">
        <f>MAX(B$1:B307)+1</f>
        <v>51</v>
      </c>
      <c r="C308" s="878"/>
      <c r="D308" s="690" t="s">
        <v>832</v>
      </c>
      <c r="E308" s="691"/>
      <c r="F308" s="692" t="s">
        <v>833</v>
      </c>
      <c r="G308" s="693"/>
      <c r="H308" s="696" t="s">
        <v>51</v>
      </c>
      <c r="I308" s="863">
        <f>I309</f>
        <v>11.7568</v>
      </c>
      <c r="K308" s="462"/>
      <c r="L308" s="463"/>
      <c r="M308" s="463"/>
      <c r="N308" s="463"/>
      <c r="O308" s="463"/>
      <c r="P308" s="463"/>
      <c r="Q308" s="463"/>
    </row>
    <row r="309" spans="2:17" s="461" customFormat="1" ht="25.5" x14ac:dyDescent="0.2">
      <c r="B309" s="879"/>
      <c r="C309" s="878"/>
      <c r="D309" s="768"/>
      <c r="E309" s="775" t="s">
        <v>834</v>
      </c>
      <c r="F309" s="776" t="s">
        <v>835</v>
      </c>
      <c r="G309" s="777"/>
      <c r="H309" s="778" t="s">
        <v>51</v>
      </c>
      <c r="I309" s="865">
        <f>G310</f>
        <v>11.7568</v>
      </c>
      <c r="K309" s="462"/>
      <c r="L309" s="463"/>
      <c r="M309" s="463"/>
      <c r="N309" s="463"/>
      <c r="O309" s="463"/>
      <c r="P309" s="463"/>
      <c r="Q309" s="463"/>
    </row>
    <row r="310" spans="2:17" s="461" customFormat="1" ht="15" x14ac:dyDescent="0.2">
      <c r="B310" s="879"/>
      <c r="C310" s="878"/>
      <c r="D310" s="900"/>
      <c r="E310" s="867"/>
      <c r="F310" s="868" t="s">
        <v>836</v>
      </c>
      <c r="G310" s="871">
        <f>33.4*8.8*0.04</f>
        <v>11.7568</v>
      </c>
      <c r="H310" s="870"/>
      <c r="I310" s="865"/>
      <c r="K310" s="462"/>
      <c r="L310" s="463"/>
      <c r="M310" s="463"/>
      <c r="N310" s="463"/>
      <c r="O310" s="463"/>
      <c r="P310" s="463"/>
      <c r="Q310" s="463"/>
    </row>
    <row r="311" spans="2:17" s="461" customFormat="1" ht="15" x14ac:dyDescent="0.2">
      <c r="B311" s="820"/>
      <c r="C311" s="837"/>
      <c r="D311" s="838"/>
      <c r="E311" s="839"/>
      <c r="F311" s="721"/>
      <c r="G311" s="686"/>
      <c r="H311" s="684"/>
      <c r="I311" s="761"/>
      <c r="K311" s="462"/>
      <c r="L311" s="463"/>
      <c r="M311" s="463"/>
      <c r="N311" s="463"/>
      <c r="O311" s="463"/>
      <c r="P311" s="463"/>
      <c r="Q311" s="463"/>
    </row>
    <row r="312" spans="2:17" s="461" customFormat="1" ht="25.5" x14ac:dyDescent="0.2">
      <c r="B312" s="689">
        <f>MAX(B$2:B311)+1</f>
        <v>52</v>
      </c>
      <c r="C312" s="837"/>
      <c r="D312" s="707" t="s">
        <v>230</v>
      </c>
      <c r="E312" s="708"/>
      <c r="F312" s="848" t="s">
        <v>231</v>
      </c>
      <c r="G312" s="710"/>
      <c r="H312" s="694" t="s">
        <v>12</v>
      </c>
      <c r="I312" s="755">
        <f>G317</f>
        <v>3.702</v>
      </c>
      <c r="K312" s="462"/>
      <c r="L312" s="463"/>
      <c r="M312" s="463"/>
      <c r="N312" s="463"/>
      <c r="O312" s="463"/>
      <c r="P312" s="463"/>
      <c r="Q312" s="463"/>
    </row>
    <row r="313" spans="2:17" s="461" customFormat="1" ht="25.5" x14ac:dyDescent="0.2">
      <c r="B313" s="820"/>
      <c r="C313" s="837"/>
      <c r="D313" s="713"/>
      <c r="E313" s="725" t="s">
        <v>232</v>
      </c>
      <c r="F313" s="461" t="s">
        <v>233</v>
      </c>
      <c r="G313" s="734"/>
      <c r="H313" s="732" t="s">
        <v>12</v>
      </c>
      <c r="I313" s="761">
        <f>G317</f>
        <v>3.702</v>
      </c>
      <c r="K313" s="462"/>
      <c r="L313" s="463"/>
      <c r="M313" s="463"/>
      <c r="N313" s="463"/>
      <c r="O313" s="463"/>
      <c r="P313" s="463"/>
      <c r="Q313" s="463"/>
    </row>
    <row r="314" spans="2:17" s="461" customFormat="1" ht="15" x14ac:dyDescent="0.2">
      <c r="B314" s="820"/>
      <c r="C314" s="837"/>
      <c r="D314" s="713"/>
      <c r="E314" s="725"/>
      <c r="F314" s="868" t="s">
        <v>807</v>
      </c>
      <c r="G314" s="777">
        <f>2*9.36*0.1</f>
        <v>1.8719999999999999</v>
      </c>
      <c r="H314" s="732"/>
      <c r="I314" s="761"/>
      <c r="K314" s="462"/>
      <c r="L314" s="463"/>
      <c r="M314" s="463"/>
      <c r="N314" s="463"/>
      <c r="O314" s="463"/>
      <c r="P314" s="463"/>
      <c r="Q314" s="463"/>
    </row>
    <row r="315" spans="2:17" s="461" customFormat="1" ht="15" x14ac:dyDescent="0.2">
      <c r="B315" s="820"/>
      <c r="C315" s="837"/>
      <c r="D315" s="713"/>
      <c r="E315" s="725"/>
      <c r="F315" s="868" t="s">
        <v>808</v>
      </c>
      <c r="G315" s="777">
        <f>8.3*0.1</f>
        <v>0.83000000000000007</v>
      </c>
      <c r="H315" s="732"/>
      <c r="I315" s="761"/>
      <c r="K315" s="462"/>
      <c r="L315" s="463"/>
      <c r="M315" s="463"/>
      <c r="N315" s="463"/>
      <c r="O315" s="463"/>
      <c r="P315" s="463"/>
      <c r="Q315" s="463"/>
    </row>
    <row r="316" spans="2:17" s="461" customFormat="1" ht="15" x14ac:dyDescent="0.2">
      <c r="B316" s="820"/>
      <c r="C316" s="837"/>
      <c r="D316" s="713"/>
      <c r="E316" s="725"/>
      <c r="F316" s="868" t="s">
        <v>806</v>
      </c>
      <c r="G316" s="901">
        <f>0.5*0.5*4</f>
        <v>1</v>
      </c>
      <c r="H316" s="732"/>
      <c r="I316" s="761"/>
      <c r="K316" s="462"/>
      <c r="L316" s="463"/>
      <c r="M316" s="463"/>
      <c r="N316" s="463"/>
      <c r="O316" s="463"/>
      <c r="P316" s="463"/>
      <c r="Q316" s="463"/>
    </row>
    <row r="317" spans="2:17" s="461" customFormat="1" ht="15" x14ac:dyDescent="0.2">
      <c r="B317" s="820"/>
      <c r="C317" s="837"/>
      <c r="D317" s="713"/>
      <c r="E317" s="725"/>
      <c r="F317" s="868" t="s">
        <v>250</v>
      </c>
      <c r="G317" s="777">
        <f>SUM(G314:G316)</f>
        <v>3.702</v>
      </c>
      <c r="H317" s="732"/>
      <c r="I317" s="761"/>
      <c r="K317" s="462"/>
      <c r="L317" s="463"/>
      <c r="M317" s="463"/>
      <c r="N317" s="463"/>
      <c r="O317" s="463"/>
      <c r="P317" s="463"/>
      <c r="Q317" s="463"/>
    </row>
    <row r="318" spans="2:17" s="461" customFormat="1" ht="15" x14ac:dyDescent="0.2">
      <c r="B318" s="820"/>
      <c r="C318" s="837"/>
      <c r="D318" s="713"/>
      <c r="E318" s="725"/>
      <c r="F318" s="902"/>
      <c r="G318" s="734"/>
      <c r="H318" s="732"/>
      <c r="I318" s="761"/>
      <c r="K318" s="462"/>
      <c r="L318" s="463"/>
      <c r="M318" s="463"/>
      <c r="N318" s="463"/>
      <c r="O318" s="463"/>
      <c r="P318" s="463"/>
      <c r="Q318" s="463"/>
    </row>
    <row r="319" spans="2:17" s="461" customFormat="1" ht="25.5" x14ac:dyDescent="0.2">
      <c r="B319" s="877">
        <f>MAX(B$1:B318)+1</f>
        <v>53</v>
      </c>
      <c r="C319" s="878"/>
      <c r="D319" s="690" t="s">
        <v>234</v>
      </c>
      <c r="E319" s="691"/>
      <c r="F319" s="692" t="s">
        <v>456</v>
      </c>
      <c r="G319" s="693"/>
      <c r="H319" s="696" t="s">
        <v>25</v>
      </c>
      <c r="I319" s="863">
        <f>I320</f>
        <v>117.10000000000001</v>
      </c>
      <c r="K319" s="462"/>
      <c r="L319" s="463"/>
      <c r="M319" s="463"/>
      <c r="N319" s="463"/>
      <c r="O319" s="463"/>
      <c r="P319" s="463"/>
      <c r="Q319" s="463"/>
    </row>
    <row r="320" spans="2:17" s="461" customFormat="1" ht="38.25" x14ac:dyDescent="0.2">
      <c r="B320" s="879"/>
      <c r="C320" s="878"/>
      <c r="D320" s="691"/>
      <c r="E320" s="775" t="s">
        <v>235</v>
      </c>
      <c r="F320" s="776" t="s">
        <v>457</v>
      </c>
      <c r="G320" s="777"/>
      <c r="H320" s="778" t="s">
        <v>25</v>
      </c>
      <c r="I320" s="865">
        <f>G324</f>
        <v>117.10000000000001</v>
      </c>
      <c r="K320" s="462"/>
      <c r="L320" s="463"/>
      <c r="M320" s="463"/>
      <c r="N320" s="463"/>
      <c r="O320" s="463"/>
      <c r="P320" s="463"/>
      <c r="Q320" s="463"/>
    </row>
    <row r="321" spans="2:17" s="461" customFormat="1" ht="15" x14ac:dyDescent="0.2">
      <c r="B321" s="879"/>
      <c r="C321" s="878"/>
      <c r="D321" s="691"/>
      <c r="E321" s="775"/>
      <c r="F321" s="868" t="s">
        <v>803</v>
      </c>
      <c r="G321" s="777">
        <f xml:space="preserve"> 15+14.5</f>
        <v>29.5</v>
      </c>
      <c r="H321" s="778"/>
      <c r="I321" s="865"/>
      <c r="K321" s="462"/>
      <c r="L321" s="463"/>
      <c r="M321" s="463"/>
      <c r="N321" s="463"/>
      <c r="O321" s="463"/>
      <c r="P321" s="463"/>
      <c r="Q321" s="463"/>
    </row>
    <row r="322" spans="2:17" s="461" customFormat="1" ht="15" x14ac:dyDescent="0.2">
      <c r="B322" s="879"/>
      <c r="C322" s="878"/>
      <c r="D322" s="691"/>
      <c r="E322" s="775"/>
      <c r="F322" s="868" t="s">
        <v>805</v>
      </c>
      <c r="G322" s="777">
        <f xml:space="preserve"> (8.8+8.8)*2*2</f>
        <v>70.400000000000006</v>
      </c>
      <c r="H322" s="778"/>
      <c r="I322" s="865"/>
      <c r="K322" s="462"/>
      <c r="L322" s="463"/>
      <c r="M322" s="463"/>
      <c r="N322" s="463"/>
      <c r="O322" s="463"/>
      <c r="P322" s="463"/>
      <c r="Q322" s="463"/>
    </row>
    <row r="323" spans="2:17" s="461" customFormat="1" ht="15" x14ac:dyDescent="0.2">
      <c r="B323" s="879"/>
      <c r="C323" s="878"/>
      <c r="D323" s="691"/>
      <c r="E323" s="775"/>
      <c r="F323" s="868" t="s">
        <v>804</v>
      </c>
      <c r="G323" s="777">
        <f>8.6+8.6</f>
        <v>17.2</v>
      </c>
      <c r="H323" s="778"/>
      <c r="I323" s="865"/>
      <c r="K323" s="462"/>
      <c r="L323" s="463"/>
      <c r="M323" s="463"/>
      <c r="N323" s="463"/>
      <c r="O323" s="463"/>
      <c r="P323" s="463"/>
      <c r="Q323" s="463"/>
    </row>
    <row r="324" spans="2:17" s="461" customFormat="1" ht="15" x14ac:dyDescent="0.2">
      <c r="B324" s="879"/>
      <c r="C324" s="878"/>
      <c r="D324" s="691"/>
      <c r="E324" s="775"/>
      <c r="F324" s="880" t="s">
        <v>250</v>
      </c>
      <c r="G324" s="777">
        <f>SUM(G321:G323)</f>
        <v>117.10000000000001</v>
      </c>
      <c r="H324" s="778"/>
      <c r="I324" s="865"/>
      <c r="K324" s="462"/>
      <c r="L324" s="463"/>
      <c r="M324" s="463"/>
      <c r="N324" s="463"/>
      <c r="O324" s="463"/>
      <c r="P324" s="463"/>
      <c r="Q324" s="463"/>
    </row>
    <row r="325" spans="2:17" s="461" customFormat="1" ht="15" x14ac:dyDescent="0.2">
      <c r="B325" s="820"/>
      <c r="C325" s="837"/>
      <c r="D325" s="713"/>
      <c r="E325" s="714"/>
      <c r="F325" s="555"/>
      <c r="G325" s="723"/>
      <c r="H325" s="716"/>
      <c r="I325" s="761"/>
      <c r="K325" s="462"/>
      <c r="L325" s="463"/>
      <c r="M325" s="463"/>
      <c r="N325" s="463"/>
      <c r="O325" s="463"/>
      <c r="P325" s="463"/>
      <c r="Q325" s="463"/>
    </row>
    <row r="326" spans="2:17" s="461" customFormat="1" ht="25.5" x14ac:dyDescent="0.2">
      <c r="B326" s="689">
        <f>MAX(B$2:B325)+1</f>
        <v>54</v>
      </c>
      <c r="C326" s="837"/>
      <c r="D326" s="707" t="s">
        <v>238</v>
      </c>
      <c r="E326" s="708"/>
      <c r="F326" s="848" t="s">
        <v>239</v>
      </c>
      <c r="G326" s="710"/>
      <c r="H326" s="694" t="s">
        <v>8</v>
      </c>
      <c r="I326" s="755">
        <v>2</v>
      </c>
      <c r="K326" s="462"/>
      <c r="L326" s="463"/>
      <c r="M326" s="463"/>
      <c r="N326" s="463"/>
      <c r="O326" s="463"/>
      <c r="P326" s="463"/>
      <c r="Q326" s="463"/>
    </row>
    <row r="327" spans="2:17" s="461" customFormat="1" ht="25.5" x14ac:dyDescent="0.2">
      <c r="B327" s="820"/>
      <c r="C327" s="837"/>
      <c r="D327" s="713"/>
      <c r="E327" s="725" t="s">
        <v>388</v>
      </c>
      <c r="F327" s="461" t="s">
        <v>389</v>
      </c>
      <c r="G327" s="734"/>
      <c r="H327" s="732" t="s">
        <v>8</v>
      </c>
      <c r="I327" s="761">
        <v>2</v>
      </c>
      <c r="K327" s="462"/>
      <c r="L327" s="463"/>
      <c r="M327" s="463"/>
      <c r="N327" s="463"/>
      <c r="O327" s="463"/>
      <c r="P327" s="463"/>
      <c r="Q327" s="463"/>
    </row>
    <row r="328" spans="2:17" s="461" customFormat="1" ht="15" x14ac:dyDescent="0.2">
      <c r="B328" s="820"/>
      <c r="C328" s="837"/>
      <c r="D328" s="713"/>
      <c r="E328" s="714"/>
      <c r="F328" s="715" t="s">
        <v>269</v>
      </c>
      <c r="G328" s="686"/>
      <c r="H328" s="716"/>
      <c r="I328" s="761"/>
      <c r="K328" s="462"/>
      <c r="L328" s="463"/>
      <c r="M328" s="463"/>
      <c r="N328" s="463"/>
      <c r="O328" s="463"/>
      <c r="P328" s="463"/>
      <c r="Q328" s="463"/>
    </row>
    <row r="329" spans="2:17" s="461" customFormat="1" ht="15" x14ac:dyDescent="0.2">
      <c r="B329" s="820"/>
      <c r="C329" s="837"/>
      <c r="D329" s="713"/>
      <c r="E329" s="714"/>
      <c r="F329" s="555"/>
      <c r="G329" s="723"/>
      <c r="H329" s="716"/>
      <c r="I329" s="761"/>
      <c r="K329" s="462"/>
      <c r="L329" s="463"/>
      <c r="M329" s="463"/>
      <c r="N329" s="463"/>
      <c r="O329" s="463"/>
      <c r="P329" s="463"/>
      <c r="Q329" s="463"/>
    </row>
    <row r="330" spans="2:17" s="461" customFormat="1" ht="15" x14ac:dyDescent="0.2">
      <c r="B330" s="689">
        <f>MAX(B$2:B329)+1</f>
        <v>55</v>
      </c>
      <c r="C330" s="837"/>
      <c r="D330" s="707" t="s">
        <v>240</v>
      </c>
      <c r="E330" s="708"/>
      <c r="F330" s="848" t="s">
        <v>241</v>
      </c>
      <c r="G330" s="710"/>
      <c r="H330" s="694" t="s">
        <v>25</v>
      </c>
      <c r="I330" s="755">
        <f>I331+I335</f>
        <v>15.6</v>
      </c>
      <c r="K330" s="462"/>
      <c r="L330" s="463"/>
      <c r="M330" s="463"/>
      <c r="N330" s="463"/>
      <c r="O330" s="463"/>
      <c r="P330" s="463"/>
      <c r="Q330" s="463"/>
    </row>
    <row r="331" spans="2:17" s="461" customFormat="1" ht="15" x14ac:dyDescent="0.2">
      <c r="B331" s="820"/>
      <c r="C331" s="837"/>
      <c r="D331" s="713"/>
      <c r="E331" s="775" t="s">
        <v>796</v>
      </c>
      <c r="F331" s="776" t="s">
        <v>797</v>
      </c>
      <c r="G331" s="777"/>
      <c r="H331" s="778" t="s">
        <v>25</v>
      </c>
      <c r="I331" s="761">
        <f>G333</f>
        <v>9.6</v>
      </c>
      <c r="K331" s="462"/>
      <c r="L331" s="463"/>
      <c r="M331" s="463"/>
      <c r="N331" s="463"/>
      <c r="O331" s="463"/>
      <c r="P331" s="463"/>
      <c r="Q331" s="463"/>
    </row>
    <row r="332" spans="2:17" s="461" customFormat="1" ht="15" x14ac:dyDescent="0.2">
      <c r="B332" s="820"/>
      <c r="C332" s="837"/>
      <c r="D332" s="713"/>
      <c r="E332" s="775"/>
      <c r="F332" s="903" t="s">
        <v>798</v>
      </c>
      <c r="G332" s="777"/>
      <c r="H332" s="778"/>
      <c r="I332" s="761"/>
      <c r="K332" s="462"/>
      <c r="L332" s="463"/>
      <c r="M332" s="463"/>
      <c r="N332" s="463"/>
      <c r="O332" s="463"/>
      <c r="P332" s="463"/>
      <c r="Q332" s="463"/>
    </row>
    <row r="333" spans="2:17" s="461" customFormat="1" ht="15" x14ac:dyDescent="0.2">
      <c r="B333" s="820"/>
      <c r="C333" s="837"/>
      <c r="D333" s="713"/>
      <c r="E333" s="775"/>
      <c r="F333" s="903" t="s">
        <v>799</v>
      </c>
      <c r="G333" s="777">
        <f>4*(1.5+0.9)</f>
        <v>9.6</v>
      </c>
      <c r="H333" s="778"/>
      <c r="I333" s="761"/>
      <c r="K333" s="462"/>
      <c r="L333" s="463"/>
      <c r="M333" s="463"/>
      <c r="N333" s="463"/>
      <c r="O333" s="463"/>
      <c r="P333" s="463"/>
      <c r="Q333" s="463"/>
    </row>
    <row r="334" spans="2:17" s="461" customFormat="1" ht="15" x14ac:dyDescent="0.2">
      <c r="B334" s="820"/>
      <c r="C334" s="837"/>
      <c r="D334" s="713"/>
      <c r="E334" s="714"/>
      <c r="F334" s="715"/>
      <c r="G334" s="723"/>
      <c r="H334" s="716"/>
      <c r="I334" s="761"/>
      <c r="K334" s="462"/>
      <c r="L334" s="463"/>
      <c r="M334" s="463"/>
      <c r="N334" s="463"/>
      <c r="O334" s="463"/>
      <c r="P334" s="463"/>
      <c r="Q334" s="463"/>
    </row>
    <row r="335" spans="2:17" s="461" customFormat="1" ht="15" x14ac:dyDescent="0.2">
      <c r="B335" s="820"/>
      <c r="C335" s="837"/>
      <c r="D335" s="713"/>
      <c r="E335" s="725" t="s">
        <v>523</v>
      </c>
      <c r="F335" s="461" t="s">
        <v>524</v>
      </c>
      <c r="G335" s="734"/>
      <c r="H335" s="716" t="s">
        <v>25</v>
      </c>
      <c r="I335" s="761">
        <f>G336</f>
        <v>6</v>
      </c>
      <c r="K335" s="462"/>
      <c r="L335" s="463"/>
      <c r="M335" s="463"/>
      <c r="N335" s="463"/>
      <c r="O335" s="463"/>
      <c r="P335" s="463"/>
      <c r="Q335" s="463"/>
    </row>
    <row r="336" spans="2:17" s="461" customFormat="1" ht="15" x14ac:dyDescent="0.2">
      <c r="B336" s="820"/>
      <c r="C336" s="837"/>
      <c r="D336" s="713"/>
      <c r="E336" s="714"/>
      <c r="F336" s="715" t="s">
        <v>795</v>
      </c>
      <c r="G336" s="723">
        <f>4*1.5</f>
        <v>6</v>
      </c>
      <c r="H336" s="716"/>
      <c r="I336" s="761"/>
      <c r="K336" s="462"/>
      <c r="L336" s="463"/>
      <c r="M336" s="463"/>
      <c r="N336" s="463"/>
      <c r="O336" s="463"/>
      <c r="P336" s="463"/>
      <c r="Q336" s="463"/>
    </row>
    <row r="337" spans="2:17" s="461" customFormat="1" ht="15" x14ac:dyDescent="0.2">
      <c r="B337" s="820"/>
      <c r="C337" s="837"/>
      <c r="D337" s="713"/>
      <c r="E337" s="714"/>
      <c r="F337" s="715"/>
      <c r="G337" s="723"/>
      <c r="H337" s="716"/>
      <c r="I337" s="761"/>
      <c r="K337" s="462"/>
      <c r="L337" s="463"/>
      <c r="M337" s="463"/>
      <c r="N337" s="463"/>
      <c r="O337" s="463"/>
      <c r="P337" s="463"/>
      <c r="Q337" s="463"/>
    </row>
    <row r="338" spans="2:17" s="461" customFormat="1" ht="25.5" x14ac:dyDescent="0.2">
      <c r="B338" s="877">
        <f>MAX(B$1:B337)+1</f>
        <v>56</v>
      </c>
      <c r="C338" s="878"/>
      <c r="D338" s="690" t="s">
        <v>246</v>
      </c>
      <c r="E338" s="691"/>
      <c r="F338" s="692" t="s">
        <v>247</v>
      </c>
      <c r="G338" s="693"/>
      <c r="H338" s="696" t="s">
        <v>25</v>
      </c>
      <c r="I338" s="863">
        <f>I339</f>
        <v>10</v>
      </c>
      <c r="K338" s="462"/>
      <c r="L338" s="463"/>
      <c r="M338" s="463"/>
      <c r="N338" s="463"/>
      <c r="O338" s="463"/>
      <c r="P338" s="463"/>
      <c r="Q338" s="463"/>
    </row>
    <row r="339" spans="2:17" s="461" customFormat="1" ht="25.5" x14ac:dyDescent="0.2">
      <c r="B339" s="879"/>
      <c r="C339" s="878"/>
      <c r="D339" s="768"/>
      <c r="E339" s="775" t="s">
        <v>800</v>
      </c>
      <c r="F339" s="776" t="s">
        <v>801</v>
      </c>
      <c r="G339" s="777"/>
      <c r="H339" s="778" t="s">
        <v>25</v>
      </c>
      <c r="I339" s="865">
        <f>G340</f>
        <v>10</v>
      </c>
      <c r="K339" s="462"/>
      <c r="L339" s="463"/>
      <c r="M339" s="463"/>
      <c r="N339" s="463"/>
      <c r="O339" s="463"/>
      <c r="P339" s="463"/>
      <c r="Q339" s="463"/>
    </row>
    <row r="340" spans="2:17" s="461" customFormat="1" ht="15" x14ac:dyDescent="0.2">
      <c r="B340" s="879"/>
      <c r="C340" s="878"/>
      <c r="D340" s="768"/>
      <c r="E340" s="775"/>
      <c r="F340" s="903" t="s">
        <v>802</v>
      </c>
      <c r="G340" s="723">
        <f>5+5</f>
        <v>10</v>
      </c>
      <c r="H340" s="778"/>
      <c r="I340" s="865"/>
      <c r="K340" s="462"/>
      <c r="L340" s="463"/>
      <c r="M340" s="463"/>
      <c r="N340" s="463"/>
      <c r="O340" s="463"/>
      <c r="P340" s="463"/>
      <c r="Q340" s="463"/>
    </row>
    <row r="341" spans="2:17" s="461" customFormat="1" ht="15" x14ac:dyDescent="0.2">
      <c r="B341" s="879"/>
      <c r="C341" s="878"/>
      <c r="D341" s="768"/>
      <c r="E341" s="775"/>
      <c r="F341" s="903" t="s">
        <v>277</v>
      </c>
      <c r="G341" s="777"/>
      <c r="H341" s="778"/>
      <c r="I341" s="865"/>
      <c r="K341" s="462"/>
      <c r="L341" s="463"/>
      <c r="M341" s="463"/>
      <c r="N341" s="463"/>
      <c r="O341" s="463"/>
      <c r="P341" s="463"/>
      <c r="Q341" s="463"/>
    </row>
    <row r="342" spans="2:17" s="461" customFormat="1" ht="15" x14ac:dyDescent="0.2">
      <c r="B342" s="879"/>
      <c r="C342" s="878"/>
      <c r="D342" s="768"/>
      <c r="E342" s="775"/>
      <c r="F342" s="903"/>
      <c r="G342" s="777"/>
      <c r="H342" s="778"/>
      <c r="I342" s="865"/>
      <c r="K342" s="462"/>
      <c r="L342" s="463"/>
      <c r="M342" s="463"/>
      <c r="N342" s="463"/>
      <c r="O342" s="463"/>
      <c r="P342" s="463"/>
      <c r="Q342" s="463"/>
    </row>
    <row r="343" spans="2:17" s="461" customFormat="1" ht="25.5" x14ac:dyDescent="0.2">
      <c r="B343" s="823"/>
      <c r="C343" s="834" t="s">
        <v>612</v>
      </c>
      <c r="D343" s="834"/>
      <c r="E343" s="748"/>
      <c r="F343" s="835" t="s">
        <v>613</v>
      </c>
      <c r="G343" s="679"/>
      <c r="H343" s="891"/>
      <c r="I343" s="681"/>
      <c r="K343" s="462"/>
      <c r="L343" s="463"/>
      <c r="M343" s="463"/>
      <c r="N343" s="463"/>
      <c r="O343" s="463"/>
      <c r="P343" s="463"/>
      <c r="Q343" s="463"/>
    </row>
    <row r="344" spans="2:17" s="461" customFormat="1" x14ac:dyDescent="0.2">
      <c r="B344" s="820"/>
      <c r="C344" s="898"/>
      <c r="D344" s="898"/>
      <c r="E344" s="767"/>
      <c r="F344" s="899"/>
      <c r="G344" s="686"/>
      <c r="H344" s="684"/>
      <c r="I344" s="761"/>
      <c r="K344" s="462"/>
      <c r="L344" s="463"/>
      <c r="M344" s="463"/>
      <c r="N344" s="463"/>
      <c r="O344" s="463"/>
      <c r="P344" s="463"/>
      <c r="Q344" s="463"/>
    </row>
    <row r="345" spans="2:17" s="461" customFormat="1" ht="25.5" x14ac:dyDescent="0.2">
      <c r="B345" s="689">
        <f>MAX(B$5:B342)+1</f>
        <v>57</v>
      </c>
      <c r="C345" s="837"/>
      <c r="D345" s="690" t="s">
        <v>846</v>
      </c>
      <c r="E345" s="691"/>
      <c r="F345" s="692" t="s">
        <v>847</v>
      </c>
      <c r="G345" s="693"/>
      <c r="H345" s="694" t="s">
        <v>51</v>
      </c>
      <c r="I345" s="755">
        <f>I346</f>
        <v>84.550000000000011</v>
      </c>
      <c r="K345" s="462"/>
      <c r="L345" s="463"/>
      <c r="M345" s="463"/>
      <c r="N345" s="463"/>
      <c r="O345" s="463"/>
      <c r="P345" s="463"/>
      <c r="Q345" s="463"/>
    </row>
    <row r="346" spans="2:17" s="461" customFormat="1" ht="25.5" x14ac:dyDescent="0.2">
      <c r="B346" s="820"/>
      <c r="C346" s="837"/>
      <c r="D346" s="838"/>
      <c r="E346" s="775" t="s">
        <v>848</v>
      </c>
      <c r="F346" s="776" t="s">
        <v>849</v>
      </c>
      <c r="G346" s="777"/>
      <c r="H346" s="732" t="s">
        <v>51</v>
      </c>
      <c r="I346" s="761">
        <f>G349</f>
        <v>84.550000000000011</v>
      </c>
      <c r="K346" s="462"/>
      <c r="L346" s="463"/>
      <c r="M346" s="463"/>
      <c r="N346" s="463"/>
      <c r="O346" s="463"/>
      <c r="P346" s="463"/>
      <c r="Q346" s="463"/>
    </row>
    <row r="347" spans="2:17" s="461" customFormat="1" ht="15" x14ac:dyDescent="0.2">
      <c r="B347" s="820"/>
      <c r="C347" s="837"/>
      <c r="D347" s="838"/>
      <c r="E347" s="839"/>
      <c r="F347" s="727" t="s">
        <v>850</v>
      </c>
      <c r="G347" s="686">
        <f>2*8.9*3.5</f>
        <v>62.300000000000004</v>
      </c>
      <c r="H347" s="684"/>
      <c r="I347" s="761"/>
      <c r="K347" s="462"/>
      <c r="L347" s="463"/>
      <c r="M347" s="463"/>
      <c r="N347" s="463"/>
      <c r="O347" s="463"/>
      <c r="P347" s="463"/>
      <c r="Q347" s="463"/>
    </row>
    <row r="348" spans="2:17" s="461" customFormat="1" ht="15" x14ac:dyDescent="0.2">
      <c r="B348" s="820"/>
      <c r="C348" s="837"/>
      <c r="D348" s="838"/>
      <c r="E348" s="839"/>
      <c r="F348" s="727" t="s">
        <v>851</v>
      </c>
      <c r="G348" s="686">
        <f>8.9*2.5</f>
        <v>22.25</v>
      </c>
      <c r="H348" s="684"/>
      <c r="I348" s="761"/>
      <c r="K348" s="462"/>
      <c r="L348" s="463"/>
      <c r="M348" s="463"/>
      <c r="N348" s="463"/>
      <c r="O348" s="463"/>
      <c r="P348" s="463"/>
      <c r="Q348" s="463"/>
    </row>
    <row r="349" spans="2:17" s="461" customFormat="1" ht="15" x14ac:dyDescent="0.2">
      <c r="B349" s="820"/>
      <c r="C349" s="837"/>
      <c r="D349" s="838"/>
      <c r="E349" s="839"/>
      <c r="F349" s="728" t="s">
        <v>250</v>
      </c>
      <c r="G349" s="686">
        <f>SUM(G347:G348)</f>
        <v>84.550000000000011</v>
      </c>
      <c r="H349" s="684"/>
      <c r="I349" s="761"/>
      <c r="K349" s="462"/>
      <c r="L349" s="463"/>
      <c r="M349" s="463"/>
      <c r="N349" s="463"/>
      <c r="O349" s="463"/>
      <c r="P349" s="463"/>
      <c r="Q349" s="463"/>
    </row>
    <row r="350" spans="2:17" s="461" customFormat="1" ht="15" x14ac:dyDescent="0.2">
      <c r="B350" s="820"/>
      <c r="C350" s="837"/>
      <c r="D350" s="838"/>
      <c r="E350" s="839"/>
      <c r="F350" s="721"/>
      <c r="G350" s="686"/>
      <c r="H350" s="684"/>
      <c r="I350" s="761"/>
      <c r="K350" s="462"/>
      <c r="L350" s="463"/>
      <c r="M350" s="463"/>
      <c r="N350" s="463"/>
      <c r="O350" s="463"/>
      <c r="P350" s="463"/>
      <c r="Q350" s="463"/>
    </row>
    <row r="351" spans="2:17" s="461" customFormat="1" ht="25.5" x14ac:dyDescent="0.2">
      <c r="B351" s="823"/>
      <c r="C351" s="904" t="s">
        <v>70</v>
      </c>
      <c r="D351" s="905"/>
      <c r="E351" s="906"/>
      <c r="F351" s="705" t="s">
        <v>71</v>
      </c>
      <c r="G351" s="907"/>
      <c r="H351" s="825"/>
      <c r="I351" s="681"/>
      <c r="K351" s="462"/>
      <c r="L351" s="463"/>
      <c r="M351" s="463"/>
      <c r="N351" s="463"/>
      <c r="O351" s="463"/>
      <c r="P351" s="463"/>
      <c r="Q351" s="463"/>
    </row>
    <row r="352" spans="2:17" s="461" customFormat="1" ht="15.75" x14ac:dyDescent="0.2">
      <c r="B352" s="820"/>
      <c r="C352" s="908"/>
      <c r="D352" s="909"/>
      <c r="E352" s="910"/>
      <c r="F352" s="873"/>
      <c r="G352" s="759"/>
      <c r="H352" s="760"/>
      <c r="I352" s="761"/>
      <c r="K352" s="462"/>
      <c r="L352" s="463"/>
      <c r="M352" s="463"/>
      <c r="N352" s="463"/>
      <c r="O352" s="463"/>
      <c r="P352" s="463"/>
      <c r="Q352" s="463"/>
    </row>
    <row r="353" spans="2:17" s="461" customFormat="1" ht="15" x14ac:dyDescent="0.2">
      <c r="B353" s="779">
        <f>MAX(B$1:B352)+1</f>
        <v>58</v>
      </c>
      <c r="C353" s="911"/>
      <c r="D353" s="781" t="s">
        <v>27</v>
      </c>
      <c r="E353" s="782"/>
      <c r="F353" s="783" t="s">
        <v>28</v>
      </c>
      <c r="G353" s="784"/>
      <c r="H353" s="785" t="s">
        <v>51</v>
      </c>
      <c r="I353" s="786">
        <f>I354</f>
        <v>4</v>
      </c>
      <c r="K353" s="462"/>
      <c r="L353" s="463"/>
      <c r="M353" s="463"/>
      <c r="N353" s="463"/>
      <c r="O353" s="463"/>
      <c r="P353" s="463"/>
      <c r="Q353" s="463"/>
    </row>
    <row r="354" spans="2:17" s="461" customFormat="1" ht="15" x14ac:dyDescent="0.2">
      <c r="B354" s="912"/>
      <c r="C354" s="911"/>
      <c r="D354" s="781"/>
      <c r="E354" s="810" t="s">
        <v>924</v>
      </c>
      <c r="F354" s="811" t="s">
        <v>925</v>
      </c>
      <c r="G354" s="812"/>
      <c r="H354" s="819" t="s">
        <v>51</v>
      </c>
      <c r="I354" s="814">
        <f>G357</f>
        <v>4</v>
      </c>
      <c r="K354" s="462"/>
      <c r="L354" s="463"/>
      <c r="M354" s="463"/>
      <c r="N354" s="463"/>
      <c r="O354" s="463"/>
      <c r="P354" s="463"/>
      <c r="Q354" s="463"/>
    </row>
    <row r="355" spans="2:17" s="461" customFormat="1" ht="17.25" customHeight="1" x14ac:dyDescent="0.2">
      <c r="B355" s="912"/>
      <c r="C355" s="911"/>
      <c r="D355" s="781"/>
      <c r="E355" s="782"/>
      <c r="F355" s="913" t="s">
        <v>938</v>
      </c>
      <c r="G355" s="812">
        <f>20*0.5*0.2</f>
        <v>2</v>
      </c>
      <c r="H355" s="785"/>
      <c r="I355" s="814"/>
      <c r="K355" s="462"/>
      <c r="L355" s="463"/>
      <c r="M355" s="463"/>
      <c r="N355" s="463"/>
      <c r="O355" s="463"/>
      <c r="P355" s="463"/>
      <c r="Q355" s="463"/>
    </row>
    <row r="356" spans="2:17" s="461" customFormat="1" ht="14.25" customHeight="1" x14ac:dyDescent="0.2">
      <c r="B356" s="912"/>
      <c r="C356" s="911"/>
      <c r="D356" s="781"/>
      <c r="E356" s="782"/>
      <c r="F356" s="913" t="s">
        <v>926</v>
      </c>
      <c r="G356" s="914">
        <f>20*0.5*0.2</f>
        <v>2</v>
      </c>
      <c r="H356" s="785"/>
      <c r="I356" s="814"/>
      <c r="K356" s="462"/>
      <c r="L356" s="463"/>
      <c r="M356" s="463"/>
      <c r="N356" s="463"/>
      <c r="O356" s="463"/>
      <c r="P356" s="463"/>
      <c r="Q356" s="463"/>
    </row>
    <row r="357" spans="2:17" s="461" customFormat="1" ht="15" x14ac:dyDescent="0.2">
      <c r="B357" s="912"/>
      <c r="C357" s="911"/>
      <c r="D357" s="781"/>
      <c r="E357" s="782"/>
      <c r="F357" s="915" t="s">
        <v>250</v>
      </c>
      <c r="G357" s="784">
        <f>SUM(G355:G356)</f>
        <v>4</v>
      </c>
      <c r="H357" s="785"/>
      <c r="I357" s="814"/>
      <c r="K357" s="462"/>
      <c r="L357" s="463"/>
      <c r="M357" s="463"/>
      <c r="N357" s="463"/>
      <c r="O357" s="463"/>
      <c r="P357" s="463"/>
      <c r="Q357" s="463"/>
    </row>
    <row r="358" spans="2:17" s="461" customFormat="1" ht="15" x14ac:dyDescent="0.2">
      <c r="B358" s="820"/>
      <c r="C358" s="837"/>
      <c r="D358" s="806"/>
      <c r="E358" s="757"/>
      <c r="F358" s="718"/>
      <c r="G358" s="759"/>
      <c r="H358" s="760"/>
      <c r="I358" s="761"/>
      <c r="K358" s="462"/>
      <c r="L358" s="463"/>
      <c r="M358" s="463"/>
      <c r="N358" s="463"/>
      <c r="O358" s="463"/>
      <c r="P358" s="463"/>
      <c r="Q358" s="463"/>
    </row>
    <row r="359" spans="2:17" s="461" customFormat="1" ht="15" x14ac:dyDescent="0.2">
      <c r="B359" s="689">
        <f>MAX(B$2:B358)+1</f>
        <v>59</v>
      </c>
      <c r="C359" s="837"/>
      <c r="D359" s="707" t="s">
        <v>74</v>
      </c>
      <c r="E359" s="708"/>
      <c r="F359" s="709" t="s">
        <v>75</v>
      </c>
      <c r="G359" s="855"/>
      <c r="H359" s="694" t="s">
        <v>12</v>
      </c>
      <c r="I359" s="755">
        <f>G364</f>
        <v>60.65</v>
      </c>
      <c r="K359" s="462"/>
      <c r="L359" s="463"/>
      <c r="M359" s="463"/>
      <c r="N359" s="463"/>
      <c r="O359" s="463"/>
      <c r="P359" s="463"/>
      <c r="Q359" s="463"/>
    </row>
    <row r="360" spans="2:17" s="461" customFormat="1" ht="15" x14ac:dyDescent="0.2">
      <c r="B360" s="820"/>
      <c r="C360" s="837"/>
      <c r="D360" s="806"/>
      <c r="E360" s="757"/>
      <c r="F360" s="718" t="s">
        <v>853</v>
      </c>
      <c r="G360" s="759">
        <f>2*2.8*0.25</f>
        <v>1.4</v>
      </c>
      <c r="H360" s="760"/>
      <c r="I360" s="761"/>
      <c r="K360" s="462"/>
      <c r="L360" s="463"/>
      <c r="M360" s="463"/>
      <c r="N360" s="463"/>
      <c r="O360" s="463"/>
      <c r="P360" s="463"/>
      <c r="Q360" s="463"/>
    </row>
    <row r="361" spans="2:17" s="461" customFormat="1" ht="25.5" x14ac:dyDescent="0.2">
      <c r="B361" s="820"/>
      <c r="C361" s="837"/>
      <c r="D361" s="806"/>
      <c r="E361" s="757"/>
      <c r="F361" s="718" t="s">
        <v>857</v>
      </c>
      <c r="G361" s="759"/>
      <c r="H361" s="760"/>
      <c r="I361" s="761"/>
      <c r="K361" s="462"/>
      <c r="L361" s="463"/>
      <c r="M361" s="463"/>
      <c r="N361" s="463"/>
      <c r="O361" s="463"/>
      <c r="P361" s="463"/>
      <c r="Q361" s="463"/>
    </row>
    <row r="362" spans="2:17" s="461" customFormat="1" ht="15" x14ac:dyDescent="0.2">
      <c r="B362" s="820"/>
      <c r="C362" s="837"/>
      <c r="D362" s="806"/>
      <c r="E362" s="757"/>
      <c r="F362" s="718" t="s">
        <v>785</v>
      </c>
      <c r="G362" s="759">
        <f>((3*2.35*2)+(1.5*10.35))*2</f>
        <v>59.25</v>
      </c>
      <c r="H362" s="760"/>
      <c r="I362" s="761"/>
      <c r="K362" s="462"/>
      <c r="L362" s="463"/>
      <c r="M362" s="463"/>
      <c r="N362" s="463"/>
      <c r="O362" s="463"/>
      <c r="P362" s="463"/>
      <c r="Q362" s="463"/>
    </row>
    <row r="363" spans="2:17" s="461" customFormat="1" ht="15" x14ac:dyDescent="0.2">
      <c r="B363" s="820"/>
      <c r="C363" s="837"/>
      <c r="D363" s="806"/>
      <c r="E363" s="757"/>
      <c r="F363" s="718" t="s">
        <v>784</v>
      </c>
      <c r="G363" s="759"/>
      <c r="H363" s="760"/>
      <c r="I363" s="761"/>
      <c r="K363" s="462"/>
      <c r="L363" s="463"/>
      <c r="M363" s="463"/>
      <c r="N363" s="463"/>
      <c r="O363" s="463"/>
      <c r="P363" s="463"/>
      <c r="Q363" s="463"/>
    </row>
    <row r="364" spans="2:17" s="461" customFormat="1" ht="15" x14ac:dyDescent="0.2">
      <c r="B364" s="820"/>
      <c r="C364" s="837"/>
      <c r="D364" s="806"/>
      <c r="E364" s="757"/>
      <c r="F364" s="916" t="s">
        <v>250</v>
      </c>
      <c r="G364" s="759">
        <f>SUM(G359:G363)</f>
        <v>60.65</v>
      </c>
      <c r="H364" s="760"/>
      <c r="I364" s="761"/>
      <c r="K364" s="462"/>
      <c r="L364" s="463"/>
      <c r="M364" s="463"/>
      <c r="N364" s="463"/>
      <c r="O364" s="463"/>
      <c r="P364" s="463"/>
      <c r="Q364" s="463"/>
    </row>
    <row r="365" spans="2:17" s="461" customFormat="1" ht="15" x14ac:dyDescent="0.2">
      <c r="B365" s="820"/>
      <c r="C365" s="837"/>
      <c r="D365" s="806"/>
      <c r="E365" s="757"/>
      <c r="F365" s="916"/>
      <c r="G365" s="759"/>
      <c r="H365" s="760"/>
      <c r="I365" s="761"/>
      <c r="K365" s="462"/>
      <c r="L365" s="463"/>
      <c r="M365" s="463"/>
      <c r="N365" s="463"/>
      <c r="O365" s="463"/>
      <c r="P365" s="463"/>
      <c r="Q365" s="463"/>
    </row>
    <row r="366" spans="2:17" s="461" customFormat="1" x14ac:dyDescent="0.2">
      <c r="B366" s="917"/>
      <c r="C366" s="918" t="s">
        <v>86</v>
      </c>
      <c r="D366" s="918"/>
      <c r="E366" s="919"/>
      <c r="F366" s="920" t="s">
        <v>87</v>
      </c>
      <c r="G366" s="921"/>
      <c r="H366" s="922"/>
      <c r="I366" s="923"/>
      <c r="K366" s="462"/>
      <c r="L366" s="463"/>
      <c r="M366" s="463"/>
      <c r="N366" s="463"/>
      <c r="O366" s="463"/>
      <c r="P366" s="463"/>
      <c r="Q366" s="463"/>
    </row>
    <row r="367" spans="2:17" s="461" customFormat="1" ht="15" x14ac:dyDescent="0.2">
      <c r="B367" s="912"/>
      <c r="C367" s="911"/>
      <c r="D367" s="924"/>
      <c r="E367" s="925"/>
      <c r="F367" s="926"/>
      <c r="G367" s="927"/>
      <c r="H367" s="819"/>
      <c r="I367" s="814"/>
      <c r="K367" s="462"/>
      <c r="L367" s="463"/>
      <c r="M367" s="463"/>
      <c r="N367" s="463"/>
      <c r="O367" s="463"/>
      <c r="P367" s="463"/>
      <c r="Q367" s="463"/>
    </row>
    <row r="368" spans="2:17" s="461" customFormat="1" ht="25.5" x14ac:dyDescent="0.2">
      <c r="B368" s="779">
        <f>MAX(B$1:B367)+1</f>
        <v>60</v>
      </c>
      <c r="C368" s="911"/>
      <c r="D368" s="781" t="s">
        <v>927</v>
      </c>
      <c r="E368" s="782"/>
      <c r="F368" s="783" t="s">
        <v>928</v>
      </c>
      <c r="G368" s="784"/>
      <c r="H368" s="785" t="s">
        <v>51</v>
      </c>
      <c r="I368" s="786">
        <f>I369</f>
        <v>5</v>
      </c>
      <c r="K368" s="462"/>
      <c r="L368" s="463"/>
      <c r="M368" s="463"/>
      <c r="N368" s="463"/>
      <c r="O368" s="463"/>
      <c r="P368" s="463"/>
      <c r="Q368" s="463"/>
    </row>
    <row r="369" spans="2:17" s="461" customFormat="1" ht="25.5" x14ac:dyDescent="0.2">
      <c r="B369" s="912"/>
      <c r="C369" s="911"/>
      <c r="D369" s="809"/>
      <c r="E369" s="810" t="s">
        <v>929</v>
      </c>
      <c r="F369" s="811" t="s">
        <v>930</v>
      </c>
      <c r="G369" s="812"/>
      <c r="H369" s="813" t="s">
        <v>51</v>
      </c>
      <c r="I369" s="814">
        <f>G372</f>
        <v>5</v>
      </c>
      <c r="K369" s="462"/>
      <c r="L369" s="463"/>
      <c r="M369" s="463"/>
      <c r="N369" s="463"/>
      <c r="O369" s="463"/>
      <c r="P369" s="463"/>
      <c r="Q369" s="463"/>
    </row>
    <row r="370" spans="2:17" s="461" customFormat="1" ht="15" x14ac:dyDescent="0.2">
      <c r="B370" s="912"/>
      <c r="C370" s="911"/>
      <c r="D370" s="924"/>
      <c r="E370" s="925"/>
      <c r="F370" s="928" t="s">
        <v>937</v>
      </c>
      <c r="G370" s="812">
        <f>20*0.5*0.25</f>
        <v>2.5</v>
      </c>
      <c r="H370" s="819"/>
      <c r="I370" s="814"/>
      <c r="K370" s="462"/>
      <c r="L370" s="463"/>
      <c r="M370" s="463"/>
      <c r="N370" s="463"/>
      <c r="O370" s="463"/>
      <c r="P370" s="463"/>
      <c r="Q370" s="463"/>
    </row>
    <row r="371" spans="2:17" s="461" customFormat="1" ht="15" x14ac:dyDescent="0.2">
      <c r="B371" s="912"/>
      <c r="C371" s="911"/>
      <c r="D371" s="924"/>
      <c r="E371" s="925"/>
      <c r="F371" s="928" t="s">
        <v>931</v>
      </c>
      <c r="G371" s="914">
        <f>20*0.5*0.25</f>
        <v>2.5</v>
      </c>
      <c r="H371" s="819"/>
      <c r="I371" s="814"/>
      <c r="K371" s="462"/>
      <c r="L371" s="463"/>
      <c r="M371" s="463"/>
      <c r="N371" s="463"/>
      <c r="O371" s="463"/>
      <c r="P371" s="463"/>
      <c r="Q371" s="463"/>
    </row>
    <row r="372" spans="2:17" s="461" customFormat="1" ht="15" x14ac:dyDescent="0.2">
      <c r="B372" s="912"/>
      <c r="C372" s="911"/>
      <c r="D372" s="924"/>
      <c r="E372" s="925"/>
      <c r="F372" s="928" t="s">
        <v>250</v>
      </c>
      <c r="G372" s="784">
        <f>SUM(G370:G371)</f>
        <v>5</v>
      </c>
      <c r="H372" s="819"/>
      <c r="I372" s="814"/>
      <c r="K372" s="462"/>
      <c r="L372" s="463"/>
      <c r="M372" s="463"/>
      <c r="N372" s="463"/>
      <c r="O372" s="463"/>
      <c r="P372" s="463"/>
      <c r="Q372" s="463"/>
    </row>
    <row r="373" spans="2:17" s="461" customFormat="1" ht="15" x14ac:dyDescent="0.2">
      <c r="B373" s="912"/>
      <c r="C373" s="911"/>
      <c r="D373" s="924"/>
      <c r="E373" s="925"/>
      <c r="F373" s="926"/>
      <c r="G373" s="927"/>
      <c r="H373" s="819"/>
      <c r="I373" s="814"/>
      <c r="K373" s="462"/>
      <c r="L373" s="463"/>
      <c r="M373" s="463"/>
      <c r="N373" s="463"/>
      <c r="O373" s="463"/>
      <c r="P373" s="463"/>
      <c r="Q373" s="463"/>
    </row>
    <row r="374" spans="2:17" s="461" customFormat="1" ht="25.5" x14ac:dyDescent="0.2">
      <c r="B374" s="779">
        <f>MAX(B$1:B373)+1</f>
        <v>61</v>
      </c>
      <c r="C374" s="911"/>
      <c r="D374" s="781" t="s">
        <v>88</v>
      </c>
      <c r="E374" s="782"/>
      <c r="F374" s="783" t="s">
        <v>89</v>
      </c>
      <c r="G374" s="784"/>
      <c r="H374" s="785" t="s">
        <v>25</v>
      </c>
      <c r="I374" s="786">
        <f>I375</f>
        <v>40</v>
      </c>
      <c r="K374" s="462"/>
      <c r="L374" s="463"/>
      <c r="M374" s="463"/>
      <c r="N374" s="463"/>
      <c r="O374" s="463"/>
      <c r="P374" s="463"/>
      <c r="Q374" s="463"/>
    </row>
    <row r="375" spans="2:17" s="461" customFormat="1" ht="25.5" x14ac:dyDescent="0.2">
      <c r="B375" s="912"/>
      <c r="C375" s="911"/>
      <c r="D375" s="809"/>
      <c r="E375" s="810" t="s">
        <v>932</v>
      </c>
      <c r="F375" s="811" t="s">
        <v>933</v>
      </c>
      <c r="G375" s="812"/>
      <c r="H375" s="813" t="s">
        <v>25</v>
      </c>
      <c r="I375" s="814">
        <f>G378</f>
        <v>40</v>
      </c>
      <c r="K375" s="462"/>
      <c r="L375" s="463"/>
      <c r="M375" s="463"/>
      <c r="N375" s="463"/>
      <c r="O375" s="463"/>
      <c r="P375" s="463"/>
      <c r="Q375" s="463"/>
    </row>
    <row r="376" spans="2:17" s="461" customFormat="1" ht="15" x14ac:dyDescent="0.2">
      <c r="B376" s="912"/>
      <c r="C376" s="911"/>
      <c r="D376" s="809"/>
      <c r="E376" s="810"/>
      <c r="F376" s="928" t="s">
        <v>934</v>
      </c>
      <c r="G376" s="812">
        <v>20</v>
      </c>
      <c r="H376" s="813"/>
      <c r="I376" s="814"/>
      <c r="K376" s="462"/>
      <c r="L376" s="463"/>
      <c r="M376" s="463"/>
      <c r="N376" s="463"/>
      <c r="O376" s="463"/>
      <c r="P376" s="463"/>
      <c r="Q376" s="463"/>
    </row>
    <row r="377" spans="2:17" s="461" customFormat="1" ht="15" x14ac:dyDescent="0.2">
      <c r="B377" s="912"/>
      <c r="C377" s="911"/>
      <c r="D377" s="781"/>
      <c r="E377" s="782"/>
      <c r="F377" s="928" t="s">
        <v>935</v>
      </c>
      <c r="G377" s="914">
        <v>20</v>
      </c>
      <c r="H377" s="785"/>
      <c r="I377" s="814"/>
      <c r="K377" s="462"/>
      <c r="L377" s="463"/>
      <c r="M377" s="463"/>
      <c r="N377" s="463"/>
      <c r="O377" s="463"/>
      <c r="P377" s="463"/>
      <c r="Q377" s="463"/>
    </row>
    <row r="378" spans="2:17" s="461" customFormat="1" ht="15" x14ac:dyDescent="0.2">
      <c r="B378" s="912"/>
      <c r="C378" s="911"/>
      <c r="D378" s="781"/>
      <c r="E378" s="782"/>
      <c r="F378" s="928" t="s">
        <v>250</v>
      </c>
      <c r="G378" s="784">
        <f>SUM(G376:G377)</f>
        <v>40</v>
      </c>
      <c r="H378" s="785"/>
      <c r="I378" s="814"/>
      <c r="K378" s="462"/>
      <c r="L378" s="463"/>
      <c r="M378" s="463"/>
      <c r="N378" s="463"/>
      <c r="O378" s="463"/>
      <c r="P378" s="463"/>
      <c r="Q378" s="463"/>
    </row>
    <row r="379" spans="2:17" s="461" customFormat="1" ht="15" x14ac:dyDescent="0.2">
      <c r="B379" s="820"/>
      <c r="C379" s="837"/>
      <c r="D379" s="806"/>
      <c r="E379" s="757"/>
      <c r="F379" s="718"/>
      <c r="G379" s="759"/>
      <c r="H379" s="760"/>
      <c r="I379" s="761"/>
      <c r="K379" s="462"/>
      <c r="L379" s="463"/>
      <c r="M379" s="463"/>
      <c r="N379" s="463"/>
      <c r="O379" s="463"/>
      <c r="P379" s="463"/>
      <c r="Q379" s="463"/>
    </row>
    <row r="380" spans="2:17" s="461" customFormat="1" ht="15.75" x14ac:dyDescent="0.2">
      <c r="B380" s="823"/>
      <c r="C380" s="904" t="s">
        <v>696</v>
      </c>
      <c r="D380" s="905"/>
      <c r="E380" s="906"/>
      <c r="F380" s="705" t="s">
        <v>715</v>
      </c>
      <c r="G380" s="907"/>
      <c r="H380" s="825"/>
      <c r="I380" s="681"/>
      <c r="K380" s="462"/>
      <c r="L380" s="463"/>
      <c r="M380" s="463"/>
      <c r="N380" s="463"/>
      <c r="O380" s="463"/>
      <c r="P380" s="463"/>
      <c r="Q380" s="463"/>
    </row>
    <row r="381" spans="2:17" s="461" customFormat="1" ht="15.75" x14ac:dyDescent="0.2">
      <c r="B381" s="820"/>
      <c r="C381" s="908"/>
      <c r="D381" s="909"/>
      <c r="E381" s="910"/>
      <c r="F381" s="873"/>
      <c r="G381" s="759"/>
      <c r="H381" s="760"/>
      <c r="I381" s="761"/>
      <c r="K381" s="462"/>
      <c r="L381" s="463"/>
      <c r="M381" s="463"/>
      <c r="N381" s="463"/>
      <c r="O381" s="463"/>
      <c r="P381" s="463"/>
      <c r="Q381" s="463"/>
    </row>
    <row r="382" spans="2:17" s="461" customFormat="1" ht="15" x14ac:dyDescent="0.2">
      <c r="B382" s="877">
        <f>MAX(B$1:B381)+1</f>
        <v>62</v>
      </c>
      <c r="C382" s="878"/>
      <c r="D382" s="690" t="s">
        <v>24</v>
      </c>
      <c r="E382" s="691"/>
      <c r="F382" s="692" t="s">
        <v>1</v>
      </c>
      <c r="G382" s="693"/>
      <c r="H382" s="696" t="s">
        <v>51</v>
      </c>
      <c r="I382" s="863">
        <f>I383</f>
        <v>1.0499999999999998</v>
      </c>
      <c r="K382" s="462"/>
      <c r="L382" s="463"/>
      <c r="M382" s="463"/>
      <c r="N382" s="463"/>
      <c r="O382" s="463"/>
      <c r="P382" s="463"/>
      <c r="Q382" s="463"/>
    </row>
    <row r="383" spans="2:17" s="461" customFormat="1" ht="25.5" x14ac:dyDescent="0.2">
      <c r="B383" s="879"/>
      <c r="C383" s="878"/>
      <c r="D383" s="768"/>
      <c r="E383" s="775" t="s">
        <v>809</v>
      </c>
      <c r="F383" s="929" t="s">
        <v>810</v>
      </c>
      <c r="G383" s="777"/>
      <c r="H383" s="870" t="s">
        <v>51</v>
      </c>
      <c r="I383" s="865">
        <f>G386</f>
        <v>1.0499999999999998</v>
      </c>
      <c r="K383" s="462"/>
      <c r="L383" s="463"/>
      <c r="M383" s="463"/>
      <c r="N383" s="463"/>
      <c r="O383" s="463"/>
      <c r="P383" s="463"/>
      <c r="Q383" s="463"/>
    </row>
    <row r="384" spans="2:17" s="461" customFormat="1" ht="25.5" x14ac:dyDescent="0.2">
      <c r="B384" s="879"/>
      <c r="C384" s="878"/>
      <c r="D384" s="900"/>
      <c r="E384" s="867"/>
      <c r="F384" s="868" t="s">
        <v>811</v>
      </c>
      <c r="G384" s="869">
        <f>0.25*0.75*2.8</f>
        <v>0.52499999999999991</v>
      </c>
      <c r="H384" s="870"/>
      <c r="I384" s="865"/>
      <c r="K384" s="462"/>
      <c r="L384" s="463"/>
      <c r="M384" s="463"/>
      <c r="N384" s="463"/>
      <c r="O384" s="463"/>
      <c r="P384" s="463"/>
      <c r="Q384" s="463"/>
    </row>
    <row r="385" spans="2:17" s="461" customFormat="1" ht="25.5" x14ac:dyDescent="0.2">
      <c r="B385" s="879"/>
      <c r="C385" s="878"/>
      <c r="D385" s="900"/>
      <c r="E385" s="867"/>
      <c r="F385" s="868" t="s">
        <v>812</v>
      </c>
      <c r="G385" s="871">
        <f>0.25*0.75*2.8</f>
        <v>0.52499999999999991</v>
      </c>
      <c r="H385" s="870"/>
      <c r="I385" s="865"/>
      <c r="K385" s="462"/>
      <c r="L385" s="463"/>
      <c r="M385" s="463"/>
      <c r="N385" s="463"/>
      <c r="O385" s="463"/>
      <c r="P385" s="463"/>
      <c r="Q385" s="463"/>
    </row>
    <row r="386" spans="2:17" s="461" customFormat="1" ht="15" x14ac:dyDescent="0.2">
      <c r="B386" s="879"/>
      <c r="C386" s="878"/>
      <c r="D386" s="900"/>
      <c r="E386" s="867"/>
      <c r="F386" s="880" t="s">
        <v>250</v>
      </c>
      <c r="G386" s="869">
        <f>SUM(G384:G385)</f>
        <v>1.0499999999999998</v>
      </c>
      <c r="H386" s="870"/>
      <c r="I386" s="865"/>
      <c r="K386" s="462"/>
      <c r="L386" s="463"/>
      <c r="M386" s="463"/>
      <c r="N386" s="463"/>
      <c r="O386" s="463"/>
      <c r="P386" s="463"/>
      <c r="Q386" s="463"/>
    </row>
    <row r="387" spans="2:17" s="461" customFormat="1" ht="15" x14ac:dyDescent="0.2">
      <c r="B387" s="879"/>
      <c r="C387" s="878"/>
      <c r="D387" s="900"/>
      <c r="E387" s="867"/>
      <c r="F387" s="880"/>
      <c r="G387" s="869"/>
      <c r="H387" s="870"/>
      <c r="I387" s="865"/>
      <c r="K387" s="462"/>
      <c r="L387" s="463"/>
      <c r="M387" s="463"/>
      <c r="N387" s="463"/>
      <c r="O387" s="463"/>
      <c r="P387" s="463"/>
      <c r="Q387" s="463"/>
    </row>
    <row r="388" spans="2:17" s="461" customFormat="1" ht="15" x14ac:dyDescent="0.2">
      <c r="B388" s="877">
        <f>MAX(B$1:B387)+1</f>
        <v>63</v>
      </c>
      <c r="C388" s="878"/>
      <c r="D388" s="690" t="s">
        <v>41</v>
      </c>
      <c r="E388" s="691"/>
      <c r="F388" s="692" t="s">
        <v>6</v>
      </c>
      <c r="G388" s="693"/>
      <c r="H388" s="696" t="s">
        <v>12</v>
      </c>
      <c r="I388" s="863">
        <f>I389</f>
        <v>9.7299999999999969</v>
      </c>
      <c r="K388" s="462"/>
      <c r="L388" s="463"/>
      <c r="M388" s="463"/>
      <c r="N388" s="463"/>
      <c r="O388" s="463"/>
      <c r="P388" s="463"/>
      <c r="Q388" s="463"/>
    </row>
    <row r="389" spans="2:17" s="461" customFormat="1" ht="15" x14ac:dyDescent="0.2">
      <c r="B389" s="879"/>
      <c r="C389" s="878"/>
      <c r="D389" s="768"/>
      <c r="E389" s="775" t="s">
        <v>42</v>
      </c>
      <c r="F389" s="776" t="s">
        <v>7</v>
      </c>
      <c r="G389" s="777"/>
      <c r="H389" s="778" t="s">
        <v>12</v>
      </c>
      <c r="I389" s="865">
        <f>G393</f>
        <v>9.7299999999999969</v>
      </c>
      <c r="K389" s="462"/>
      <c r="L389" s="463"/>
      <c r="M389" s="463"/>
      <c r="N389" s="463"/>
      <c r="O389" s="463"/>
      <c r="P389" s="463"/>
      <c r="Q389" s="463"/>
    </row>
    <row r="390" spans="2:17" s="461" customFormat="1" ht="15" x14ac:dyDescent="0.2">
      <c r="B390" s="879"/>
      <c r="C390" s="878"/>
      <c r="D390" s="900"/>
      <c r="E390" s="867"/>
      <c r="F390" s="868" t="s">
        <v>813</v>
      </c>
      <c r="G390" s="871"/>
      <c r="H390" s="870"/>
      <c r="I390" s="865"/>
      <c r="K390" s="462"/>
      <c r="L390" s="463"/>
      <c r="M390" s="463"/>
      <c r="N390" s="463"/>
      <c r="O390" s="463"/>
      <c r="P390" s="463"/>
      <c r="Q390" s="463"/>
    </row>
    <row r="391" spans="2:17" s="461" customFormat="1" ht="15" x14ac:dyDescent="0.2">
      <c r="B391" s="879"/>
      <c r="C391" s="878"/>
      <c r="D391" s="900"/>
      <c r="E391" s="867"/>
      <c r="F391" s="868" t="s">
        <v>816</v>
      </c>
      <c r="G391" s="871">
        <f>0.35*2*(0.75+2.8)+0.35*0.75*11</f>
        <v>5.3724999999999987</v>
      </c>
      <c r="H391" s="870"/>
      <c r="I391" s="865"/>
      <c r="K391" s="462"/>
      <c r="L391" s="463"/>
      <c r="M391" s="463"/>
      <c r="N391" s="463"/>
      <c r="O391" s="463"/>
      <c r="P391" s="463"/>
      <c r="Q391" s="463"/>
    </row>
    <row r="392" spans="2:17" s="461" customFormat="1" ht="15" x14ac:dyDescent="0.2">
      <c r="B392" s="879"/>
      <c r="C392" s="878"/>
      <c r="D392" s="900"/>
      <c r="E392" s="867"/>
      <c r="F392" s="868" t="s">
        <v>815</v>
      </c>
      <c r="G392" s="871">
        <f>0.35*2*(0.75*2.8)+0.35*0.75*11</f>
        <v>4.357499999999999</v>
      </c>
      <c r="H392" s="870"/>
      <c r="I392" s="865"/>
      <c r="K392" s="462"/>
      <c r="L392" s="463"/>
      <c r="M392" s="463"/>
      <c r="N392" s="463"/>
      <c r="O392" s="463"/>
      <c r="P392" s="463"/>
      <c r="Q392" s="463"/>
    </row>
    <row r="393" spans="2:17" s="461" customFormat="1" ht="15" x14ac:dyDescent="0.2">
      <c r="B393" s="879"/>
      <c r="C393" s="878"/>
      <c r="D393" s="900"/>
      <c r="E393" s="867"/>
      <c r="F393" s="880" t="s">
        <v>814</v>
      </c>
      <c r="G393" s="871">
        <f>SUM(G391:G392)</f>
        <v>9.7299999999999969</v>
      </c>
      <c r="H393" s="870"/>
      <c r="I393" s="865"/>
      <c r="K393" s="462"/>
      <c r="L393" s="463"/>
      <c r="M393" s="463"/>
      <c r="N393" s="463"/>
      <c r="O393" s="463"/>
      <c r="P393" s="463"/>
      <c r="Q393" s="463"/>
    </row>
    <row r="394" spans="2:17" s="461" customFormat="1" ht="15" x14ac:dyDescent="0.2">
      <c r="B394" s="820"/>
      <c r="C394" s="837"/>
      <c r="D394" s="806"/>
      <c r="E394" s="757"/>
      <c r="F394" s="718"/>
      <c r="G394" s="759"/>
      <c r="H394" s="760"/>
      <c r="I394" s="761"/>
      <c r="K394" s="462"/>
      <c r="L394" s="463"/>
      <c r="M394" s="463"/>
      <c r="N394" s="463"/>
      <c r="O394" s="463"/>
      <c r="P394" s="463"/>
      <c r="Q394" s="463"/>
    </row>
    <row r="395" spans="2:17" s="461" customFormat="1" ht="15" x14ac:dyDescent="0.2">
      <c r="B395" s="689">
        <f>MAX(B$2:B394)+1</f>
        <v>64</v>
      </c>
      <c r="C395" s="837"/>
      <c r="D395" s="930" t="s">
        <v>686</v>
      </c>
      <c r="E395" s="931"/>
      <c r="F395" s="932" t="s">
        <v>687</v>
      </c>
      <c r="G395" s="933"/>
      <c r="H395" s="934" t="s">
        <v>51</v>
      </c>
      <c r="I395" s="935">
        <f>G398</f>
        <v>19.2</v>
      </c>
      <c r="K395" s="462"/>
      <c r="L395" s="463"/>
      <c r="M395" s="463"/>
      <c r="N395" s="463"/>
      <c r="O395" s="463"/>
      <c r="P395" s="463"/>
      <c r="Q395" s="463"/>
    </row>
    <row r="396" spans="2:17" s="461" customFormat="1" ht="15" x14ac:dyDescent="0.2">
      <c r="B396" s="689"/>
      <c r="C396" s="837"/>
      <c r="D396" s="936"/>
      <c r="E396" s="937"/>
      <c r="F396" s="718" t="s">
        <v>858</v>
      </c>
      <c r="G396" s="759">
        <f>4*4.5*(0.5*0.8)</f>
        <v>7.2</v>
      </c>
      <c r="H396" s="938"/>
      <c r="I396" s="939"/>
      <c r="K396" s="462"/>
      <c r="L396" s="463"/>
      <c r="M396" s="463"/>
      <c r="N396" s="463"/>
      <c r="O396" s="463"/>
      <c r="P396" s="463"/>
      <c r="Q396" s="463"/>
    </row>
    <row r="397" spans="2:17" s="461" customFormat="1" ht="15" x14ac:dyDescent="0.2">
      <c r="B397" s="689"/>
      <c r="C397" s="837"/>
      <c r="D397" s="936"/>
      <c r="E397" s="937"/>
      <c r="F397" s="718" t="s">
        <v>893</v>
      </c>
      <c r="G397" s="759">
        <f>2*15*(0.5*0.8)</f>
        <v>12</v>
      </c>
      <c r="H397" s="938"/>
      <c r="I397" s="939"/>
      <c r="K397" s="462"/>
      <c r="L397" s="463"/>
      <c r="M397" s="463"/>
      <c r="N397" s="463"/>
      <c r="O397" s="463"/>
      <c r="P397" s="463"/>
      <c r="Q397" s="463"/>
    </row>
    <row r="398" spans="2:17" s="461" customFormat="1" ht="15" x14ac:dyDescent="0.2">
      <c r="B398" s="689"/>
      <c r="C398" s="837"/>
      <c r="D398" s="936"/>
      <c r="E398" s="937"/>
      <c r="F398" s="916" t="s">
        <v>250</v>
      </c>
      <c r="G398" s="759">
        <f>SUM(G396:G397)</f>
        <v>19.2</v>
      </c>
      <c r="H398" s="938"/>
      <c r="I398" s="939"/>
      <c r="K398" s="462"/>
      <c r="L398" s="463"/>
      <c r="M398" s="463"/>
      <c r="N398" s="463"/>
      <c r="O398" s="463"/>
      <c r="P398" s="463"/>
      <c r="Q398" s="463"/>
    </row>
    <row r="399" spans="2:17" s="461" customFormat="1" ht="15" x14ac:dyDescent="0.2">
      <c r="B399" s="689"/>
      <c r="C399" s="837"/>
      <c r="D399" s="936"/>
      <c r="E399" s="937"/>
      <c r="F399" s="718"/>
      <c r="G399" s="759"/>
      <c r="H399" s="938"/>
      <c r="I399" s="939"/>
      <c r="K399" s="462"/>
      <c r="L399" s="463"/>
      <c r="M399" s="463"/>
      <c r="N399" s="463"/>
      <c r="O399" s="463"/>
      <c r="P399" s="463"/>
      <c r="Q399" s="463"/>
    </row>
    <row r="400" spans="2:17" s="461" customFormat="1" ht="25.5" x14ac:dyDescent="0.2">
      <c r="B400" s="689">
        <f>MAX(B$2:B399)+1</f>
        <v>65</v>
      </c>
      <c r="C400" s="837"/>
      <c r="D400" s="872" t="s">
        <v>52</v>
      </c>
      <c r="E400" s="751"/>
      <c r="F400" s="873" t="s">
        <v>55</v>
      </c>
      <c r="G400" s="874"/>
      <c r="H400" s="754" t="s">
        <v>51</v>
      </c>
      <c r="I400" s="755">
        <f>G405</f>
        <v>8.5939999999999994</v>
      </c>
      <c r="K400" s="462"/>
      <c r="L400" s="463"/>
      <c r="M400" s="463"/>
      <c r="N400" s="463"/>
      <c r="O400" s="463"/>
      <c r="P400" s="463"/>
      <c r="Q400" s="463"/>
    </row>
    <row r="401" spans="2:17" s="461" customFormat="1" ht="15" x14ac:dyDescent="0.2">
      <c r="B401" s="689"/>
      <c r="C401" s="837"/>
      <c r="D401" s="940"/>
      <c r="E401" s="941"/>
      <c r="F401" s="942" t="s">
        <v>786</v>
      </c>
      <c r="G401" s="943">
        <f>(5+5)*0.1*0.5</f>
        <v>0.5</v>
      </c>
      <c r="H401" s="762" t="s">
        <v>51</v>
      </c>
      <c r="I401" s="761">
        <f>G405</f>
        <v>8.5939999999999994</v>
      </c>
      <c r="K401" s="462"/>
      <c r="L401" s="463"/>
      <c r="M401" s="463"/>
      <c r="N401" s="463"/>
      <c r="O401" s="463"/>
      <c r="P401" s="463"/>
      <c r="Q401" s="463"/>
    </row>
    <row r="402" spans="2:17" s="461" customFormat="1" ht="15" x14ac:dyDescent="0.2">
      <c r="B402" s="689"/>
      <c r="C402" s="837"/>
      <c r="D402" s="940"/>
      <c r="E402" s="941"/>
      <c r="F402" s="942" t="s">
        <v>936</v>
      </c>
      <c r="G402" s="943">
        <f>7*0.1*0.6</f>
        <v>0.42000000000000004</v>
      </c>
      <c r="H402" s="762"/>
      <c r="I402" s="761"/>
      <c r="K402" s="462"/>
      <c r="L402" s="463"/>
      <c r="M402" s="463"/>
      <c r="N402" s="463"/>
      <c r="O402" s="463"/>
      <c r="P402" s="463"/>
      <c r="Q402" s="463"/>
    </row>
    <row r="403" spans="2:17" s="461" customFormat="1" ht="25.5" customHeight="1" x14ac:dyDescent="0.2">
      <c r="B403" s="689"/>
      <c r="C403" s="837"/>
      <c r="D403" s="940"/>
      <c r="E403" s="941"/>
      <c r="F403" s="944" t="s">
        <v>817</v>
      </c>
      <c r="G403" s="943">
        <f>0.85*(2.8+2.8)*0.15</f>
        <v>0.71399999999999997</v>
      </c>
      <c r="H403" s="762"/>
      <c r="I403" s="761"/>
      <c r="K403" s="462"/>
      <c r="L403" s="463"/>
      <c r="M403" s="463"/>
      <c r="N403" s="463"/>
      <c r="O403" s="463"/>
      <c r="P403" s="463"/>
      <c r="Q403" s="463"/>
    </row>
    <row r="404" spans="2:17" s="461" customFormat="1" ht="18.75" customHeight="1" x14ac:dyDescent="0.2">
      <c r="B404" s="689"/>
      <c r="C404" s="837"/>
      <c r="D404" s="940"/>
      <c r="E404" s="941"/>
      <c r="F404" s="942" t="s">
        <v>787</v>
      </c>
      <c r="G404" s="945">
        <f>8.7*4*2*0.1</f>
        <v>6.96</v>
      </c>
      <c r="H404" s="762"/>
      <c r="I404" s="755"/>
      <c r="K404" s="462"/>
      <c r="L404" s="463"/>
      <c r="M404" s="463"/>
      <c r="N404" s="463"/>
      <c r="O404" s="463"/>
      <c r="P404" s="463"/>
      <c r="Q404" s="463"/>
    </row>
    <row r="405" spans="2:17" s="461" customFormat="1" ht="15" x14ac:dyDescent="0.2">
      <c r="B405" s="689"/>
      <c r="C405" s="837"/>
      <c r="D405" s="875"/>
      <c r="E405" s="876"/>
      <c r="F405" s="916" t="s">
        <v>250</v>
      </c>
      <c r="G405" s="719">
        <f>SUM(G401:G404)</f>
        <v>8.5939999999999994</v>
      </c>
      <c r="H405" s="762"/>
      <c r="I405" s="755"/>
      <c r="K405" s="462"/>
      <c r="L405" s="463"/>
      <c r="M405" s="463"/>
      <c r="N405" s="463"/>
      <c r="O405" s="463"/>
      <c r="P405" s="463"/>
      <c r="Q405" s="463"/>
    </row>
    <row r="406" spans="2:17" s="461" customFormat="1" ht="15" x14ac:dyDescent="0.2">
      <c r="B406" s="689"/>
      <c r="C406" s="837"/>
      <c r="D406" s="875"/>
      <c r="E406" s="876"/>
      <c r="F406" s="916"/>
      <c r="G406" s="719"/>
      <c r="H406" s="762"/>
      <c r="I406" s="755"/>
      <c r="K406" s="462"/>
      <c r="L406" s="463"/>
      <c r="M406" s="463"/>
      <c r="N406" s="463"/>
      <c r="O406" s="463"/>
      <c r="P406" s="463"/>
      <c r="Q406" s="463"/>
    </row>
    <row r="407" spans="2:17" s="461" customFormat="1" ht="25.5" x14ac:dyDescent="0.2">
      <c r="B407" s="877">
        <f>MAX(B$1:B406)+1</f>
        <v>66</v>
      </c>
      <c r="C407" s="878"/>
      <c r="D407" s="690" t="s">
        <v>58</v>
      </c>
      <c r="E407" s="691"/>
      <c r="F407" s="692" t="s">
        <v>64</v>
      </c>
      <c r="G407" s="693"/>
      <c r="H407" s="694" t="s">
        <v>5</v>
      </c>
      <c r="I407" s="769">
        <f>I408</f>
        <v>4.4755199999999995E-2</v>
      </c>
      <c r="K407" s="462"/>
      <c r="L407" s="463"/>
      <c r="M407" s="463"/>
      <c r="N407" s="463"/>
      <c r="O407" s="463"/>
      <c r="P407" s="463"/>
      <c r="Q407" s="463"/>
    </row>
    <row r="408" spans="2:17" s="461" customFormat="1" ht="25.5" x14ac:dyDescent="0.2">
      <c r="B408" s="879"/>
      <c r="C408" s="878"/>
      <c r="D408" s="768"/>
      <c r="E408" s="775" t="s">
        <v>59</v>
      </c>
      <c r="F408" s="776" t="s">
        <v>65</v>
      </c>
      <c r="G408" s="777"/>
      <c r="H408" s="778" t="s">
        <v>5</v>
      </c>
      <c r="I408" s="865">
        <f>G410*0.001</f>
        <v>4.4755199999999995E-2</v>
      </c>
      <c r="K408" s="462"/>
      <c r="L408" s="463"/>
      <c r="M408" s="463"/>
      <c r="N408" s="463"/>
      <c r="O408" s="463"/>
      <c r="P408" s="463"/>
      <c r="Q408" s="463"/>
    </row>
    <row r="409" spans="2:17" s="461" customFormat="1" ht="15" x14ac:dyDescent="0.2">
      <c r="B409" s="879"/>
      <c r="C409" s="878"/>
      <c r="D409" s="900"/>
      <c r="E409" s="867"/>
      <c r="F409" s="868" t="s">
        <v>818</v>
      </c>
      <c r="G409" s="871"/>
      <c r="H409" s="870"/>
      <c r="I409" s="865"/>
      <c r="K409" s="462"/>
      <c r="L409" s="463"/>
      <c r="M409" s="463"/>
      <c r="N409" s="463"/>
      <c r="O409" s="463"/>
      <c r="P409" s="463"/>
      <c r="Q409" s="463"/>
    </row>
    <row r="410" spans="2:17" s="461" customFormat="1" ht="25.5" x14ac:dyDescent="0.2">
      <c r="B410" s="879"/>
      <c r="C410" s="878"/>
      <c r="D410" s="900"/>
      <c r="E410" s="867"/>
      <c r="F410" s="868" t="s">
        <v>819</v>
      </c>
      <c r="G410" s="871">
        <f>2*0.75*(2.8+2.8)*1.2*4.44</f>
        <v>44.755199999999995</v>
      </c>
      <c r="H410" s="870"/>
      <c r="I410" s="865"/>
      <c r="K410" s="462"/>
      <c r="L410" s="463"/>
      <c r="M410" s="463"/>
      <c r="N410" s="463"/>
      <c r="O410" s="463"/>
      <c r="P410" s="463"/>
      <c r="Q410" s="463"/>
    </row>
    <row r="411" spans="2:17" s="461" customFormat="1" ht="15" x14ac:dyDescent="0.2">
      <c r="B411" s="820"/>
      <c r="C411" s="837"/>
      <c r="D411" s="713"/>
      <c r="E411" s="714"/>
      <c r="F411" s="715"/>
      <c r="G411" s="723"/>
      <c r="H411" s="716"/>
      <c r="I411" s="761"/>
      <c r="K411" s="462"/>
      <c r="L411" s="463"/>
      <c r="M411" s="463"/>
      <c r="N411" s="463"/>
      <c r="O411" s="463"/>
      <c r="P411" s="463"/>
      <c r="Q411" s="463"/>
    </row>
    <row r="412" spans="2:17" s="461" customFormat="1" x14ac:dyDescent="0.2">
      <c r="B412" s="823"/>
      <c r="C412" s="834" t="s">
        <v>78</v>
      </c>
      <c r="D412" s="946"/>
      <c r="E412" s="947"/>
      <c r="F412" s="835" t="s">
        <v>79</v>
      </c>
      <c r="G412" s="897"/>
      <c r="H412" s="891"/>
      <c r="I412" s="681"/>
      <c r="K412" s="462"/>
      <c r="L412" s="463"/>
      <c r="M412" s="463"/>
      <c r="N412" s="463"/>
      <c r="O412" s="463"/>
      <c r="P412" s="463"/>
      <c r="Q412" s="463"/>
    </row>
    <row r="413" spans="2:17" s="461" customFormat="1" ht="15" x14ac:dyDescent="0.2">
      <c r="B413" s="820"/>
      <c r="C413" s="837"/>
      <c r="D413" s="838"/>
      <c r="E413" s="839"/>
      <c r="F413" s="847"/>
      <c r="G413" s="733"/>
      <c r="H413" s="684"/>
      <c r="I413" s="761"/>
      <c r="K413" s="462"/>
      <c r="L413" s="463"/>
      <c r="M413" s="463"/>
      <c r="N413" s="463"/>
      <c r="O413" s="463"/>
      <c r="P413" s="463"/>
      <c r="Q413" s="463"/>
    </row>
    <row r="414" spans="2:17" s="461" customFormat="1" ht="25.5" x14ac:dyDescent="0.2">
      <c r="B414" s="948">
        <f>MAX(B$5:B412)+1</f>
        <v>67</v>
      </c>
      <c r="C414" s="949"/>
      <c r="D414" s="750" t="s">
        <v>29</v>
      </c>
      <c r="E414" s="751"/>
      <c r="F414" s="882" t="s">
        <v>50</v>
      </c>
      <c r="G414" s="753"/>
      <c r="H414" s="754" t="s">
        <v>12</v>
      </c>
      <c r="I414" s="755">
        <f>I415+I420</f>
        <v>101.74</v>
      </c>
      <c r="K414" s="462"/>
      <c r="L414" s="463"/>
      <c r="M414" s="463"/>
      <c r="N414" s="463"/>
      <c r="O414" s="463"/>
      <c r="P414" s="463"/>
      <c r="Q414" s="463"/>
    </row>
    <row r="415" spans="2:17" s="461" customFormat="1" ht="25.5" x14ac:dyDescent="0.2">
      <c r="B415" s="820"/>
      <c r="C415" s="837"/>
      <c r="D415" s="713"/>
      <c r="E415" s="775" t="s">
        <v>30</v>
      </c>
      <c r="F415" s="776" t="s">
        <v>34</v>
      </c>
      <c r="G415" s="777"/>
      <c r="H415" s="716" t="s">
        <v>12</v>
      </c>
      <c r="I415" s="761">
        <f>G418</f>
        <v>68.8</v>
      </c>
      <c r="K415" s="462"/>
      <c r="L415" s="463"/>
      <c r="M415" s="463"/>
      <c r="N415" s="463"/>
      <c r="O415" s="463"/>
      <c r="P415" s="463"/>
      <c r="Q415" s="463"/>
    </row>
    <row r="416" spans="2:17" s="461" customFormat="1" ht="15" x14ac:dyDescent="0.2">
      <c r="B416" s="820"/>
      <c r="C416" s="837"/>
      <c r="D416" s="713"/>
      <c r="E416" s="775"/>
      <c r="F416" s="903" t="s">
        <v>271</v>
      </c>
      <c r="G416" s="777"/>
      <c r="H416" s="716"/>
      <c r="I416" s="761"/>
      <c r="K416" s="462"/>
      <c r="L416" s="463"/>
      <c r="M416" s="463"/>
      <c r="N416" s="463"/>
      <c r="O416" s="463"/>
      <c r="P416" s="463"/>
      <c r="Q416" s="463"/>
    </row>
    <row r="417" spans="2:17" s="461" customFormat="1" ht="15" x14ac:dyDescent="0.2">
      <c r="B417" s="820"/>
      <c r="C417" s="837"/>
      <c r="D417" s="713"/>
      <c r="E417" s="775"/>
      <c r="F417" s="903" t="s">
        <v>794</v>
      </c>
      <c r="G417" s="901">
        <f>(8.6+8.6)*4</f>
        <v>68.8</v>
      </c>
      <c r="H417" s="716"/>
      <c r="I417" s="761"/>
      <c r="K417" s="462"/>
      <c r="L417" s="463"/>
      <c r="M417" s="463"/>
      <c r="N417" s="463"/>
      <c r="O417" s="463"/>
      <c r="P417" s="463"/>
      <c r="Q417" s="463"/>
    </row>
    <row r="418" spans="2:17" s="461" customFormat="1" ht="15" x14ac:dyDescent="0.2">
      <c r="B418" s="820"/>
      <c r="C418" s="837"/>
      <c r="D418" s="713"/>
      <c r="E418" s="775"/>
      <c r="F418" s="950" t="s">
        <v>250</v>
      </c>
      <c r="G418" s="777">
        <f>SUM(G417:G417)</f>
        <v>68.8</v>
      </c>
      <c r="H418" s="716"/>
      <c r="I418" s="761"/>
      <c r="K418" s="462"/>
      <c r="L418" s="463"/>
      <c r="M418" s="463"/>
      <c r="N418" s="463"/>
      <c r="O418" s="463"/>
      <c r="P418" s="463"/>
      <c r="Q418" s="463"/>
    </row>
    <row r="419" spans="2:17" s="461" customFormat="1" ht="15" x14ac:dyDescent="0.2">
      <c r="B419" s="820"/>
      <c r="C419" s="837"/>
      <c r="D419" s="713"/>
      <c r="E419" s="714"/>
      <c r="F419" s="715"/>
      <c r="G419" s="759"/>
      <c r="H419" s="716"/>
      <c r="I419" s="761"/>
      <c r="K419" s="462"/>
      <c r="L419" s="463"/>
      <c r="M419" s="463"/>
      <c r="N419" s="463"/>
      <c r="O419" s="463"/>
      <c r="P419" s="463"/>
      <c r="Q419" s="463"/>
    </row>
    <row r="420" spans="2:17" s="461" customFormat="1" ht="25.5" x14ac:dyDescent="0.2">
      <c r="B420" s="820"/>
      <c r="C420" s="837"/>
      <c r="D420" s="713"/>
      <c r="E420" s="714" t="s">
        <v>31</v>
      </c>
      <c r="F420" s="555" t="s">
        <v>35</v>
      </c>
      <c r="G420" s="723"/>
      <c r="H420" s="716" t="s">
        <v>12</v>
      </c>
      <c r="I420" s="761">
        <f>G424</f>
        <v>32.94</v>
      </c>
      <c r="K420" s="462"/>
      <c r="L420" s="463"/>
      <c r="M420" s="463"/>
      <c r="N420" s="463"/>
      <c r="O420" s="463"/>
      <c r="P420" s="463"/>
      <c r="Q420" s="463"/>
    </row>
    <row r="421" spans="2:17" s="461" customFormat="1" ht="25.5" x14ac:dyDescent="0.2">
      <c r="B421" s="820"/>
      <c r="C421" s="837"/>
      <c r="D421" s="713"/>
      <c r="E421" s="714"/>
      <c r="F421" s="715" t="s">
        <v>720</v>
      </c>
      <c r="G421" s="759"/>
      <c r="H421" s="716"/>
      <c r="I421" s="761"/>
      <c r="K421" s="462"/>
      <c r="L421" s="463"/>
      <c r="M421" s="463"/>
      <c r="N421" s="463"/>
      <c r="O421" s="463"/>
      <c r="P421" s="463"/>
      <c r="Q421" s="463"/>
    </row>
    <row r="422" spans="2:17" s="461" customFormat="1" ht="15" x14ac:dyDescent="0.2">
      <c r="B422" s="820"/>
      <c r="C422" s="837"/>
      <c r="D422" s="713"/>
      <c r="E422" s="714"/>
      <c r="F422" s="715" t="s">
        <v>793</v>
      </c>
      <c r="G422" s="759">
        <f xml:space="preserve"> 0.25*(4+4+8.6)*2</f>
        <v>8.3000000000000007</v>
      </c>
      <c r="H422" s="716"/>
      <c r="I422" s="761"/>
      <c r="K422" s="462"/>
      <c r="L422" s="463"/>
      <c r="M422" s="463"/>
      <c r="N422" s="463"/>
      <c r="O422" s="463"/>
      <c r="P422" s="463"/>
      <c r="Q422" s="463"/>
    </row>
    <row r="423" spans="2:17" s="461" customFormat="1" ht="15" x14ac:dyDescent="0.2">
      <c r="B423" s="820"/>
      <c r="C423" s="837"/>
      <c r="D423" s="713"/>
      <c r="E423" s="714"/>
      <c r="F423" s="715" t="s">
        <v>854</v>
      </c>
      <c r="G423" s="759">
        <f xml:space="preserve"> 1*((2.51+2.6+2.94+2.67)*2+(4*0.8))</f>
        <v>24.639999999999997</v>
      </c>
      <c r="H423" s="716"/>
      <c r="I423" s="761"/>
      <c r="K423" s="462"/>
      <c r="L423" s="463"/>
      <c r="M423" s="463"/>
      <c r="N423" s="463"/>
      <c r="O423" s="463"/>
      <c r="P423" s="463"/>
      <c r="Q423" s="463"/>
    </row>
    <row r="424" spans="2:17" s="461" customFormat="1" ht="15" x14ac:dyDescent="0.2">
      <c r="B424" s="820"/>
      <c r="C424" s="837"/>
      <c r="D424" s="713"/>
      <c r="E424" s="714"/>
      <c r="F424" s="721" t="s">
        <v>250</v>
      </c>
      <c r="G424" s="759">
        <f>SUM(G422:G423)</f>
        <v>32.94</v>
      </c>
      <c r="H424" s="716"/>
      <c r="I424" s="761"/>
      <c r="K424" s="462"/>
      <c r="L424" s="463"/>
      <c r="M424" s="463"/>
      <c r="N424" s="463"/>
      <c r="O424" s="463"/>
      <c r="P424" s="463"/>
      <c r="Q424" s="463"/>
    </row>
    <row r="425" spans="2:17" s="461" customFormat="1" ht="15" x14ac:dyDescent="0.2">
      <c r="B425" s="820"/>
      <c r="C425" s="837"/>
      <c r="D425" s="840"/>
      <c r="E425" s="767"/>
      <c r="F425" s="841"/>
      <c r="G425" s="842"/>
      <c r="H425" s="843"/>
      <c r="I425" s="761"/>
      <c r="K425" s="462"/>
      <c r="L425" s="463"/>
      <c r="M425" s="463"/>
      <c r="N425" s="463"/>
      <c r="O425" s="463"/>
      <c r="P425" s="463"/>
      <c r="Q425" s="463"/>
    </row>
    <row r="426" spans="2:17" s="461" customFormat="1" ht="25.5" x14ac:dyDescent="0.2">
      <c r="B426" s="689">
        <f>MAX(B$2:B425)+1</f>
        <v>68</v>
      </c>
      <c r="C426" s="837"/>
      <c r="D426" s="707" t="s">
        <v>46</v>
      </c>
      <c r="E426" s="708"/>
      <c r="F426" s="848" t="s">
        <v>43</v>
      </c>
      <c r="G426" s="710"/>
      <c r="H426" s="694" t="s">
        <v>12</v>
      </c>
      <c r="I426" s="755">
        <f>G428</f>
        <v>96.875999999999991</v>
      </c>
      <c r="K426" s="462"/>
      <c r="L426" s="463"/>
      <c r="M426" s="463"/>
      <c r="N426" s="463"/>
      <c r="O426" s="463"/>
      <c r="P426" s="463"/>
      <c r="Q426" s="463"/>
    </row>
    <row r="427" spans="2:17" s="461" customFormat="1" ht="25.5" x14ac:dyDescent="0.2">
      <c r="B427" s="820"/>
      <c r="C427" s="837"/>
      <c r="D427" s="713"/>
      <c r="E427" s="725" t="s">
        <v>47</v>
      </c>
      <c r="F427" s="461" t="s">
        <v>18</v>
      </c>
      <c r="G427" s="734"/>
      <c r="H427" s="732" t="s">
        <v>12</v>
      </c>
      <c r="I427" s="761"/>
      <c r="K427" s="462"/>
      <c r="L427" s="463"/>
      <c r="M427" s="463"/>
      <c r="N427" s="463"/>
      <c r="O427" s="463"/>
      <c r="P427" s="463"/>
      <c r="Q427" s="463"/>
    </row>
    <row r="428" spans="2:17" s="461" customFormat="1" ht="25.5" x14ac:dyDescent="0.2">
      <c r="B428" s="820"/>
      <c r="C428" s="837"/>
      <c r="D428" s="838"/>
      <c r="E428" s="839"/>
      <c r="F428" s="715" t="s">
        <v>792</v>
      </c>
      <c r="G428" s="686">
        <f>10.35*9.36</f>
        <v>96.875999999999991</v>
      </c>
      <c r="H428" s="684"/>
      <c r="I428" s="761"/>
      <c r="K428" s="462"/>
      <c r="L428" s="463"/>
      <c r="M428" s="463"/>
      <c r="N428" s="463"/>
      <c r="O428" s="463"/>
      <c r="P428" s="463"/>
      <c r="Q428" s="463"/>
    </row>
    <row r="429" spans="2:17" s="461" customFormat="1" ht="15" x14ac:dyDescent="0.2">
      <c r="B429" s="820"/>
      <c r="C429" s="837"/>
      <c r="D429" s="838"/>
      <c r="E429" s="839"/>
      <c r="F429" s="847"/>
      <c r="G429" s="733"/>
      <c r="H429" s="684"/>
      <c r="I429" s="761"/>
      <c r="K429" s="462"/>
      <c r="L429" s="463"/>
      <c r="M429" s="463"/>
      <c r="N429" s="463"/>
      <c r="O429" s="463"/>
      <c r="P429" s="463"/>
      <c r="Q429" s="463"/>
    </row>
    <row r="430" spans="2:17" ht="15" x14ac:dyDescent="0.2">
      <c r="B430" s="689">
        <f>MAX(B$2:B429)+1</f>
        <v>69</v>
      </c>
      <c r="C430" s="837"/>
      <c r="D430" s="707" t="s">
        <v>48</v>
      </c>
      <c r="E430" s="708"/>
      <c r="F430" s="848" t="s">
        <v>19</v>
      </c>
      <c r="G430" s="710"/>
      <c r="H430" s="694" t="s">
        <v>12</v>
      </c>
      <c r="I430" s="755">
        <f>G435</f>
        <v>147.07599999999999</v>
      </c>
    </row>
    <row r="431" spans="2:17" ht="25.5" x14ac:dyDescent="0.2">
      <c r="B431" s="820"/>
      <c r="C431" s="837"/>
      <c r="D431" s="713"/>
      <c r="E431" s="725" t="s">
        <v>49</v>
      </c>
      <c r="F431" s="461" t="s">
        <v>17</v>
      </c>
      <c r="G431" s="734"/>
      <c r="H431" s="732" t="s">
        <v>12</v>
      </c>
      <c r="I431" s="761"/>
    </row>
    <row r="432" spans="2:17" ht="15" x14ac:dyDescent="0.2">
      <c r="B432" s="820"/>
      <c r="C432" s="837"/>
      <c r="D432" s="838"/>
      <c r="E432" s="839"/>
      <c r="F432" s="715" t="s">
        <v>791</v>
      </c>
      <c r="G432" s="686">
        <f>10.35*9.36</f>
        <v>96.875999999999991</v>
      </c>
      <c r="H432" s="684"/>
      <c r="I432" s="761"/>
    </row>
    <row r="433" spans="2:17" ht="15" x14ac:dyDescent="0.2">
      <c r="B433" s="820"/>
      <c r="C433" s="837"/>
      <c r="D433" s="838"/>
      <c r="E433" s="839"/>
      <c r="F433" s="715" t="s">
        <v>790</v>
      </c>
      <c r="G433" s="686">
        <f>1*10.35*2</f>
        <v>20.7</v>
      </c>
      <c r="H433" s="684"/>
      <c r="I433" s="761"/>
    </row>
    <row r="434" spans="2:17" ht="15" x14ac:dyDescent="0.2">
      <c r="B434" s="820"/>
      <c r="C434" s="837"/>
      <c r="D434" s="838"/>
      <c r="E434" s="839"/>
      <c r="F434" s="715" t="s">
        <v>789</v>
      </c>
      <c r="G434" s="733">
        <f>1*(15+14.5)</f>
        <v>29.5</v>
      </c>
      <c r="H434" s="684"/>
      <c r="I434" s="761"/>
    </row>
    <row r="435" spans="2:17" ht="15" x14ac:dyDescent="0.2">
      <c r="B435" s="820"/>
      <c r="C435" s="837"/>
      <c r="D435" s="838"/>
      <c r="E435" s="839"/>
      <c r="F435" s="721" t="s">
        <v>298</v>
      </c>
      <c r="G435" s="686">
        <f>SUM(G432:G434)</f>
        <v>147.07599999999999</v>
      </c>
      <c r="H435" s="684"/>
      <c r="I435" s="761"/>
    </row>
    <row r="436" spans="2:17" ht="25.5" x14ac:dyDescent="0.2">
      <c r="B436" s="820"/>
      <c r="C436" s="837"/>
      <c r="D436" s="838"/>
      <c r="E436" s="839"/>
      <c r="F436" s="715" t="s">
        <v>788</v>
      </c>
      <c r="G436" s="733"/>
      <c r="H436" s="684"/>
      <c r="I436" s="761"/>
    </row>
    <row r="437" spans="2:17" s="556" customFormat="1" ht="15" x14ac:dyDescent="0.2">
      <c r="B437" s="820"/>
      <c r="C437" s="837"/>
      <c r="D437" s="838"/>
      <c r="E437" s="839"/>
      <c r="F437" s="847"/>
      <c r="G437" s="733"/>
      <c r="H437" s="684"/>
      <c r="I437" s="761"/>
      <c r="J437" s="555"/>
      <c r="K437" s="717"/>
    </row>
    <row r="438" spans="2:17" s="556" customFormat="1" x14ac:dyDescent="0.2">
      <c r="B438" s="823"/>
      <c r="C438" s="834" t="s">
        <v>80</v>
      </c>
      <c r="D438" s="946"/>
      <c r="E438" s="947"/>
      <c r="F438" s="835" t="s">
        <v>81</v>
      </c>
      <c r="G438" s="897"/>
      <c r="H438" s="891"/>
      <c r="I438" s="681"/>
      <c r="J438" s="555"/>
      <c r="K438" s="717"/>
    </row>
    <row r="439" spans="2:17" s="556" customFormat="1" ht="15" x14ac:dyDescent="0.2">
      <c r="B439" s="820"/>
      <c r="C439" s="837"/>
      <c r="D439" s="838"/>
      <c r="E439" s="839"/>
      <c r="F439" s="847"/>
      <c r="G439" s="733"/>
      <c r="H439" s="684"/>
      <c r="I439" s="761"/>
      <c r="J439" s="555"/>
      <c r="K439" s="717"/>
    </row>
    <row r="440" spans="2:17" s="556" customFormat="1" ht="25.5" x14ac:dyDescent="0.2">
      <c r="B440" s="689">
        <f>MAX(B$5:B438)+1</f>
        <v>70</v>
      </c>
      <c r="C440" s="837"/>
      <c r="D440" s="707" t="s">
        <v>82</v>
      </c>
      <c r="E440" s="708"/>
      <c r="F440" s="848" t="s">
        <v>83</v>
      </c>
      <c r="G440" s="710"/>
      <c r="H440" s="694" t="s">
        <v>25</v>
      </c>
      <c r="I440" s="755">
        <f>G443</f>
        <v>29.5</v>
      </c>
      <c r="J440" s="555"/>
      <c r="K440" s="717"/>
    </row>
    <row r="441" spans="2:17" s="556" customFormat="1" ht="25.5" x14ac:dyDescent="0.2">
      <c r="B441" s="820"/>
      <c r="C441" s="837"/>
      <c r="D441" s="838"/>
      <c r="E441" s="725" t="s">
        <v>84</v>
      </c>
      <c r="F441" s="461" t="s">
        <v>83</v>
      </c>
      <c r="G441" s="734"/>
      <c r="H441" s="732" t="s">
        <v>25</v>
      </c>
      <c r="I441" s="761"/>
      <c r="J441" s="555"/>
      <c r="K441" s="717"/>
    </row>
    <row r="442" spans="2:17" s="556" customFormat="1" ht="15" x14ac:dyDescent="0.2">
      <c r="B442" s="820"/>
      <c r="C442" s="837"/>
      <c r="D442" s="838"/>
      <c r="E442" s="839"/>
      <c r="F442" s="715" t="s">
        <v>759</v>
      </c>
      <c r="G442" s="733">
        <f>14.5+15</f>
        <v>29.5</v>
      </c>
      <c r="H442" s="684"/>
      <c r="I442" s="761"/>
      <c r="J442" s="555"/>
      <c r="K442" s="717"/>
    </row>
    <row r="443" spans="2:17" s="556" customFormat="1" ht="15" x14ac:dyDescent="0.2">
      <c r="B443" s="820"/>
      <c r="C443" s="837"/>
      <c r="D443" s="838"/>
      <c r="E443" s="839"/>
      <c r="F443" s="715"/>
      <c r="G443" s="686">
        <f>SUM(G441:G442)</f>
        <v>29.5</v>
      </c>
      <c r="H443" s="684"/>
      <c r="I443" s="761"/>
      <c r="J443" s="555"/>
      <c r="K443" s="717"/>
    </row>
    <row r="444" spans="2:17" s="461" customFormat="1" ht="15" x14ac:dyDescent="0.2">
      <c r="B444" s="820"/>
      <c r="C444" s="837"/>
      <c r="D444" s="838"/>
      <c r="E444" s="839"/>
      <c r="F444" s="847"/>
      <c r="G444" s="733"/>
      <c r="H444" s="684"/>
      <c r="I444" s="761"/>
      <c r="K444" s="462"/>
      <c r="L444" s="463"/>
      <c r="M444" s="463"/>
      <c r="N444" s="463"/>
      <c r="O444" s="463"/>
      <c r="P444" s="463"/>
      <c r="Q444" s="463"/>
    </row>
    <row r="445" spans="2:17" s="461" customFormat="1" x14ac:dyDescent="0.2">
      <c r="B445" s="823"/>
      <c r="C445" s="834" t="s">
        <v>412</v>
      </c>
      <c r="D445" s="834"/>
      <c r="E445" s="748"/>
      <c r="F445" s="835" t="s">
        <v>413</v>
      </c>
      <c r="G445" s="897"/>
      <c r="H445" s="891"/>
      <c r="I445" s="951"/>
      <c r="K445" s="462"/>
      <c r="L445" s="463"/>
      <c r="M445" s="463"/>
      <c r="N445" s="463"/>
      <c r="O445" s="463"/>
      <c r="P445" s="463"/>
      <c r="Q445" s="463"/>
    </row>
    <row r="446" spans="2:17" s="461" customFormat="1" ht="6.75" customHeight="1" x14ac:dyDescent="0.2">
      <c r="B446" s="820"/>
      <c r="C446" s="952"/>
      <c r="D446" s="838"/>
      <c r="E446" s="839"/>
      <c r="F446" s="727"/>
      <c r="G446" s="733"/>
      <c r="H446" s="684"/>
      <c r="I446" s="953"/>
      <c r="K446" s="462"/>
      <c r="L446" s="463"/>
      <c r="M446" s="463"/>
      <c r="N446" s="463"/>
      <c r="O446" s="463"/>
      <c r="P446" s="463"/>
      <c r="Q446" s="463"/>
    </row>
    <row r="447" spans="2:17" s="461" customFormat="1" ht="25.5" x14ac:dyDescent="0.2">
      <c r="B447" s="689">
        <f>MAX(B$5:B445)+1</f>
        <v>71</v>
      </c>
      <c r="C447" s="952"/>
      <c r="D447" s="707" t="s">
        <v>438</v>
      </c>
      <c r="E447" s="708"/>
      <c r="F447" s="848" t="s">
        <v>439</v>
      </c>
      <c r="G447" s="954"/>
      <c r="H447" s="694" t="s">
        <v>12</v>
      </c>
      <c r="I447" s="955">
        <f>G449</f>
        <v>92.736000000000004</v>
      </c>
      <c r="K447" s="462"/>
      <c r="L447" s="463"/>
      <c r="M447" s="463"/>
      <c r="N447" s="463"/>
      <c r="O447" s="463"/>
      <c r="P447" s="463"/>
      <c r="Q447" s="463"/>
    </row>
    <row r="448" spans="2:17" s="461" customFormat="1" ht="15" x14ac:dyDescent="0.2">
      <c r="B448" s="820"/>
      <c r="C448" s="952"/>
      <c r="D448" s="838"/>
      <c r="E448" s="839"/>
      <c r="F448" s="735" t="s">
        <v>721</v>
      </c>
      <c r="G448" s="686"/>
      <c r="H448" s="684"/>
      <c r="I448" s="953"/>
      <c r="K448" s="462"/>
      <c r="L448" s="463"/>
      <c r="M448" s="463"/>
      <c r="N448" s="463"/>
      <c r="O448" s="463"/>
      <c r="P448" s="463"/>
      <c r="Q448" s="463"/>
    </row>
    <row r="449" spans="2:17" s="461" customFormat="1" ht="15" x14ac:dyDescent="0.2">
      <c r="B449" s="820"/>
      <c r="C449" s="952"/>
      <c r="D449" s="838"/>
      <c r="E449" s="839"/>
      <c r="F449" s="727" t="s">
        <v>823</v>
      </c>
      <c r="G449" s="686">
        <f>10.35*8.96</f>
        <v>92.736000000000004</v>
      </c>
      <c r="H449" s="684"/>
      <c r="I449" s="953"/>
      <c r="K449" s="462"/>
      <c r="L449" s="463"/>
      <c r="M449" s="463"/>
      <c r="N449" s="463"/>
      <c r="O449" s="463"/>
      <c r="P449" s="463"/>
      <c r="Q449" s="463"/>
    </row>
    <row r="450" spans="2:17" s="461" customFormat="1" ht="15" x14ac:dyDescent="0.2">
      <c r="B450" s="820"/>
      <c r="C450" s="952"/>
      <c r="D450" s="838"/>
      <c r="E450" s="839"/>
      <c r="F450" s="727"/>
      <c r="G450" s="733"/>
      <c r="H450" s="684"/>
      <c r="I450" s="953"/>
      <c r="K450" s="462"/>
      <c r="L450" s="463"/>
      <c r="M450" s="463"/>
      <c r="N450" s="463"/>
      <c r="O450" s="463"/>
      <c r="P450" s="463"/>
      <c r="Q450" s="463"/>
    </row>
    <row r="451" spans="2:17" s="461" customFormat="1" ht="25.5" x14ac:dyDescent="0.2">
      <c r="B451" s="689">
        <f>MAX(B$5:B448)+1</f>
        <v>72</v>
      </c>
      <c r="C451" s="952"/>
      <c r="D451" s="707" t="s">
        <v>441</v>
      </c>
      <c r="E451" s="708"/>
      <c r="F451" s="848" t="s">
        <v>442</v>
      </c>
      <c r="G451" s="954"/>
      <c r="H451" s="694" t="s">
        <v>12</v>
      </c>
      <c r="I451" s="955">
        <f>G456</f>
        <v>139.10400000000001</v>
      </c>
      <c r="K451" s="462"/>
      <c r="L451" s="463"/>
      <c r="M451" s="463"/>
      <c r="N451" s="463"/>
      <c r="O451" s="463"/>
      <c r="P451" s="463"/>
      <c r="Q451" s="463"/>
    </row>
    <row r="452" spans="2:17" s="461" customFormat="1" ht="15" x14ac:dyDescent="0.2">
      <c r="B452" s="820"/>
      <c r="C452" s="952"/>
      <c r="D452" s="838"/>
      <c r="E452" s="839"/>
      <c r="F452" s="724" t="s">
        <v>894</v>
      </c>
      <c r="G452" s="686"/>
      <c r="H452" s="684"/>
      <c r="I452" s="953"/>
      <c r="K452" s="462"/>
      <c r="L452" s="463"/>
      <c r="M452" s="463"/>
      <c r="N452" s="463"/>
      <c r="O452" s="463"/>
      <c r="P452" s="463"/>
      <c r="Q452" s="463"/>
    </row>
    <row r="453" spans="2:17" s="461" customFormat="1" ht="15" x14ac:dyDescent="0.2">
      <c r="B453" s="820"/>
      <c r="C453" s="952"/>
      <c r="D453" s="838"/>
      <c r="E453" s="839"/>
      <c r="F453" s="715" t="s">
        <v>824</v>
      </c>
      <c r="G453" s="686">
        <f>10.35*8.96*0.5</f>
        <v>46.368000000000002</v>
      </c>
      <c r="H453" s="684"/>
      <c r="I453" s="953"/>
      <c r="K453" s="462"/>
      <c r="L453" s="463"/>
      <c r="M453" s="463"/>
      <c r="N453" s="463"/>
      <c r="O453" s="463"/>
      <c r="P453" s="463"/>
      <c r="Q453" s="463"/>
    </row>
    <row r="454" spans="2:17" s="461" customFormat="1" ht="15" x14ac:dyDescent="0.2">
      <c r="B454" s="820"/>
      <c r="C454" s="952"/>
      <c r="D454" s="838"/>
      <c r="E454" s="839"/>
      <c r="F454" s="724" t="s">
        <v>895</v>
      </c>
      <c r="G454" s="686"/>
      <c r="H454" s="684"/>
      <c r="I454" s="953"/>
      <c r="K454" s="462"/>
      <c r="L454" s="463"/>
      <c r="M454" s="463"/>
      <c r="N454" s="463"/>
      <c r="O454" s="463"/>
      <c r="P454" s="463"/>
      <c r="Q454" s="463"/>
    </row>
    <row r="455" spans="2:17" s="461" customFormat="1" ht="15" x14ac:dyDescent="0.2">
      <c r="B455" s="820"/>
      <c r="C455" s="952"/>
      <c r="D455" s="838"/>
      <c r="E455" s="839"/>
      <c r="F455" s="715" t="s">
        <v>823</v>
      </c>
      <c r="G455" s="733">
        <f>10.35*8.96</f>
        <v>92.736000000000004</v>
      </c>
      <c r="H455" s="684"/>
      <c r="I455" s="953"/>
      <c r="K455" s="462"/>
      <c r="L455" s="463"/>
      <c r="M455" s="463"/>
      <c r="N455" s="463"/>
      <c r="O455" s="463"/>
      <c r="P455" s="463"/>
      <c r="Q455" s="463"/>
    </row>
    <row r="456" spans="2:17" s="461" customFormat="1" ht="15" x14ac:dyDescent="0.2">
      <c r="B456" s="820"/>
      <c r="C456" s="952"/>
      <c r="D456" s="838"/>
      <c r="E456" s="839"/>
      <c r="F456" s="956" t="s">
        <v>250</v>
      </c>
      <c r="G456" s="686">
        <f>SUM(G453:G455)</f>
        <v>139.10400000000001</v>
      </c>
      <c r="H456" s="684"/>
      <c r="I456" s="953"/>
      <c r="K456" s="462"/>
      <c r="L456" s="463"/>
      <c r="M456" s="463"/>
      <c r="N456" s="463"/>
      <c r="O456" s="463"/>
      <c r="P456" s="463"/>
      <c r="Q456" s="463"/>
    </row>
    <row r="457" spans="2:17" s="461" customFormat="1" ht="8.25" customHeight="1" x14ac:dyDescent="0.2">
      <c r="B457" s="820"/>
      <c r="C457" s="952"/>
      <c r="D457" s="838"/>
      <c r="E457" s="839"/>
      <c r="F457" s="463"/>
      <c r="G457" s="686"/>
      <c r="H457" s="684"/>
      <c r="I457" s="953"/>
      <c r="K457" s="462"/>
      <c r="L457" s="463"/>
      <c r="M457" s="463"/>
      <c r="N457" s="463"/>
      <c r="O457" s="463"/>
      <c r="P457" s="463"/>
      <c r="Q457" s="463"/>
    </row>
    <row r="458" spans="2:17" s="461" customFormat="1" ht="25.5" x14ac:dyDescent="0.2">
      <c r="B458" s="689">
        <f>MAX(B$5:B456)+1</f>
        <v>73</v>
      </c>
      <c r="C458" s="952"/>
      <c r="D458" s="707" t="s">
        <v>443</v>
      </c>
      <c r="E458" s="708"/>
      <c r="F458" s="848" t="s">
        <v>444</v>
      </c>
      <c r="G458" s="954"/>
      <c r="H458" s="694" t="s">
        <v>12</v>
      </c>
      <c r="I458" s="955">
        <f>G464+G470</f>
        <v>206.25900000000004</v>
      </c>
      <c r="K458" s="462"/>
      <c r="L458" s="463"/>
      <c r="M458" s="463"/>
      <c r="N458" s="463"/>
      <c r="O458" s="463"/>
      <c r="P458" s="463"/>
      <c r="Q458" s="463"/>
    </row>
    <row r="459" spans="2:17" s="461" customFormat="1" ht="15" x14ac:dyDescent="0.2">
      <c r="B459" s="689"/>
      <c r="C459" s="952"/>
      <c r="D459" s="707"/>
      <c r="E459" s="708"/>
      <c r="F459" s="736" t="s">
        <v>896</v>
      </c>
      <c r="G459" s="686"/>
      <c r="H459" s="694"/>
      <c r="I459" s="955"/>
      <c r="K459" s="462"/>
      <c r="L459" s="463"/>
      <c r="M459" s="463"/>
      <c r="N459" s="463"/>
      <c r="O459" s="463"/>
      <c r="P459" s="463"/>
      <c r="Q459" s="463"/>
    </row>
    <row r="460" spans="2:17" s="461" customFormat="1" ht="15" x14ac:dyDescent="0.2">
      <c r="B460" s="689"/>
      <c r="C460" s="952"/>
      <c r="D460" s="707"/>
      <c r="E460" s="708"/>
      <c r="F460" s="463" t="s">
        <v>825</v>
      </c>
      <c r="G460" s="686">
        <f>((2*0.45*10*8.96)+(2*0.45*8.96)+(2*0.5*8.96))*0.5</f>
        <v>48.832000000000008</v>
      </c>
      <c r="H460" s="694"/>
      <c r="I460" s="955"/>
      <c r="K460" s="462"/>
      <c r="L460" s="463"/>
      <c r="M460" s="463"/>
      <c r="N460" s="463"/>
      <c r="O460" s="463"/>
      <c r="P460" s="463"/>
      <c r="Q460" s="463"/>
    </row>
    <row r="461" spans="2:17" s="461" customFormat="1" ht="15" x14ac:dyDescent="0.2">
      <c r="B461" s="689"/>
      <c r="C461" s="952"/>
      <c r="D461" s="707"/>
      <c r="E461" s="708"/>
      <c r="F461" s="737" t="s">
        <v>899</v>
      </c>
      <c r="G461" s="686"/>
      <c r="H461" s="694"/>
      <c r="I461" s="955"/>
      <c r="K461" s="462"/>
      <c r="L461" s="463"/>
      <c r="M461" s="463"/>
      <c r="N461" s="463"/>
      <c r="O461" s="463"/>
      <c r="P461" s="463"/>
      <c r="Q461" s="463"/>
    </row>
    <row r="462" spans="2:17" s="461" customFormat="1" ht="15" x14ac:dyDescent="0.2">
      <c r="B462" s="689"/>
      <c r="C462" s="952"/>
      <c r="D462" s="707"/>
      <c r="E462" s="708"/>
      <c r="F462" s="510" t="s">
        <v>901</v>
      </c>
      <c r="G462" s="686">
        <f xml:space="preserve"> ((1.1*(10.35+2*1.2))+(1.1*(2.51+2.67)))*0.5</f>
        <v>9.8614999999999995</v>
      </c>
      <c r="H462" s="694"/>
      <c r="I462" s="955"/>
      <c r="K462" s="462"/>
      <c r="L462" s="463"/>
      <c r="M462" s="463"/>
      <c r="N462" s="463"/>
      <c r="O462" s="463"/>
      <c r="P462" s="463"/>
      <c r="Q462" s="463"/>
    </row>
    <row r="463" spans="2:17" s="461" customFormat="1" ht="15" x14ac:dyDescent="0.2">
      <c r="B463" s="689"/>
      <c r="C463" s="952"/>
      <c r="D463" s="707"/>
      <c r="E463" s="708"/>
      <c r="F463" s="510" t="s">
        <v>904</v>
      </c>
      <c r="G463" s="733">
        <f xml:space="preserve"> ((1.1*(10.35+2*1.2))+1.1*(2.6+2.94))*0.5</f>
        <v>10.0595</v>
      </c>
      <c r="H463" s="694"/>
      <c r="I463" s="955"/>
      <c r="K463" s="462"/>
      <c r="L463" s="463"/>
      <c r="M463" s="463"/>
      <c r="N463" s="463"/>
      <c r="O463" s="463"/>
      <c r="P463" s="463"/>
      <c r="Q463" s="463"/>
    </row>
    <row r="464" spans="2:17" s="461" customFormat="1" ht="15" x14ac:dyDescent="0.2">
      <c r="B464" s="689"/>
      <c r="C464" s="952"/>
      <c r="D464" s="707"/>
      <c r="E464" s="708"/>
      <c r="F464" s="738" t="s">
        <v>900</v>
      </c>
      <c r="G464" s="686">
        <f>SUM(G460:G463)</f>
        <v>68.753000000000014</v>
      </c>
      <c r="H464" s="694"/>
      <c r="I464" s="955"/>
      <c r="K464" s="462"/>
      <c r="L464" s="463"/>
      <c r="M464" s="463"/>
      <c r="N464" s="463"/>
      <c r="O464" s="463"/>
      <c r="P464" s="463"/>
      <c r="Q464" s="463"/>
    </row>
    <row r="465" spans="2:17" s="461" customFormat="1" ht="15" x14ac:dyDescent="0.2">
      <c r="B465" s="689"/>
      <c r="C465" s="952"/>
      <c r="D465" s="707"/>
      <c r="E465" s="708"/>
      <c r="F465" s="736" t="s">
        <v>906</v>
      </c>
      <c r="G465" s="686"/>
      <c r="H465" s="694"/>
      <c r="I465" s="955"/>
      <c r="K465" s="462"/>
      <c r="L465" s="463"/>
      <c r="M465" s="463"/>
      <c r="N465" s="463"/>
      <c r="O465" s="463"/>
      <c r="P465" s="463"/>
      <c r="Q465" s="463"/>
    </row>
    <row r="466" spans="2:17" s="461" customFormat="1" ht="15" x14ac:dyDescent="0.2">
      <c r="B466" s="689"/>
      <c r="C466" s="952"/>
      <c r="D466" s="707"/>
      <c r="E466" s="708"/>
      <c r="F466" s="510" t="s">
        <v>897</v>
      </c>
      <c r="G466" s="686">
        <f>((2*0.45*10*8.96)+(2*0.45*8.96)+(2*0.5*8.96))</f>
        <v>97.664000000000016</v>
      </c>
      <c r="H466" s="694"/>
      <c r="I466" s="955"/>
      <c r="K466" s="462"/>
      <c r="L466" s="463"/>
      <c r="M466" s="463"/>
      <c r="N466" s="463"/>
      <c r="O466" s="463"/>
      <c r="P466" s="463"/>
      <c r="Q466" s="463"/>
    </row>
    <row r="467" spans="2:17" s="461" customFormat="1" ht="15" x14ac:dyDescent="0.2">
      <c r="B467" s="689"/>
      <c r="C467" s="952"/>
      <c r="D467" s="707"/>
      <c r="E467" s="708"/>
      <c r="F467" s="737" t="s">
        <v>905</v>
      </c>
      <c r="G467" s="686"/>
      <c r="H467" s="694"/>
      <c r="I467" s="955"/>
      <c r="K467" s="462"/>
      <c r="L467" s="463"/>
      <c r="M467" s="463"/>
      <c r="N467" s="463"/>
      <c r="O467" s="463"/>
      <c r="P467" s="463"/>
      <c r="Q467" s="463"/>
    </row>
    <row r="468" spans="2:17" s="461" customFormat="1" ht="15" x14ac:dyDescent="0.2">
      <c r="B468" s="689"/>
      <c r="C468" s="952"/>
      <c r="D468" s="707"/>
      <c r="E468" s="708"/>
      <c r="F468" s="510" t="s">
        <v>898</v>
      </c>
      <c r="G468" s="686">
        <f xml:space="preserve"> ((1.1*(10.35+2*1.2))+(1.1*(2.51+2.67)))</f>
        <v>19.722999999999999</v>
      </c>
      <c r="H468" s="694"/>
      <c r="I468" s="955"/>
      <c r="K468" s="462"/>
      <c r="L468" s="463"/>
      <c r="M468" s="463"/>
      <c r="N468" s="463"/>
      <c r="O468" s="463"/>
      <c r="P468" s="463"/>
      <c r="Q468" s="463"/>
    </row>
    <row r="469" spans="2:17" s="461" customFormat="1" ht="15" x14ac:dyDescent="0.2">
      <c r="B469" s="689"/>
      <c r="C469" s="952"/>
      <c r="D469" s="707"/>
      <c r="E469" s="708"/>
      <c r="F469" s="510" t="s">
        <v>903</v>
      </c>
      <c r="G469" s="733">
        <f xml:space="preserve"> ((1.1*(10.35+2*1.2))+1.1*(2.6+2.94))</f>
        <v>20.119</v>
      </c>
      <c r="H469" s="694"/>
      <c r="I469" s="955"/>
      <c r="K469" s="462"/>
      <c r="L469" s="463"/>
      <c r="M469" s="463"/>
      <c r="N469" s="463"/>
      <c r="O469" s="463"/>
      <c r="P469" s="463"/>
      <c r="Q469" s="463"/>
    </row>
    <row r="470" spans="2:17" s="461" customFormat="1" ht="15" x14ac:dyDescent="0.2">
      <c r="B470" s="689"/>
      <c r="C470" s="952"/>
      <c r="D470" s="707"/>
      <c r="E470" s="708"/>
      <c r="F470" s="738" t="s">
        <v>902</v>
      </c>
      <c r="G470" s="686">
        <f>SUM(G466:G469)</f>
        <v>137.50600000000003</v>
      </c>
      <c r="H470" s="694"/>
      <c r="I470" s="955"/>
      <c r="K470" s="462"/>
      <c r="L470" s="463"/>
      <c r="M470" s="463"/>
      <c r="N470" s="463"/>
      <c r="O470" s="463"/>
      <c r="P470" s="463"/>
      <c r="Q470" s="463"/>
    </row>
    <row r="471" spans="2:17" s="461" customFormat="1" ht="15" x14ac:dyDescent="0.2">
      <c r="B471" s="689"/>
      <c r="C471" s="952"/>
      <c r="D471" s="707"/>
      <c r="E471" s="708"/>
      <c r="F471" s="848"/>
      <c r="G471" s="954"/>
      <c r="H471" s="694"/>
      <c r="I471" s="955"/>
      <c r="K471" s="462"/>
      <c r="L471" s="463"/>
      <c r="M471" s="463"/>
      <c r="N471" s="463"/>
      <c r="O471" s="463"/>
      <c r="P471" s="463"/>
      <c r="Q471" s="463"/>
    </row>
    <row r="472" spans="2:17" s="461" customFormat="1" ht="25.5" x14ac:dyDescent="0.2">
      <c r="B472" s="823"/>
      <c r="C472" s="834" t="s">
        <v>414</v>
      </c>
      <c r="D472" s="834"/>
      <c r="E472" s="748"/>
      <c r="F472" s="835" t="s">
        <v>415</v>
      </c>
      <c r="G472" s="897"/>
      <c r="H472" s="891"/>
      <c r="I472" s="951"/>
      <c r="K472" s="462"/>
      <c r="L472" s="463"/>
      <c r="M472" s="463"/>
      <c r="N472" s="463"/>
      <c r="O472" s="463"/>
      <c r="P472" s="463"/>
      <c r="Q472" s="463"/>
    </row>
    <row r="473" spans="2:17" s="461" customFormat="1" ht="15" x14ac:dyDescent="0.2">
      <c r="B473" s="820"/>
      <c r="C473" s="952"/>
      <c r="D473" s="838"/>
      <c r="E473" s="839"/>
      <c r="F473" s="727"/>
      <c r="G473" s="733"/>
      <c r="H473" s="684"/>
      <c r="I473" s="953"/>
      <c r="K473" s="462"/>
      <c r="L473" s="463"/>
      <c r="M473" s="463"/>
      <c r="N473" s="463"/>
      <c r="O473" s="463"/>
      <c r="P473" s="463"/>
      <c r="Q473" s="463"/>
    </row>
    <row r="474" spans="2:17" s="461" customFormat="1" ht="25.5" customHeight="1" x14ac:dyDescent="0.2">
      <c r="B474" s="689">
        <f>MAX(B$5:B472)+1</f>
        <v>74</v>
      </c>
      <c r="C474" s="952"/>
      <c r="D474" s="690" t="s">
        <v>859</v>
      </c>
      <c r="E474" s="691"/>
      <c r="F474" s="692" t="s">
        <v>860</v>
      </c>
      <c r="G474" s="693"/>
      <c r="H474" s="694" t="s">
        <v>12</v>
      </c>
      <c r="I474" s="955">
        <f>I487+I479+I475</f>
        <v>272.42700000000002</v>
      </c>
      <c r="K474" s="462"/>
      <c r="L474" s="463"/>
      <c r="M474" s="463"/>
      <c r="N474" s="463"/>
      <c r="O474" s="463"/>
      <c r="P474" s="463"/>
      <c r="Q474" s="463"/>
    </row>
    <row r="475" spans="2:17" s="461" customFormat="1" ht="24.75" customHeight="1" x14ac:dyDescent="0.2">
      <c r="B475" s="820"/>
      <c r="C475" s="952"/>
      <c r="D475" s="838"/>
      <c r="E475" s="725" t="s">
        <v>865</v>
      </c>
      <c r="F475" s="461" t="s">
        <v>866</v>
      </c>
      <c r="G475" s="957"/>
      <c r="H475" s="732" t="s">
        <v>12</v>
      </c>
      <c r="I475" s="953">
        <f>G477</f>
        <v>92.736000000000004</v>
      </c>
      <c r="K475" s="462"/>
      <c r="L475" s="463"/>
      <c r="M475" s="463"/>
      <c r="N475" s="463"/>
      <c r="O475" s="463"/>
      <c r="P475" s="463"/>
      <c r="Q475" s="463"/>
    </row>
    <row r="476" spans="2:17" s="461" customFormat="1" ht="15" x14ac:dyDescent="0.2">
      <c r="B476" s="820"/>
      <c r="C476" s="952"/>
      <c r="D476" s="838"/>
      <c r="E476" s="839"/>
      <c r="F476" s="715" t="s">
        <v>722</v>
      </c>
      <c r="G476" s="686"/>
      <c r="H476" s="684"/>
      <c r="I476" s="953"/>
      <c r="K476" s="462"/>
      <c r="L476" s="463"/>
      <c r="M476" s="463"/>
      <c r="N476" s="463"/>
      <c r="O476" s="463"/>
      <c r="P476" s="463"/>
      <c r="Q476" s="463"/>
    </row>
    <row r="477" spans="2:17" s="461" customFormat="1" ht="15" x14ac:dyDescent="0.2">
      <c r="B477" s="820"/>
      <c r="C477" s="952"/>
      <c r="D477" s="838"/>
      <c r="E477" s="839"/>
      <c r="F477" s="715" t="s">
        <v>823</v>
      </c>
      <c r="G477" s="686">
        <f>10.35*8.96</f>
        <v>92.736000000000004</v>
      </c>
      <c r="H477" s="684"/>
      <c r="I477" s="953"/>
      <c r="K477" s="462"/>
      <c r="L477" s="463"/>
      <c r="M477" s="463"/>
      <c r="N477" s="463"/>
      <c r="O477" s="463"/>
      <c r="P477" s="463"/>
      <c r="Q477" s="463"/>
    </row>
    <row r="478" spans="2:17" s="461" customFormat="1" ht="15" x14ac:dyDescent="0.2">
      <c r="B478" s="820"/>
      <c r="C478" s="952"/>
      <c r="D478" s="838"/>
      <c r="E478" s="839"/>
      <c r="F478" s="727"/>
      <c r="G478" s="733"/>
      <c r="H478" s="684"/>
      <c r="I478" s="953"/>
      <c r="K478" s="462"/>
      <c r="L478" s="463"/>
      <c r="M478" s="463"/>
      <c r="N478" s="463"/>
      <c r="O478" s="463"/>
      <c r="P478" s="463"/>
      <c r="Q478" s="463"/>
    </row>
    <row r="479" spans="2:17" s="461" customFormat="1" ht="24.75" customHeight="1" x14ac:dyDescent="0.2">
      <c r="B479" s="820"/>
      <c r="C479" s="952"/>
      <c r="D479" s="838"/>
      <c r="E479" s="775" t="s">
        <v>863</v>
      </c>
      <c r="F479" s="776" t="s">
        <v>864</v>
      </c>
      <c r="G479" s="777"/>
      <c r="H479" s="732" t="s">
        <v>12</v>
      </c>
      <c r="I479" s="953">
        <f>G485</f>
        <v>137.50600000000003</v>
      </c>
      <c r="K479" s="462"/>
      <c r="L479" s="463"/>
      <c r="M479" s="463"/>
      <c r="N479" s="463"/>
      <c r="O479" s="463"/>
      <c r="P479" s="463"/>
      <c r="Q479" s="463"/>
    </row>
    <row r="480" spans="2:17" s="461" customFormat="1" ht="15" x14ac:dyDescent="0.2">
      <c r="B480" s="820"/>
      <c r="C480" s="952"/>
      <c r="D480" s="838"/>
      <c r="E480" s="839"/>
      <c r="F480" s="715" t="s">
        <v>723</v>
      </c>
      <c r="G480" s="686"/>
      <c r="H480" s="684"/>
      <c r="I480" s="953"/>
      <c r="K480" s="462"/>
      <c r="L480" s="463"/>
      <c r="M480" s="463"/>
      <c r="N480" s="463"/>
      <c r="O480" s="463"/>
      <c r="P480" s="463"/>
      <c r="Q480" s="463"/>
    </row>
    <row r="481" spans="2:17" s="461" customFormat="1" ht="15" x14ac:dyDescent="0.2">
      <c r="B481" s="820"/>
      <c r="C481" s="952"/>
      <c r="D481" s="838"/>
      <c r="E481" s="839"/>
      <c r="F481" s="463" t="s">
        <v>822</v>
      </c>
      <c r="G481" s="686">
        <f>(2*0.45*10*8.96)+(2*0.45*8.96)+(2*0.5*8.96)</f>
        <v>97.664000000000016</v>
      </c>
      <c r="H481" s="684"/>
      <c r="I481" s="953"/>
      <c r="K481" s="462"/>
      <c r="L481" s="463"/>
      <c r="M481" s="463"/>
      <c r="N481" s="463"/>
      <c r="O481" s="463"/>
      <c r="P481" s="463"/>
      <c r="Q481" s="463"/>
    </row>
    <row r="482" spans="2:17" s="461" customFormat="1" ht="15" x14ac:dyDescent="0.2">
      <c r="B482" s="820"/>
      <c r="C482" s="952"/>
      <c r="D482" s="838"/>
      <c r="E482" s="839"/>
      <c r="F482" s="737" t="s">
        <v>907</v>
      </c>
      <c r="G482" s="686"/>
      <c r="H482" s="684"/>
      <c r="I482" s="953"/>
      <c r="K482" s="462"/>
      <c r="L482" s="463"/>
      <c r="M482" s="463"/>
      <c r="N482" s="463"/>
      <c r="O482" s="463"/>
      <c r="P482" s="463"/>
      <c r="Q482" s="463"/>
    </row>
    <row r="483" spans="2:17" s="461" customFormat="1" ht="15" x14ac:dyDescent="0.2">
      <c r="B483" s="820"/>
      <c r="C483" s="952"/>
      <c r="D483" s="838"/>
      <c r="E483" s="839"/>
      <c r="F483" s="510" t="s">
        <v>898</v>
      </c>
      <c r="G483" s="686">
        <f xml:space="preserve"> ((1.1*(10.35+2*1.2))+(1.1*(2.51+2.67)))</f>
        <v>19.722999999999999</v>
      </c>
      <c r="H483" s="684"/>
      <c r="I483" s="953"/>
      <c r="K483" s="462"/>
      <c r="L483" s="463"/>
      <c r="M483" s="463"/>
      <c r="N483" s="463"/>
      <c r="O483" s="463"/>
      <c r="P483" s="463"/>
      <c r="Q483" s="463"/>
    </row>
    <row r="484" spans="2:17" s="461" customFormat="1" ht="15" x14ac:dyDescent="0.2">
      <c r="B484" s="820"/>
      <c r="C484" s="952"/>
      <c r="D484" s="838"/>
      <c r="E484" s="839"/>
      <c r="F484" s="510" t="s">
        <v>903</v>
      </c>
      <c r="G484" s="733">
        <f xml:space="preserve"> ((1.1*(10.35+2*1.2))+1.1*(2.6+2.94))</f>
        <v>20.119</v>
      </c>
      <c r="H484" s="684"/>
      <c r="I484" s="953"/>
      <c r="K484" s="462"/>
      <c r="L484" s="463"/>
      <c r="M484" s="463"/>
      <c r="N484" s="463"/>
      <c r="O484" s="463"/>
      <c r="P484" s="463"/>
      <c r="Q484" s="463"/>
    </row>
    <row r="485" spans="2:17" s="461" customFormat="1" ht="15" x14ac:dyDescent="0.2">
      <c r="B485" s="820"/>
      <c r="C485" s="952"/>
      <c r="D485" s="838"/>
      <c r="E485" s="839"/>
      <c r="F485" s="738" t="s">
        <v>250</v>
      </c>
      <c r="G485" s="686">
        <f>SUM(G481:G484)</f>
        <v>137.50600000000003</v>
      </c>
      <c r="H485" s="684"/>
      <c r="I485" s="953"/>
      <c r="K485" s="462"/>
      <c r="L485" s="463"/>
      <c r="M485" s="463"/>
      <c r="N485" s="463"/>
      <c r="O485" s="463"/>
      <c r="P485" s="463"/>
      <c r="Q485" s="463"/>
    </row>
    <row r="486" spans="2:17" s="461" customFormat="1" ht="15" x14ac:dyDescent="0.2">
      <c r="B486" s="820"/>
      <c r="C486" s="952"/>
      <c r="D486" s="838"/>
      <c r="E486" s="839"/>
      <c r="F486" s="727"/>
      <c r="G486" s="733"/>
      <c r="H486" s="684"/>
      <c r="I486" s="953"/>
      <c r="K486" s="462"/>
      <c r="L486" s="463"/>
      <c r="M486" s="463"/>
      <c r="N486" s="463"/>
      <c r="O486" s="463"/>
      <c r="P486" s="463"/>
      <c r="Q486" s="463"/>
    </row>
    <row r="487" spans="2:17" s="461" customFormat="1" ht="25.5" x14ac:dyDescent="0.2">
      <c r="B487" s="820"/>
      <c r="C487" s="952"/>
      <c r="D487" s="838"/>
      <c r="E487" s="775" t="s">
        <v>861</v>
      </c>
      <c r="F487" s="776" t="s">
        <v>862</v>
      </c>
      <c r="G487" s="777"/>
      <c r="H487" s="778" t="s">
        <v>12</v>
      </c>
      <c r="I487" s="953">
        <f>G490</f>
        <v>42.185000000000002</v>
      </c>
      <c r="K487" s="462"/>
      <c r="L487" s="463"/>
      <c r="M487" s="463"/>
      <c r="N487" s="463"/>
      <c r="O487" s="463"/>
      <c r="P487" s="463"/>
      <c r="Q487" s="463"/>
    </row>
    <row r="488" spans="2:17" s="461" customFormat="1" ht="15" x14ac:dyDescent="0.2">
      <c r="B488" s="820"/>
      <c r="C488" s="952"/>
      <c r="D488" s="838"/>
      <c r="E488" s="839"/>
      <c r="F488" s="735" t="s">
        <v>820</v>
      </c>
      <c r="G488" s="686">
        <f>(0.9+0.13)*(15+14.5)</f>
        <v>30.385000000000002</v>
      </c>
      <c r="H488" s="684"/>
      <c r="I488" s="953"/>
      <c r="K488" s="462"/>
      <c r="L488" s="463"/>
      <c r="M488" s="463"/>
      <c r="N488" s="463"/>
      <c r="O488" s="463"/>
      <c r="P488" s="463"/>
      <c r="Q488" s="463"/>
    </row>
    <row r="489" spans="2:17" s="461" customFormat="1" ht="15" x14ac:dyDescent="0.2">
      <c r="B489" s="820"/>
      <c r="C489" s="952"/>
      <c r="D489" s="838"/>
      <c r="E489" s="839"/>
      <c r="F489" s="735" t="s">
        <v>821</v>
      </c>
      <c r="G489" s="733">
        <f xml:space="preserve"> (0.25+0.15)*(15+14.5)</f>
        <v>11.8</v>
      </c>
      <c r="H489" s="684"/>
      <c r="I489" s="953"/>
      <c r="K489" s="462"/>
      <c r="L489" s="463"/>
      <c r="M489" s="463"/>
      <c r="N489" s="463"/>
      <c r="O489" s="463"/>
      <c r="P489" s="463"/>
      <c r="Q489" s="463"/>
    </row>
    <row r="490" spans="2:17" s="461" customFormat="1" ht="15" x14ac:dyDescent="0.2">
      <c r="B490" s="820"/>
      <c r="C490" s="952"/>
      <c r="D490" s="838"/>
      <c r="E490" s="839"/>
      <c r="F490" s="721" t="s">
        <v>298</v>
      </c>
      <c r="G490" s="686">
        <f>SUM(G488:G489)</f>
        <v>42.185000000000002</v>
      </c>
      <c r="H490" s="684"/>
      <c r="I490" s="953"/>
      <c r="K490" s="462"/>
      <c r="L490" s="463"/>
      <c r="M490" s="463"/>
      <c r="N490" s="463"/>
      <c r="O490" s="463"/>
      <c r="P490" s="463"/>
      <c r="Q490" s="463"/>
    </row>
    <row r="491" spans="2:17" s="461" customFormat="1" ht="13.5" thickBot="1" x14ac:dyDescent="0.25">
      <c r="B491" s="958"/>
      <c r="C491" s="959"/>
      <c r="D491" s="960"/>
      <c r="E491" s="960"/>
      <c r="F491" s="961"/>
      <c r="G491" s="962"/>
      <c r="H491" s="960"/>
      <c r="I491" s="963"/>
      <c r="K491" s="462"/>
      <c r="L491" s="463"/>
      <c r="M491" s="463"/>
      <c r="N491" s="463"/>
      <c r="O491" s="463"/>
      <c r="P491" s="463"/>
      <c r="Q491" s="463"/>
    </row>
    <row r="494" spans="2:17" s="461" customFormat="1" ht="15.75" customHeight="1" x14ac:dyDescent="0.2">
      <c r="B494" s="556"/>
      <c r="C494" s="630"/>
      <c r="D494" s="631"/>
      <c r="E494" s="631"/>
      <c r="F494" s="463"/>
      <c r="G494" s="624"/>
      <c r="H494" s="631"/>
      <c r="I494" s="632"/>
      <c r="K494" s="462"/>
      <c r="L494" s="463"/>
      <c r="M494" s="463"/>
      <c r="N494" s="463"/>
      <c r="O494" s="463"/>
      <c r="P494" s="463"/>
      <c r="Q494" s="463"/>
    </row>
  </sheetData>
  <sheetProtection algorithmName="SHA-512" hashValue="rPqV2awAe1IWcZH5ZzwZqoMiYu95DKtdoLa8IFjEPVemB4FBD39W5T7CLZDE7mPWYpIdrP/weErB3AaAnnHazw==" saltValue="q1eGng3Cp9gpTvL2PjHE7A==" spinCount="100000" sheet="1" objects="1" scenarios="1" selectLockedCells="1"/>
  <mergeCells count="5">
    <mergeCell ref="F1:I1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 x14ac:dyDescent="0.2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 x14ac:dyDescent="0.2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 x14ac:dyDescent="0.25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 x14ac:dyDescent="0.2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 x14ac:dyDescent="0.2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 x14ac:dyDescent="0.2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 x14ac:dyDescent="0.2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 x14ac:dyDescent="0.2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 x14ac:dyDescent="0.2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 x14ac:dyDescent="0.2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 x14ac:dyDescent="0.2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 x14ac:dyDescent="0.2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 x14ac:dyDescent="0.2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10510.000000000002</v>
      </c>
    </row>
    <row r="14" spans="1:10" x14ac:dyDescent="0.2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99.243200000000002</v>
      </c>
    </row>
    <row r="15" spans="1:10" s="120" customFormat="1" x14ac:dyDescent="0.2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 x14ac:dyDescent="0.2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 x14ac:dyDescent="0.2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 x14ac:dyDescent="0.2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 x14ac:dyDescent="0.2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 x14ac:dyDescent="0.2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 x14ac:dyDescent="0.2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 x14ac:dyDescent="0.2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10.97412125</v>
      </c>
    </row>
    <row r="23" spans="1:16" s="120" customFormat="1" ht="25.5" x14ac:dyDescent="0.2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14.669150000000002</v>
      </c>
      <c r="K23" s="128"/>
      <c r="L23" s="128"/>
      <c r="M23" s="128"/>
      <c r="N23" s="128"/>
      <c r="O23" s="128"/>
      <c r="P23" s="128"/>
    </row>
    <row r="24" spans="1:16" s="120" customFormat="1" ht="25.5" x14ac:dyDescent="0.2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2.0590000000000002</v>
      </c>
      <c r="K24" s="128"/>
      <c r="L24" s="128"/>
      <c r="M24" s="128"/>
      <c r="N24" s="128"/>
      <c r="O24" s="128"/>
      <c r="P24" s="128"/>
    </row>
    <row r="25" spans="1:16" s="299" customFormat="1" ht="25.5" x14ac:dyDescent="0.2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13.539239999999999</v>
      </c>
      <c r="K25" s="128"/>
      <c r="L25" s="128"/>
      <c r="M25" s="128"/>
      <c r="N25" s="128"/>
      <c r="O25" s="128"/>
      <c r="P25" s="128"/>
    </row>
    <row r="26" spans="1:16" s="120" customFormat="1" ht="25.5" x14ac:dyDescent="0.2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41.644999999999996</v>
      </c>
      <c r="K26" s="128"/>
      <c r="L26" s="128"/>
      <c r="M26" s="128"/>
      <c r="N26" s="128"/>
      <c r="O26" s="128"/>
      <c r="P26" s="128"/>
    </row>
    <row r="27" spans="1:16" s="120" customFormat="1" ht="25.5" x14ac:dyDescent="0.2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 x14ac:dyDescent="0.2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11.0466</v>
      </c>
      <c r="K28" s="128"/>
      <c r="L28" s="128"/>
      <c r="M28" s="128"/>
      <c r="N28" s="128"/>
      <c r="O28" s="128"/>
      <c r="P28" s="128"/>
    </row>
    <row r="29" spans="1:16" s="299" customFormat="1" ht="25.5" x14ac:dyDescent="0.2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6.8400000000000007</v>
      </c>
      <c r="K29" s="128"/>
      <c r="L29" s="128"/>
      <c r="M29" s="128"/>
      <c r="N29" s="128"/>
      <c r="O29" s="128"/>
      <c r="P29" s="128"/>
    </row>
    <row r="30" spans="1:16" s="299" customFormat="1" ht="25.5" x14ac:dyDescent="0.2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1.5229999999999999</v>
      </c>
      <c r="K30" s="128"/>
      <c r="L30" s="128"/>
      <c r="M30" s="128"/>
      <c r="N30" s="128"/>
      <c r="O30" s="128"/>
      <c r="P30" s="128"/>
    </row>
    <row r="31" spans="1:16" s="120" customFormat="1" x14ac:dyDescent="0.2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 x14ac:dyDescent="0.2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 x14ac:dyDescent="0.2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 x14ac:dyDescent="0.2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 x14ac:dyDescent="0.2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 x14ac:dyDescent="0.2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 x14ac:dyDescent="0.2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 x14ac:dyDescent="0.2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 x14ac:dyDescent="0.2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 x14ac:dyDescent="0.2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 x14ac:dyDescent="0.2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 x14ac:dyDescent="0.2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30.549999999999997</v>
      </c>
      <c r="K42" s="128"/>
      <c r="L42" s="128"/>
      <c r="M42" s="128"/>
      <c r="N42" s="128"/>
      <c r="O42" s="128"/>
      <c r="P42" s="128"/>
    </row>
    <row r="43" spans="1:16" s="120" customFormat="1" ht="25.5" x14ac:dyDescent="0.2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 x14ac:dyDescent="0.2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 x14ac:dyDescent="0.2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 x14ac:dyDescent="0.2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 x14ac:dyDescent="0.2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 x14ac:dyDescent="0.2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 x14ac:dyDescent="0.2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 x14ac:dyDescent="0.2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 x14ac:dyDescent="0.2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 x14ac:dyDescent="0.2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 x14ac:dyDescent="0.2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21.900000000000002</v>
      </c>
      <c r="K53" s="128"/>
      <c r="L53" s="128"/>
      <c r="M53" s="128"/>
      <c r="N53" s="128"/>
      <c r="O53" s="128"/>
      <c r="P53" s="128"/>
    </row>
    <row r="54" spans="1:16" s="120" customFormat="1" x14ac:dyDescent="0.2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 x14ac:dyDescent="0.2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 x14ac:dyDescent="0.2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0.24492000000000003</v>
      </c>
      <c r="K56" s="128"/>
      <c r="L56" s="128"/>
      <c r="M56" s="128"/>
      <c r="N56" s="128"/>
      <c r="O56" s="128"/>
      <c r="P56" s="128"/>
    </row>
    <row r="57" spans="1:16" s="120" customFormat="1" ht="25.5" x14ac:dyDescent="0.2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54.625</v>
      </c>
      <c r="K57" s="128"/>
      <c r="L57" s="128"/>
      <c r="M57" s="128"/>
      <c r="N57" s="128"/>
      <c r="O57" s="128"/>
      <c r="P57" s="128"/>
    </row>
    <row r="58" spans="1:16" s="120" customFormat="1" ht="25.5" x14ac:dyDescent="0.2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 x14ac:dyDescent="0.2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219.0488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 x14ac:dyDescent="0.2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 x14ac:dyDescent="0.2">
      <c r="B2" s="37" t="s">
        <v>149</v>
      </c>
      <c r="C2" s="34"/>
      <c r="D2" s="36" t="s">
        <v>459</v>
      </c>
      <c r="E2" s="37"/>
      <c r="F2" s="369"/>
    </row>
    <row r="3" spans="1:6" ht="13.5" thickBot="1" x14ac:dyDescent="0.25">
      <c r="B3" s="43" t="s">
        <v>150</v>
      </c>
      <c r="C3" s="34"/>
      <c r="D3" s="42">
        <v>2141</v>
      </c>
      <c r="E3" s="43"/>
      <c r="F3" s="369"/>
    </row>
    <row r="4" spans="1:6" x14ac:dyDescent="0.2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 x14ac:dyDescent="0.2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 x14ac:dyDescent="0.2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 x14ac:dyDescent="0.2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 x14ac:dyDescent="0.2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 x14ac:dyDescent="0.2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 x14ac:dyDescent="0.2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 x14ac:dyDescent="0.2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 x14ac:dyDescent="0.2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 x14ac:dyDescent="0.2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10510.000000000002</v>
      </c>
    </row>
    <row r="14" spans="1:6" x14ac:dyDescent="0.2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99.243200000000002</v>
      </c>
    </row>
    <row r="15" spans="1:6" s="120" customFormat="1" x14ac:dyDescent="0.2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 x14ac:dyDescent="0.2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 x14ac:dyDescent="0.2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 x14ac:dyDescent="0.2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 x14ac:dyDescent="0.2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 x14ac:dyDescent="0.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 x14ac:dyDescent="0.2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 x14ac:dyDescent="0.2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10.97412125</v>
      </c>
    </row>
    <row r="23" spans="1:12" s="120" customFormat="1" ht="25.5" x14ac:dyDescent="0.2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14.669150000000002</v>
      </c>
      <c r="G23" s="128"/>
      <c r="H23" s="128"/>
      <c r="I23" s="128"/>
      <c r="J23" s="128"/>
      <c r="K23" s="128"/>
      <c r="L23" s="128"/>
    </row>
    <row r="24" spans="1:12" s="120" customFormat="1" ht="25.5" x14ac:dyDescent="0.2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2.0590000000000002</v>
      </c>
      <c r="G24" s="128"/>
      <c r="H24" s="128"/>
      <c r="I24" s="128"/>
      <c r="J24" s="128"/>
      <c r="K24" s="128"/>
      <c r="L24" s="128"/>
    </row>
    <row r="25" spans="1:12" s="299" customFormat="1" ht="25.5" x14ac:dyDescent="0.2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13.539239999999999</v>
      </c>
      <c r="G25" s="128"/>
      <c r="H25" s="128"/>
      <c r="I25" s="128"/>
      <c r="J25" s="128"/>
      <c r="K25" s="128"/>
      <c r="L25" s="128"/>
    </row>
    <row r="26" spans="1:12" s="120" customFormat="1" ht="25.5" x14ac:dyDescent="0.2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41.644999999999996</v>
      </c>
      <c r="G26" s="128"/>
      <c r="H26" s="128"/>
      <c r="I26" s="128"/>
      <c r="J26" s="128"/>
      <c r="K26" s="128"/>
      <c r="L26" s="128"/>
    </row>
    <row r="27" spans="1:12" s="120" customFormat="1" ht="25.5" x14ac:dyDescent="0.2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 x14ac:dyDescent="0.2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11.0466</v>
      </c>
      <c r="G28" s="128"/>
      <c r="H28" s="128"/>
      <c r="I28" s="128"/>
      <c r="J28" s="128"/>
      <c r="K28" s="128"/>
      <c r="L28" s="128"/>
    </row>
    <row r="29" spans="1:12" s="299" customFormat="1" ht="25.5" x14ac:dyDescent="0.2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6.8400000000000007</v>
      </c>
      <c r="G29" s="128"/>
      <c r="H29" s="128"/>
      <c r="I29" s="128"/>
      <c r="J29" s="128"/>
      <c r="K29" s="128"/>
      <c r="L29" s="128"/>
    </row>
    <row r="30" spans="1:12" s="299" customFormat="1" ht="25.5" x14ac:dyDescent="0.2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1.5229999999999999</v>
      </c>
      <c r="G30" s="128"/>
      <c r="H30" s="128"/>
      <c r="I30" s="128"/>
      <c r="J30" s="128"/>
      <c r="K30" s="128"/>
      <c r="L30" s="128"/>
    </row>
    <row r="31" spans="1:12" s="120" customFormat="1" x14ac:dyDescent="0.2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 x14ac:dyDescent="0.2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 x14ac:dyDescent="0.2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 x14ac:dyDescent="0.2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 x14ac:dyDescent="0.2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 x14ac:dyDescent="0.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 x14ac:dyDescent="0.2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 x14ac:dyDescent="0.2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 x14ac:dyDescent="0.2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 x14ac:dyDescent="0.2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 x14ac:dyDescent="0.2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 x14ac:dyDescent="0.2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30.549999999999997</v>
      </c>
      <c r="G42" s="128"/>
      <c r="H42" s="128"/>
      <c r="I42" s="128"/>
      <c r="J42" s="128"/>
      <c r="K42" s="128"/>
      <c r="L42" s="128"/>
    </row>
    <row r="43" spans="1:12" s="120" customFormat="1" ht="25.5" x14ac:dyDescent="0.2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 x14ac:dyDescent="0.2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 x14ac:dyDescent="0.2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 x14ac:dyDescent="0.2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 x14ac:dyDescent="0.2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 x14ac:dyDescent="0.2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 x14ac:dyDescent="0.2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 x14ac:dyDescent="0.2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 x14ac:dyDescent="0.2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 x14ac:dyDescent="0.2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 x14ac:dyDescent="0.2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21.900000000000002</v>
      </c>
      <c r="G53" s="128"/>
      <c r="H53" s="128"/>
      <c r="I53" s="128"/>
      <c r="J53" s="128"/>
      <c r="K53" s="128"/>
      <c r="L53" s="128"/>
    </row>
    <row r="54" spans="1:12" s="120" customFormat="1" x14ac:dyDescent="0.2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 x14ac:dyDescent="0.2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 x14ac:dyDescent="0.2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0.24492000000000003</v>
      </c>
      <c r="G56" s="128"/>
      <c r="H56" s="128"/>
      <c r="I56" s="128"/>
      <c r="J56" s="128"/>
      <c r="K56" s="128"/>
      <c r="L56" s="128"/>
    </row>
    <row r="57" spans="1:12" s="120" customFormat="1" ht="25.5" x14ac:dyDescent="0.2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54.625</v>
      </c>
      <c r="G57" s="128"/>
      <c r="H57" s="128"/>
      <c r="I57" s="128"/>
      <c r="J57" s="128"/>
      <c r="K57" s="128"/>
      <c r="L57" s="128"/>
    </row>
    <row r="58" spans="1:12" s="120" customFormat="1" ht="25.5" x14ac:dyDescent="0.2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 x14ac:dyDescent="0.2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219.0488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Pulscak</cp:lastModifiedBy>
  <cp:lastPrinted>2020-01-24T10:35:24Z</cp:lastPrinted>
  <dcterms:created xsi:type="dcterms:W3CDTF">2006-07-18T11:06:48Z</dcterms:created>
  <dcterms:modified xsi:type="dcterms:W3CDTF">2020-01-28T07:54:26Z</dcterms:modified>
</cp:coreProperties>
</file>