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G:\Projekty 2011 Prodosing\2019\NDS Mosty_3\Krasno n K\Pripomienky zo sutaze\2 Oprava VV\"/>
    </mc:Choice>
  </mc:AlternateContent>
  <xr:revisionPtr revIDLastSave="0" documentId="13_ncr:1_{C9955A39-B24C-43B2-8C20-8D23C04A591E}" xr6:coauthVersionLast="45" xr6:coauthVersionMax="45" xr10:uidLastSave="{00000000-0000-0000-0000-000000000000}"/>
  <bookViews>
    <workbookView xWindow="31020" yWindow="915" windowWidth="25425" windowHeight="14280" tabRatio="738" firstSheet="2" activeTab="5" xr2:uid="{00000000-000D-0000-FFFF-FFFF00000000}"/>
  </bookViews>
  <sheets>
    <sheet name="201-00 Most I-66-042 gabo" sheetId="18" state="hidden" r:id="rId1"/>
    <sheet name="201-00 Most I-66-042" sheetId="19" state="hidden" r:id="rId2"/>
    <sheet name="01_Rekapitulacia" sheetId="22" r:id="rId3"/>
    <sheet name="02_SupisPrac" sheetId="25" r:id="rId4"/>
    <sheet name="03_CastiStavby" sheetId="26" r:id="rId5"/>
    <sheet name="04_PopisPoloziek" sheetId="24" r:id="rId6"/>
    <sheet name="201-00 Most I-66-042 (2)" sheetId="20" state="hidden" r:id="rId7"/>
    <sheet name="201-00 Most I-66-042 (3)" sheetId="21" state="hidden" r:id="rId8"/>
  </sheets>
  <definedNames>
    <definedName name="KONIECA" localSheetId="2">'201-00 Most I-66-042 (2)'!#REF!</definedName>
    <definedName name="KONIECA" localSheetId="3">'201-00 Most I-66-042 (2)'!#REF!</definedName>
    <definedName name="KONIECA" localSheetId="4">'201-00 Most I-66-042 (2)'!#REF!</definedName>
    <definedName name="KONIECA" localSheetId="5">'201-00 Most I-66-042 (2)'!#REF!</definedName>
    <definedName name="KONIECA" localSheetId="7">'201-00 Most I-66-042 (3)'!#REF!</definedName>
    <definedName name="KONIECA">'201-00 Most I-66-042 (2)'!#REF!</definedName>
    <definedName name="KONIECB" localSheetId="2">'201-00 Most I-66-042 (2)'!#REF!</definedName>
    <definedName name="KONIECB" localSheetId="3">'201-00 Most I-66-042 (2)'!#REF!</definedName>
    <definedName name="KONIECB" localSheetId="4">'201-00 Most I-66-042 (2)'!#REF!</definedName>
    <definedName name="KONIECB" localSheetId="5">'201-00 Most I-66-042 (2)'!#REF!</definedName>
    <definedName name="KONIECB" localSheetId="7">'201-00 Most I-66-042 (3)'!#REF!</definedName>
    <definedName name="KONIECB">'201-00 Most I-66-042 (2)'!#REF!</definedName>
    <definedName name="KONIECC" localSheetId="2">'201-00 Most I-66-042 (2)'!#REF!</definedName>
    <definedName name="KONIECC" localSheetId="3">'201-00 Most I-66-042 (2)'!#REF!</definedName>
    <definedName name="KONIECC" localSheetId="4">'201-00 Most I-66-042 (2)'!#REF!</definedName>
    <definedName name="KONIECC" localSheetId="5">'201-00 Most I-66-042 (2)'!#REF!</definedName>
    <definedName name="KONIECC" localSheetId="7">'201-00 Most I-66-042 (3)'!#REF!</definedName>
    <definedName name="KONIECC">'201-00 Most I-66-042 (2)'!#REF!</definedName>
    <definedName name="KONIECKP" localSheetId="2">'201-00 Most I-66-042 (2)'!#REF!</definedName>
    <definedName name="KONIECKP" localSheetId="3">'201-00 Most I-66-042 (2)'!#REF!</definedName>
    <definedName name="KONIECKP" localSheetId="4">'201-00 Most I-66-042 (2)'!#REF!</definedName>
    <definedName name="KONIECKP" localSheetId="5">'201-00 Most I-66-042 (2)'!#REF!</definedName>
    <definedName name="KONIECKP" localSheetId="7">'201-00 Most I-66-042 (3)'!#REF!</definedName>
    <definedName name="KONIECKP">'201-00 Most I-66-042 (2)'!#REF!</definedName>
    <definedName name="KONIECPRDL" localSheetId="2">'201-00 Most I-66-042 (2)'!#REF!</definedName>
    <definedName name="KONIECPRDL" localSheetId="3">'201-00 Most I-66-042 (2)'!#REF!</definedName>
    <definedName name="KONIECPRDL" localSheetId="4">'201-00 Most I-66-042 (2)'!#REF!</definedName>
    <definedName name="KONIECPRDL" localSheetId="5">'201-00 Most I-66-042 (2)'!#REF!</definedName>
    <definedName name="KONIECPRDL" localSheetId="7">'201-00 Most I-66-042 (3)'!#REF!</definedName>
    <definedName name="KONIECPRDL">'201-00 Most I-66-042 (2)'!#REF!</definedName>
    <definedName name="KONIECSP" localSheetId="2">'201-00 Most I-66-042 (2)'!#REF!</definedName>
    <definedName name="KONIECSP" localSheetId="3">'201-00 Most I-66-042 (2)'!#REF!</definedName>
    <definedName name="KONIECSP" localSheetId="4">'201-00 Most I-66-042 (2)'!#REF!</definedName>
    <definedName name="KONIECSP" localSheetId="5">'201-00 Most I-66-042 (2)'!#REF!</definedName>
    <definedName name="KONIECSP" localSheetId="7">'201-00 Most I-66-042 (3)'!#REF!</definedName>
    <definedName name="KONIECSP">'201-00 Most I-66-042 (2)'!#REF!</definedName>
    <definedName name="_xlnm.Print_Titles" localSheetId="3">'02_SupisPrac'!$1:$7</definedName>
    <definedName name="_xlnm.Print_Titles" localSheetId="4">'03_CastiStavby'!$1:$7</definedName>
    <definedName name="_xlnm.Print_Titles" localSheetId="5">'04_PopisPoloziek'!$6:$7</definedName>
    <definedName name="_xlnm.Print_Titles" localSheetId="1">'201-00 Most I-66-042'!$4:$5</definedName>
    <definedName name="_xlnm.Print_Titles" localSheetId="6">'201-00 Most I-66-042 (2)'!$4:$4</definedName>
    <definedName name="_xlnm.Print_Titles" localSheetId="7">'201-00 Most I-66-042 (3)'!$4:$4</definedName>
    <definedName name="_xlnm.Print_Titles" localSheetId="0">'201-00 Most I-66-042 gabo'!$3:$4</definedName>
    <definedName name="_xlnm.Print_Area" localSheetId="2">'01_Rekapitulacia'!$A$1:$L$13</definedName>
    <definedName name="_xlnm.Print_Area" localSheetId="3">'02_SupisPrac'!$B$1:$J$58</definedName>
    <definedName name="_xlnm.Print_Area" localSheetId="4">'03_CastiStavby'!$B$1:$K$61</definedName>
    <definedName name="_xlnm.Print_Area" localSheetId="5">'04_PopisPoloziek'!$B$1:$I$337</definedName>
    <definedName name="_xlnm.Print_Area" localSheetId="1">'201-00 Most I-66-042'!$A$2:$H$360</definedName>
    <definedName name="_xlnm.Print_Area" localSheetId="6">'201-00 Most I-66-042 (2)'!$D$2:$J$59</definedName>
    <definedName name="_xlnm.Print_Area" localSheetId="7">'201-00 Most I-66-042 (3)'!$B$2:$F$59</definedName>
    <definedName name="_xlnm.Print_Area" localSheetId="0">'201-00 Most I-66-042 gabo'!$A$1:$I$578</definedName>
    <definedName name="ZACA1" localSheetId="7">'201-00 Most I-66-042 (3)'!$A$4</definedName>
    <definedName name="ZACA1">'201-00 Most I-66-042 (2)'!$A$4</definedName>
    <definedName name="ZACB" localSheetId="2">'201-00 Most I-66-042 (2)'!#REF!</definedName>
    <definedName name="ZACB" localSheetId="3">'201-00 Most I-66-042 (2)'!#REF!</definedName>
    <definedName name="ZACB" localSheetId="4">'201-00 Most I-66-042 (2)'!#REF!</definedName>
    <definedName name="ZACB" localSheetId="5">'201-00 Most I-66-042 (2)'!#REF!</definedName>
    <definedName name="ZACB" localSheetId="7">'201-00 Most I-66-042 (3)'!#REF!</definedName>
    <definedName name="ZACB">'201-00 Most I-66-042 (2)'!#REF!</definedName>
    <definedName name="ZACC" localSheetId="2">'201-00 Most I-66-042 (2)'!#REF!</definedName>
    <definedName name="ZACC" localSheetId="3">'201-00 Most I-66-042 (2)'!#REF!</definedName>
    <definedName name="ZACC" localSheetId="4">'201-00 Most I-66-042 (2)'!#REF!</definedName>
    <definedName name="ZACC" localSheetId="5">'201-00 Most I-66-042 (2)'!#REF!</definedName>
    <definedName name="ZACC" localSheetId="7">'201-00 Most I-66-042 (3)'!#REF!</definedName>
    <definedName name="ZACC">'201-00 Most I-66-042 (2)'!#REF!</definedName>
    <definedName name="ZACIAT" localSheetId="7">'201-00 Most I-66-042 (3)'!$A$5</definedName>
    <definedName name="ZACIAT">'201-00 Most I-66-042 (2)'!$A$5</definedName>
    <definedName name="ZACKP" localSheetId="2">'201-00 Most I-66-042 (2)'!#REF!</definedName>
    <definedName name="ZACKP" localSheetId="3">'201-00 Most I-66-042 (2)'!#REF!</definedName>
    <definedName name="ZACKP" localSheetId="4">'201-00 Most I-66-042 (2)'!#REF!</definedName>
    <definedName name="ZACKP" localSheetId="5">'201-00 Most I-66-042 (2)'!#REF!</definedName>
    <definedName name="ZACKP" localSheetId="7">'201-00 Most I-66-042 (3)'!#REF!</definedName>
    <definedName name="ZACKP">'201-00 Most I-66-042 (2)'!#REF!</definedName>
    <definedName name="ZACSP" localSheetId="2">'201-00 Most I-66-042 (2)'!#REF!</definedName>
    <definedName name="ZACSP" localSheetId="3">'201-00 Most I-66-042 (2)'!#REF!</definedName>
    <definedName name="ZACSP" localSheetId="4">'201-00 Most I-66-042 (2)'!#REF!</definedName>
    <definedName name="ZACSP" localSheetId="5">'201-00 Most I-66-042 (2)'!#REF!</definedName>
    <definedName name="ZACSP" localSheetId="7">'201-00 Most I-66-042 (3)'!#REF!</definedName>
    <definedName name="ZACSP">'201-00 Most I-66-042 (2)'!#REF!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2" i="26" l="1"/>
  <c r="J8" i="26"/>
  <c r="J9" i="26"/>
  <c r="H8" i="25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3" i="26"/>
  <c r="J54" i="26"/>
  <c r="J55" i="26"/>
  <c r="J56" i="26"/>
  <c r="J57" i="26"/>
  <c r="J58" i="26"/>
  <c r="G127" i="24" l="1"/>
  <c r="G126" i="24"/>
  <c r="H55" i="26" l="1"/>
  <c r="H55" i="25"/>
  <c r="H54" i="25"/>
  <c r="G295" i="24"/>
  <c r="I293" i="24"/>
  <c r="G149" i="24"/>
  <c r="G40" i="24"/>
  <c r="G41" i="24"/>
  <c r="G35" i="24"/>
  <c r="G34" i="24"/>
  <c r="H12" i="25" l="1"/>
  <c r="H10" i="25"/>
  <c r="I17" i="24"/>
  <c r="H11" i="25" s="1"/>
  <c r="H11" i="26" l="1"/>
  <c r="K11" i="26" s="1"/>
  <c r="H12" i="26"/>
  <c r="K12" i="26" s="1"/>
  <c r="H10" i="26"/>
  <c r="K10" i="26" s="1"/>
  <c r="G335" i="24" l="1"/>
  <c r="G334" i="24"/>
  <c r="G330" i="24"/>
  <c r="G329" i="24"/>
  <c r="G327" i="24"/>
  <c r="G323" i="24"/>
  <c r="I321" i="24" s="1"/>
  <c r="G315" i="24"/>
  <c r="G314" i="24"/>
  <c r="G312" i="24"/>
  <c r="G309" i="24"/>
  <c r="G308" i="24"/>
  <c r="G306" i="24"/>
  <c r="G301" i="24"/>
  <c r="G299" i="24"/>
  <c r="G302" i="24" s="1"/>
  <c r="I297" i="24" s="1"/>
  <c r="H56" i="25" s="1"/>
  <c r="H56" i="26" s="1"/>
  <c r="K56" i="26" s="1"/>
  <c r="G287" i="24"/>
  <c r="G289" i="24" s="1"/>
  <c r="I285" i="24" s="1"/>
  <c r="G283" i="24"/>
  <c r="I281" i="24" s="1"/>
  <c r="H53" i="25" s="1"/>
  <c r="G277" i="24"/>
  <c r="G278" i="24" s="1"/>
  <c r="I276" i="24" s="1"/>
  <c r="H52" i="25" s="1"/>
  <c r="G273" i="24"/>
  <c r="G274" i="24" s="1"/>
  <c r="I272" i="24" s="1"/>
  <c r="I271" i="24" s="1"/>
  <c r="H51" i="25" s="1"/>
  <c r="G268" i="24"/>
  <c r="G269" i="24" s="1"/>
  <c r="I267" i="24" s="1"/>
  <c r="I266" i="24" s="1"/>
  <c r="H50" i="25" s="1"/>
  <c r="G263" i="24"/>
  <c r="G262" i="24"/>
  <c r="G261" i="24"/>
  <c r="G256" i="24"/>
  <c r="G257" i="24" s="1"/>
  <c r="I255" i="24" s="1"/>
  <c r="I254" i="24" s="1"/>
  <c r="H48" i="25" s="1"/>
  <c r="G251" i="24"/>
  <c r="G250" i="24"/>
  <c r="G244" i="24"/>
  <c r="G246" i="24" s="1"/>
  <c r="I242" i="24" s="1"/>
  <c r="I241" i="24" s="1"/>
  <c r="H46" i="25" s="1"/>
  <c r="G237" i="24"/>
  <c r="G235" i="24"/>
  <c r="G233" i="24"/>
  <c r="G232" i="24"/>
  <c r="G226" i="24"/>
  <c r="I225" i="24" s="1"/>
  <c r="I224" i="24" s="1"/>
  <c r="H44" i="25" s="1"/>
  <c r="G221" i="24"/>
  <c r="G222" i="24" s="1"/>
  <c r="I220" i="24" s="1"/>
  <c r="I219" i="24" s="1"/>
  <c r="H43" i="25" s="1"/>
  <c r="G213" i="24"/>
  <c r="G214" i="24" s="1"/>
  <c r="I212" i="24" s="1"/>
  <c r="I211" i="24" s="1"/>
  <c r="H42" i="25" s="1"/>
  <c r="G209" i="24"/>
  <c r="I204" i="24" s="1"/>
  <c r="H41" i="25" s="1"/>
  <c r="G201" i="24"/>
  <c r="G200" i="24"/>
  <c r="G202" i="24" s="1"/>
  <c r="I199" i="24" s="1"/>
  <c r="I198" i="24" s="1"/>
  <c r="H40" i="25" s="1"/>
  <c r="G192" i="24"/>
  <c r="G194" i="24" s="1"/>
  <c r="I190" i="24" s="1"/>
  <c r="H39" i="25" s="1"/>
  <c r="G187" i="24"/>
  <c r="G188" i="24" s="1"/>
  <c r="I185" i="24" s="1"/>
  <c r="H38" i="25" s="1"/>
  <c r="G182" i="24"/>
  <c r="G181" i="24"/>
  <c r="G183" i="24" s="1"/>
  <c r="I180" i="24" s="1"/>
  <c r="G176" i="24"/>
  <c r="G177" i="24" s="1"/>
  <c r="G169" i="24"/>
  <c r="G170" i="24" s="1"/>
  <c r="I167" i="24" s="1"/>
  <c r="H35" i="25" s="1"/>
  <c r="G165" i="24"/>
  <c r="I164" i="24" s="1"/>
  <c r="G162" i="24"/>
  <c r="I161" i="24" s="1"/>
  <c r="G157" i="24"/>
  <c r="G158" i="24" s="1"/>
  <c r="I155" i="24" s="1"/>
  <c r="I154" i="24" s="1"/>
  <c r="H33" i="25" s="1"/>
  <c r="G151" i="24"/>
  <c r="G152" i="24"/>
  <c r="I147" i="24" s="1"/>
  <c r="I146" i="24" s="1"/>
  <c r="H32" i="25" s="1"/>
  <c r="G143" i="24"/>
  <c r="G144" i="24" s="1"/>
  <c r="I140" i="24" s="1"/>
  <c r="H31" i="25" s="1"/>
  <c r="G138" i="24"/>
  <c r="I137" i="24" s="1"/>
  <c r="G134" i="24"/>
  <c r="I133" i="24" s="1"/>
  <c r="I132" i="24"/>
  <c r="H29" i="25" s="1"/>
  <c r="G125" i="24"/>
  <c r="I123" i="24" s="1"/>
  <c r="I122" i="24" s="1"/>
  <c r="H28" i="25" s="1"/>
  <c r="G108" i="24"/>
  <c r="I106" i="24" s="1"/>
  <c r="I105" i="24" s="1"/>
  <c r="H26" i="25" s="1"/>
  <c r="G107" i="24"/>
  <c r="G109" i="24" s="1"/>
  <c r="G102" i="24"/>
  <c r="G101" i="24"/>
  <c r="G103" i="24" s="1"/>
  <c r="I98" i="24" s="1"/>
  <c r="I97" i="24" s="1"/>
  <c r="H25" i="25" s="1"/>
  <c r="G100" i="24"/>
  <c r="G94" i="24"/>
  <c r="G93" i="24"/>
  <c r="G86" i="24"/>
  <c r="G116" i="24" s="1"/>
  <c r="G83" i="24"/>
  <c r="I82" i="24"/>
  <c r="I81" i="24" s="1"/>
  <c r="H22" i="25" s="1"/>
  <c r="G78" i="24"/>
  <c r="G115" i="24" s="1"/>
  <c r="I77" i="24"/>
  <c r="H21" i="25" s="1"/>
  <c r="I71" i="24"/>
  <c r="H20" i="25" s="1"/>
  <c r="I67" i="24"/>
  <c r="H19" i="25" s="1"/>
  <c r="I61" i="24"/>
  <c r="H18" i="25" s="1"/>
  <c r="G59" i="24"/>
  <c r="I55" i="24" s="1"/>
  <c r="H17" i="25" s="1"/>
  <c r="G58" i="24"/>
  <c r="G57" i="24"/>
  <c r="G56" i="24"/>
  <c r="G52" i="24"/>
  <c r="G51" i="24"/>
  <c r="G49" i="24"/>
  <c r="G43" i="24"/>
  <c r="G44" i="24" s="1"/>
  <c r="I38" i="24"/>
  <c r="H15" i="25" s="1"/>
  <c r="G36" i="24"/>
  <c r="I31" i="24" s="1"/>
  <c r="H14" i="25" s="1"/>
  <c r="I24" i="24"/>
  <c r="H13" i="25" s="1"/>
  <c r="I11" i="24"/>
  <c r="B11" i="24"/>
  <c r="G310" i="24" l="1"/>
  <c r="G239" i="24"/>
  <c r="I231" i="24" s="1"/>
  <c r="H45" i="25" s="1"/>
  <c r="H45" i="26" s="1"/>
  <c r="K45" i="26" s="1"/>
  <c r="G316" i="24"/>
  <c r="I136" i="24"/>
  <c r="H30" i="25" s="1"/>
  <c r="H30" i="26" s="1"/>
  <c r="K30" i="26" s="1"/>
  <c r="H33" i="26"/>
  <c r="K33" i="26" s="1"/>
  <c r="H31" i="26"/>
  <c r="K31" i="26" s="1"/>
  <c r="H46" i="26"/>
  <c r="K46" i="26" s="1"/>
  <c r="H51" i="26"/>
  <c r="K51" i="26" s="1"/>
  <c r="H54" i="26"/>
  <c r="K54" i="26" s="1"/>
  <c r="H39" i="26"/>
  <c r="K39" i="26" s="1"/>
  <c r="H28" i="26"/>
  <c r="K28" i="26" s="1"/>
  <c r="H26" i="26"/>
  <c r="K26" i="26" s="1"/>
  <c r="H38" i="26"/>
  <c r="K38" i="26" s="1"/>
  <c r="H17" i="26"/>
  <c r="K17" i="26" s="1"/>
  <c r="H13" i="26"/>
  <c r="K13" i="26" s="1"/>
  <c r="H18" i="26"/>
  <c r="K18" i="26" s="1"/>
  <c r="G95" i="24"/>
  <c r="G252" i="24"/>
  <c r="I249" i="24" s="1"/>
  <c r="I248" i="24" s="1"/>
  <c r="H47" i="25" s="1"/>
  <c r="G264" i="24"/>
  <c r="I260" i="24" s="1"/>
  <c r="I259" i="24" s="1"/>
  <c r="H49" i="25" s="1"/>
  <c r="H53" i="26"/>
  <c r="K53" i="26" s="1"/>
  <c r="G331" i="24"/>
  <c r="I325" i="24" s="1"/>
  <c r="I320" i="24" s="1"/>
  <c r="H58" i="25" s="1"/>
  <c r="H15" i="26"/>
  <c r="K15" i="26" s="1"/>
  <c r="H25" i="26"/>
  <c r="K25" i="26" s="1"/>
  <c r="I160" i="24"/>
  <c r="H34" i="25" s="1"/>
  <c r="H42" i="26"/>
  <c r="K42" i="26" s="1"/>
  <c r="H14" i="26"/>
  <c r="K14" i="26" s="1"/>
  <c r="G53" i="24"/>
  <c r="I47" i="24" s="1"/>
  <c r="H19" i="26"/>
  <c r="K19" i="26" s="1"/>
  <c r="H22" i="26"/>
  <c r="K22" i="26" s="1"/>
  <c r="H32" i="26"/>
  <c r="K32" i="26" s="1"/>
  <c r="H41" i="26"/>
  <c r="K41" i="26" s="1"/>
  <c r="H43" i="26"/>
  <c r="K43" i="26" s="1"/>
  <c r="H48" i="26"/>
  <c r="K48" i="26" s="1"/>
  <c r="H50" i="26"/>
  <c r="K50" i="26" s="1"/>
  <c r="H8" i="26"/>
  <c r="H21" i="26"/>
  <c r="K21" i="26" s="1"/>
  <c r="H29" i="26"/>
  <c r="K29" i="26" s="1"/>
  <c r="H40" i="26"/>
  <c r="K40" i="26" s="1"/>
  <c r="H52" i="26"/>
  <c r="K52" i="26" s="1"/>
  <c r="H20" i="26"/>
  <c r="K20" i="26" s="1"/>
  <c r="H35" i="26"/>
  <c r="K35" i="26" s="1"/>
  <c r="H44" i="26"/>
  <c r="K44" i="26" s="1"/>
  <c r="G336" i="24"/>
  <c r="I333" i="24" s="1"/>
  <c r="K55" i="26"/>
  <c r="I46" i="24"/>
  <c r="H16" i="25" s="1"/>
  <c r="G117" i="24"/>
  <c r="G118" i="24" s="1"/>
  <c r="I91" i="24"/>
  <c r="I90" i="24" s="1"/>
  <c r="H24" i="25" s="1"/>
  <c r="I174" i="24"/>
  <c r="H36" i="25" s="1"/>
  <c r="I175" i="24"/>
  <c r="B13" i="24"/>
  <c r="I141" i="24"/>
  <c r="I286" i="24"/>
  <c r="I85" i="24"/>
  <c r="H23" i="25" s="1"/>
  <c r="I277" i="24"/>
  <c r="I179" i="24"/>
  <c r="H37" i="25" s="1"/>
  <c r="I304" i="24" l="1"/>
  <c r="H57" i="25" s="1"/>
  <c r="H16" i="26"/>
  <c r="K16" i="26" s="1"/>
  <c r="H34" i="26"/>
  <c r="K34" i="26" s="1"/>
  <c r="H49" i="26"/>
  <c r="K49" i="26" s="1"/>
  <c r="H58" i="26"/>
  <c r="K58" i="26" s="1"/>
  <c r="H47" i="26"/>
  <c r="K47" i="26" s="1"/>
  <c r="H37" i="26"/>
  <c r="K37" i="26" s="1"/>
  <c r="H36" i="26"/>
  <c r="K36" i="26" s="1"/>
  <c r="H24" i="26"/>
  <c r="K24" i="26" s="1"/>
  <c r="H23" i="26"/>
  <c r="K23" i="26" s="1"/>
  <c r="I113" i="24"/>
  <c r="H27" i="25" s="1"/>
  <c r="I13" i="24"/>
  <c r="H9" i="25" s="1"/>
  <c r="I114" i="24"/>
  <c r="B15" i="24"/>
  <c r="H57" i="26" l="1"/>
  <c r="K57" i="26" s="1"/>
  <c r="B17" i="24"/>
  <c r="H9" i="26"/>
  <c r="K9" i="26" s="1"/>
  <c r="H27" i="26"/>
  <c r="K27" i="26" s="1"/>
  <c r="B22" i="24"/>
  <c r="B24" i="24" s="1"/>
  <c r="B31" i="24" l="1"/>
  <c r="B38" i="24" l="1"/>
  <c r="B46" i="24" s="1"/>
  <c r="B55" i="24" l="1"/>
  <c r="B61" i="24"/>
  <c r="B67" i="24" l="1"/>
  <c r="B71" i="24" l="1"/>
  <c r="F343" i="19"/>
  <c r="H342" i="19" s="1"/>
  <c r="F339" i="19"/>
  <c r="F338" i="19"/>
  <c r="F352" i="19"/>
  <c r="H351" i="19" s="1"/>
  <c r="F349" i="19"/>
  <c r="F357" i="19"/>
  <c r="F356" i="19"/>
  <c r="F31" i="19"/>
  <c r="H29" i="19" s="1"/>
  <c r="J29" i="19" s="1"/>
  <c r="F233" i="19"/>
  <c r="H231" i="19" s="1"/>
  <c r="H72" i="19"/>
  <c r="F283" i="19"/>
  <c r="H281" i="19" s="1"/>
  <c r="F276" i="19"/>
  <c r="F277" i="19" s="1"/>
  <c r="H274" i="19" s="1"/>
  <c r="H268" i="19"/>
  <c r="F201" i="19"/>
  <c r="F200" i="19"/>
  <c r="F263" i="19"/>
  <c r="H262" i="19" s="1"/>
  <c r="F158" i="19"/>
  <c r="H157" i="19" s="1"/>
  <c r="F272" i="19"/>
  <c r="H271" i="19" s="1"/>
  <c r="B77" i="24" l="1"/>
  <c r="B81" i="24"/>
  <c r="B85" i="24" s="1"/>
  <c r="F202" i="19"/>
  <c r="H198" i="19" s="1"/>
  <c r="B90" i="24" l="1"/>
  <c r="B97" i="24" s="1"/>
  <c r="B105" i="24" s="1"/>
  <c r="B113" i="24" s="1"/>
  <c r="F241" i="19"/>
  <c r="H204" i="19"/>
  <c r="F258" i="19"/>
  <c r="H257" i="19" s="1"/>
  <c r="B122" i="24" l="1"/>
  <c r="B132" i="24" s="1"/>
  <c r="B136" i="24" s="1"/>
  <c r="B140" i="24" s="1"/>
  <c r="B146" i="24" s="1"/>
  <c r="B154" i="24" s="1"/>
  <c r="B160" i="24" s="1"/>
  <c r="B167" i="24" s="1"/>
  <c r="B174" i="24" s="1"/>
  <c r="B179" i="24" s="1"/>
  <c r="B185" i="24" s="1"/>
  <c r="B190" i="24" s="1"/>
  <c r="B198" i="24" s="1"/>
  <c r="B204" i="24" s="1"/>
  <c r="B211" i="24" s="1"/>
  <c r="B219" i="24" s="1"/>
  <c r="B224" i="24" s="1"/>
  <c r="B231" i="24" s="1"/>
  <c r="B241" i="24" s="1"/>
  <c r="B248" i="24" s="1"/>
  <c r="B254" i="24" s="1"/>
  <c r="B259" i="24" s="1"/>
  <c r="B266" i="24" s="1"/>
  <c r="B271" i="24" s="1"/>
  <c r="B276" i="24" s="1"/>
  <c r="B281" i="24" s="1"/>
  <c r="B285" i="24" s="1"/>
  <c r="F250" i="19"/>
  <c r="H247" i="19" s="1"/>
  <c r="F139" i="19"/>
  <c r="H138" i="19" s="1"/>
  <c r="F136" i="19"/>
  <c r="H135" i="19" s="1"/>
  <c r="F133" i="19"/>
  <c r="H131" i="19" s="1"/>
  <c r="F306" i="19"/>
  <c r="H304" i="19" s="1"/>
  <c r="F291" i="19"/>
  <c r="F287" i="19" s="1"/>
  <c r="F228" i="19"/>
  <c r="F227" i="19"/>
  <c r="F226" i="19"/>
  <c r="F225" i="19"/>
  <c r="F220" i="19"/>
  <c r="F177" i="19"/>
  <c r="H175" i="19" s="1"/>
  <c r="H44" i="19"/>
  <c r="F181" i="19"/>
  <c r="F255" i="19" s="1"/>
  <c r="F162" i="19"/>
  <c r="H160" i="19" s="1"/>
  <c r="F155" i="19"/>
  <c r="F148" i="19"/>
  <c r="F143" i="19"/>
  <c r="B293" i="24" l="1"/>
  <c r="B297" i="24" s="1"/>
  <c r="B304" i="24" s="1"/>
  <c r="B320" i="24" s="1"/>
  <c r="F229" i="19"/>
  <c r="F301" i="19"/>
  <c r="F302" i="19" s="1"/>
  <c r="H299" i="19" s="1"/>
  <c r="F129" i="19"/>
  <c r="H125" i="19" s="1"/>
  <c r="F122" i="19"/>
  <c r="F121" i="19"/>
  <c r="F114" i="19"/>
  <c r="F113" i="19"/>
  <c r="F107" i="19"/>
  <c r="F53" i="19"/>
  <c r="F101" i="19"/>
  <c r="H99" i="19" s="1"/>
  <c r="F96" i="19"/>
  <c r="H94" i="19" s="1"/>
  <c r="F52" i="19"/>
  <c r="F80" i="19"/>
  <c r="F37" i="19"/>
  <c r="H33" i="19" s="1"/>
  <c r="F12" i="19"/>
  <c r="F42" i="19"/>
  <c r="H39" i="19" s="1"/>
  <c r="F54" i="19" l="1"/>
  <c r="F115" i="19"/>
  <c r="F15" i="19"/>
  <c r="I48" i="19"/>
  <c r="F49" i="19"/>
  <c r="H48" i="19" s="1"/>
  <c r="F27" i="19"/>
  <c r="F14" i="19"/>
  <c r="H329" i="19"/>
  <c r="F13" i="19"/>
  <c r="H22" i="19"/>
  <c r="J48" i="19" l="1"/>
  <c r="F20" i="19"/>
  <c r="F11" i="19"/>
  <c r="F17" i="19" s="1"/>
  <c r="F90" i="19" l="1"/>
  <c r="H348" i="19" l="1"/>
  <c r="H334" i="19"/>
  <c r="F325" i="19"/>
  <c r="H322" i="19" s="1"/>
  <c r="H317" i="19"/>
  <c r="H285" i="19"/>
  <c r="H252" i="19"/>
  <c r="H239" i="19"/>
  <c r="H235" i="19"/>
  <c r="H223" i="19"/>
  <c r="F221" i="19"/>
  <c r="H218" i="19" s="1"/>
  <c r="H212" i="19"/>
  <c r="H209" i="19"/>
  <c r="H193" i="19"/>
  <c r="F189" i="19"/>
  <c r="H184" i="19" s="1"/>
  <c r="H179" i="19"/>
  <c r="H165" i="19"/>
  <c r="H150" i="19"/>
  <c r="H146" i="19"/>
  <c r="F144" i="19"/>
  <c r="H141" i="19" s="1"/>
  <c r="F108" i="19"/>
  <c r="H103" i="19" s="1"/>
  <c r="H66" i="19"/>
  <c r="H62" i="19"/>
  <c r="J39" i="19"/>
  <c r="J33" i="19"/>
  <c r="H30" i="19"/>
  <c r="H25" i="19"/>
  <c r="J25" i="19" s="1"/>
  <c r="H19" i="19"/>
  <c r="J19" i="19" s="1"/>
  <c r="A9" i="19"/>
  <c r="F396" i="18"/>
  <c r="F367" i="18"/>
  <c r="F366" i="18"/>
  <c r="F379" i="18"/>
  <c r="H377" i="18" s="1"/>
  <c r="F345" i="18"/>
  <c r="H339" i="18" s="1"/>
  <c r="H9" i="19" l="1"/>
  <c r="J9" i="19" s="1"/>
  <c r="J57" i="19" s="1"/>
  <c r="H77" i="19"/>
  <c r="H110" i="19"/>
  <c r="F123" i="19"/>
  <c r="H119" i="19" s="1"/>
  <c r="F358" i="19"/>
  <c r="F173" i="19"/>
  <c r="H168" i="19" s="1"/>
  <c r="F314" i="19"/>
  <c r="H310" i="19" s="1"/>
  <c r="F340" i="19"/>
  <c r="H337" i="19" s="1"/>
  <c r="H51" i="19"/>
  <c r="F294" i="19"/>
  <c r="H289" i="19" s="1"/>
  <c r="H88" i="19"/>
  <c r="A19" i="19"/>
  <c r="F56" i="18"/>
  <c r="H355" i="19" l="1"/>
  <c r="F359" i="19"/>
  <c r="H347" i="19" s="1"/>
  <c r="A22" i="19"/>
  <c r="F57" i="19"/>
  <c r="H56" i="19" s="1"/>
  <c r="F401" i="18"/>
  <c r="H398" i="18" s="1"/>
  <c r="F303" i="18"/>
  <c r="F302" i="18"/>
  <c r="F293" i="18"/>
  <c r="F291" i="18"/>
  <c r="F139" i="18"/>
  <c r="F42" i="18"/>
  <c r="F41" i="18"/>
  <c r="F38" i="18"/>
  <c r="A25" i="19" l="1"/>
  <c r="A29" i="19" s="1"/>
  <c r="P10" i="18"/>
  <c r="P9" i="18"/>
  <c r="A33" i="19" l="1"/>
  <c r="A39" i="19" s="1"/>
  <c r="A44" i="19" s="1"/>
  <c r="A48" i="19" s="1"/>
  <c r="F520" i="18"/>
  <c r="F492" i="18"/>
  <c r="F493" i="18"/>
  <c r="F488" i="18"/>
  <c r="F304" i="18"/>
  <c r="F244" i="18"/>
  <c r="F57" i="18"/>
  <c r="F138" i="18"/>
  <c r="F83" i="18"/>
  <c r="F106" i="18" s="1"/>
  <c r="F23" i="18"/>
  <c r="F19" i="18"/>
  <c r="A51" i="19" l="1"/>
  <c r="A56" i="19" s="1"/>
  <c r="F573" i="18"/>
  <c r="F572" i="18"/>
  <c r="F568" i="18"/>
  <c r="F567" i="18"/>
  <c r="F566" i="18"/>
  <c r="F563" i="18"/>
  <c r="H562" i="18" s="1"/>
  <c r="F555" i="18"/>
  <c r="F554" i="18"/>
  <c r="F547" i="18"/>
  <c r="F553" i="18"/>
  <c r="F548" i="18"/>
  <c r="F544" i="18"/>
  <c r="H543" i="18" s="1"/>
  <c r="F77" i="18"/>
  <c r="H76" i="18" s="1"/>
  <c r="F514" i="18"/>
  <c r="F513" i="18"/>
  <c r="F316" i="18"/>
  <c r="F549" i="18" l="1"/>
  <c r="A62" i="19"/>
  <c r="F569" i="18"/>
  <c r="H565" i="18" s="1"/>
  <c r="F574" i="18"/>
  <c r="H571" i="18" s="1"/>
  <c r="F556" i="18"/>
  <c r="F550" i="18"/>
  <c r="H546" i="18" s="1"/>
  <c r="E550" i="18"/>
  <c r="F330" i="18"/>
  <c r="H328" i="18" s="1"/>
  <c r="F326" i="18"/>
  <c r="H325" i="18" s="1"/>
  <c r="F58" i="18"/>
  <c r="H55" i="18" s="1"/>
  <c r="H561" i="18" l="1"/>
  <c r="A66" i="19"/>
  <c r="E557" i="18"/>
  <c r="F557" i="18"/>
  <c r="H552" i="18" s="1"/>
  <c r="F494" i="18"/>
  <c r="F470" i="18"/>
  <c r="H467" i="18" s="1"/>
  <c r="H486" i="18"/>
  <c r="F534" i="18"/>
  <c r="H531" i="18" s="1"/>
  <c r="H518" i="18"/>
  <c r="H311" i="18"/>
  <c r="F309" i="18"/>
  <c r="H307" i="18" s="1"/>
  <c r="F365" i="18"/>
  <c r="F364" i="18"/>
  <c r="F363" i="18"/>
  <c r="F389" i="18"/>
  <c r="F388" i="18"/>
  <c r="F300" i="18"/>
  <c r="F299" i="18"/>
  <c r="F356" i="18"/>
  <c r="F355" i="18"/>
  <c r="H282" i="18"/>
  <c r="F278" i="18"/>
  <c r="H277" i="18" s="1"/>
  <c r="F375" i="18"/>
  <c r="H373" i="18" s="1"/>
  <c r="H320" i="18"/>
  <c r="F351" i="18"/>
  <c r="F350" i="18"/>
  <c r="F251" i="18"/>
  <c r="A77" i="19" l="1"/>
  <c r="A72" i="19"/>
  <c r="F495" i="18"/>
  <c r="H490" i="18" s="1"/>
  <c r="F471" i="18"/>
  <c r="H463" i="18" s="1"/>
  <c r="F390" i="18"/>
  <c r="H385" i="18" s="1"/>
  <c r="H242" i="18"/>
  <c r="F239" i="18"/>
  <c r="H212" i="18"/>
  <c r="F202" i="18"/>
  <c r="F201" i="18"/>
  <c r="F193" i="18"/>
  <c r="F192" i="18"/>
  <c r="F165" i="18"/>
  <c r="F157" i="18"/>
  <c r="F143" i="18"/>
  <c r="F142" i="18"/>
  <c r="F141" i="18"/>
  <c r="F156" i="18"/>
  <c r="F155" i="18"/>
  <c r="F154" i="18"/>
  <c r="F152" i="18"/>
  <c r="F153" i="18"/>
  <c r="F137" i="18"/>
  <c r="F140" i="18"/>
  <c r="H70" i="18"/>
  <c r="H66" i="18"/>
  <c r="A82" i="19" l="1"/>
  <c r="A88" i="19" s="1"/>
  <c r="A94" i="19" s="1"/>
  <c r="A99" i="19" s="1"/>
  <c r="A103" i="19" s="1"/>
  <c r="A110" i="19" s="1"/>
  <c r="A119" i="19" s="1"/>
  <c r="A125" i="19" s="1"/>
  <c r="F144" i="18"/>
  <c r="H135" i="18" s="1"/>
  <c r="F203" i="18"/>
  <c r="H199" i="18" s="1"/>
  <c r="F194" i="18"/>
  <c r="H189" i="18" s="1"/>
  <c r="F47" i="18"/>
  <c r="F46" i="18"/>
  <c r="F39" i="18"/>
  <c r="A131" i="19" l="1"/>
  <c r="A135" i="19" s="1"/>
  <c r="A138" i="19" s="1"/>
  <c r="F37" i="18"/>
  <c r="F48" i="18" s="1"/>
  <c r="J47" i="18" s="1"/>
  <c r="L47" i="18" s="1"/>
  <c r="F25" i="18"/>
  <c r="H24" i="18" s="1"/>
  <c r="H22" i="18"/>
  <c r="F15" i="18"/>
  <c r="H14" i="18" s="1"/>
  <c r="J14" i="18" s="1"/>
  <c r="F29" i="18"/>
  <c r="H27" i="18" s="1"/>
  <c r="J27" i="18" s="1"/>
  <c r="F32" i="18"/>
  <c r="H31" i="18" s="1"/>
  <c r="J31" i="18" s="1"/>
  <c r="F11" i="18"/>
  <c r="F10" i="18"/>
  <c r="H52" i="18"/>
  <c r="H51" i="18" s="1"/>
  <c r="A141" i="19" l="1"/>
  <c r="A146" i="19" s="1"/>
  <c r="A150" i="19" s="1"/>
  <c r="H80" i="18"/>
  <c r="H21" i="18"/>
  <c r="J52" i="18"/>
  <c r="J24" i="18"/>
  <c r="J22" i="18"/>
  <c r="A157" i="19" l="1"/>
  <c r="A160" i="19" s="1"/>
  <c r="A165" i="19" s="1"/>
  <c r="A175" i="19" s="1"/>
  <c r="A179" i="19" s="1"/>
  <c r="A184" i="19" s="1"/>
  <c r="H104" i="18"/>
  <c r="F122" i="18"/>
  <c r="H120" i="18" s="1"/>
  <c r="H17" i="18"/>
  <c r="J17" i="18" s="1"/>
  <c r="F12" i="18"/>
  <c r="H8" i="18" s="1"/>
  <c r="J8" i="18" s="1"/>
  <c r="A198" i="19" l="1"/>
  <c r="J62" i="18"/>
  <c r="F62" i="18" s="1"/>
  <c r="H60" i="18" s="1"/>
  <c r="A204" i="19" l="1"/>
  <c r="F96" i="18"/>
  <c r="A218" i="19" l="1"/>
  <c r="A223" i="19" s="1"/>
  <c r="A231" i="19" s="1"/>
  <c r="F429" i="18"/>
  <c r="F459" i="18"/>
  <c r="F440" i="18"/>
  <c r="F507" i="18"/>
  <c r="H505" i="18" s="1"/>
  <c r="F371" i="18"/>
  <c r="F357" i="18"/>
  <c r="F358" i="18" s="1"/>
  <c r="H347" i="18" s="1"/>
  <c r="A239" i="19" l="1"/>
  <c r="A243" i="19" s="1"/>
  <c r="A247" i="19" s="1"/>
  <c r="A252" i="19" s="1"/>
  <c r="A257" i="19" s="1"/>
  <c r="F515" i="18"/>
  <c r="F481" i="18"/>
  <c r="F368" i="18"/>
  <c r="H361" i="18" s="1"/>
  <c r="H360" i="18" s="1"/>
  <c r="F337" i="18"/>
  <c r="H334" i="18" s="1"/>
  <c r="A262" i="19" l="1"/>
  <c r="H509" i="18"/>
  <c r="H511" i="18"/>
  <c r="A268" i="19" l="1"/>
  <c r="A271" i="19" s="1"/>
  <c r="F305" i="18"/>
  <c r="H296" i="18" s="1"/>
  <c r="F274" i="18"/>
  <c r="H270" i="18" s="1"/>
  <c r="F265" i="18"/>
  <c r="H261" i="18" s="1"/>
  <c r="H246" i="18"/>
  <c r="F235" i="18"/>
  <c r="H160" i="18"/>
  <c r="A274" i="19" l="1"/>
  <c r="A281" i="19" s="1"/>
  <c r="F294" i="18"/>
  <c r="H289" i="18" s="1"/>
  <c r="H267" i="18"/>
  <c r="F210" i="18"/>
  <c r="F221" i="18"/>
  <c r="F228" i="18"/>
  <c r="F240" i="18"/>
  <c r="H237" i="18" s="1"/>
  <c r="F158" i="18"/>
  <c r="H150" i="18" s="1"/>
  <c r="A285" i="19" l="1"/>
  <c r="A289" i="19" s="1"/>
  <c r="A299" i="19" s="1"/>
  <c r="A304" i="19" s="1"/>
  <c r="F114" i="18"/>
  <c r="F131" i="18"/>
  <c r="A329" i="19" l="1"/>
  <c r="A334" i="19" s="1"/>
  <c r="A337" i="19" s="1"/>
  <c r="A342" i="19" s="1"/>
  <c r="A347" i="19" s="1"/>
  <c r="A8" i="18"/>
  <c r="A14" i="18" l="1"/>
  <c r="A17" i="18" l="1"/>
  <c r="A21" i="18" l="1"/>
  <c r="A27" i="18" l="1"/>
  <c r="A31" i="18" l="1"/>
  <c r="A34" i="18" l="1"/>
  <c r="A51" i="18" l="1"/>
  <c r="A55" i="18" l="1"/>
  <c r="A60" i="18" l="1"/>
  <c r="A66" i="18" s="1"/>
  <c r="A70" i="18" l="1"/>
  <c r="A76" i="18" s="1"/>
  <c r="A80" i="18" l="1"/>
  <c r="A85" i="18" s="1"/>
  <c r="A90" i="18" s="1"/>
  <c r="A98" i="18" l="1"/>
  <c r="A104" i="18" s="1"/>
  <c r="A108" i="18" s="1"/>
  <c r="A116" i="18" l="1"/>
  <c r="A120" i="18" s="1"/>
  <c r="A124" i="18" s="1"/>
  <c r="A135" i="18" s="1"/>
  <c r="A150" i="18" l="1"/>
  <c r="A160" i="18" s="1"/>
  <c r="A169" i="18" s="1"/>
  <c r="A173" i="18" s="1"/>
  <c r="A176" i="18" s="1"/>
  <c r="A180" i="18" s="1"/>
  <c r="A183" i="18" s="1"/>
  <c r="A186" i="18" s="1"/>
  <c r="A189" i="18" s="1"/>
  <c r="A199" i="18" s="1"/>
  <c r="A205" i="18" l="1"/>
  <c r="A212" i="18" s="1"/>
  <c r="A216" i="18" l="1"/>
  <c r="A223" i="18" l="1"/>
  <c r="A230" i="18" l="1"/>
  <c r="A237" i="18" l="1"/>
  <c r="A242" i="18" l="1"/>
  <c r="A246" i="18" s="1"/>
  <c r="A253" i="18" l="1"/>
  <c r="A261" i="18" s="1"/>
  <c r="A267" i="18" s="1"/>
  <c r="A270" i="18" s="1"/>
  <c r="A277" i="18" s="1"/>
  <c r="A282" i="18" s="1"/>
  <c r="A285" i="18" s="1"/>
  <c r="A289" i="18" s="1"/>
  <c r="A296" i="18" s="1"/>
  <c r="A307" i="18" l="1"/>
  <c r="A311" i="18" s="1"/>
  <c r="A325" i="18" l="1"/>
  <c r="A328" i="18" s="1"/>
  <c r="A334" i="18" l="1"/>
  <c r="A339" i="18" s="1"/>
  <c r="A347" i="18" s="1"/>
  <c r="A360" i="18" s="1"/>
  <c r="A373" i="18" s="1"/>
  <c r="A377" i="18" l="1"/>
  <c r="A381" i="18" s="1"/>
  <c r="A385" i="18" l="1"/>
  <c r="A392" i="18" s="1"/>
  <c r="A398" i="18" s="1"/>
  <c r="A403" i="18" s="1"/>
  <c r="A410" i="18" s="1"/>
  <c r="A419" i="18" s="1"/>
  <c r="A425" i="18" s="1"/>
  <c r="A431" i="18" s="1"/>
  <c r="A435" i="18" s="1"/>
  <c r="A447" i="18" s="1"/>
  <c r="A451" i="18" s="1"/>
  <c r="A455" i="18" s="1"/>
  <c r="A463" i="18" s="1"/>
  <c r="A473" i="18" s="1"/>
  <c r="A477" i="18" s="1"/>
  <c r="A486" i="18" s="1"/>
  <c r="A490" i="18" s="1"/>
  <c r="A500" i="18" l="1"/>
  <c r="A505" i="18" s="1"/>
  <c r="A511" i="18" s="1"/>
  <c r="A518" i="18" l="1"/>
  <c r="A523" i="18" s="1"/>
  <c r="A528" i="18" s="1"/>
  <c r="A536" i="18" s="1"/>
  <c r="A531" i="18" l="1"/>
  <c r="A543" i="18" s="1"/>
  <c r="A546" i="18" s="1"/>
  <c r="A552" i="18" s="1"/>
  <c r="A561" i="18" s="1"/>
  <c r="K8" i="26" l="1"/>
  <c r="K59" i="26" s="1"/>
  <c r="G7" i="22" s="1"/>
  <c r="I7" i="22" l="1"/>
  <c r="I8" i="22" s="1"/>
  <c r="G8" i="22"/>
  <c r="K7" i="22"/>
  <c r="K8" i="22" s="1"/>
  <c r="K60" i="26"/>
  <c r="K61" i="26" s="1"/>
</calcChain>
</file>

<file path=xl/sharedStrings.xml><?xml version="1.0" encoding="utf-8"?>
<sst xmlns="http://schemas.openxmlformats.org/spreadsheetml/2006/main" count="2821" uniqueCount="946">
  <si>
    <t>1101010106</t>
  </si>
  <si>
    <t>Schodiskové konštrukcie, stupne z betónu prostého</t>
  </si>
  <si>
    <t>Konštrukcie z hornín - zásypy so zhutnením, tr. horniny 1-4</t>
  </si>
  <si>
    <t>Základy, pätky, debnenie tradičné</t>
  </si>
  <si>
    <t>Základy, pätky, debnenie tradičné drevené</t>
  </si>
  <si>
    <t>t</t>
  </si>
  <si>
    <t>Schodiskové konštrukcie, stupne, debnenie tradičné</t>
  </si>
  <si>
    <t>Schodiskové konštrukcie, stupne, debnenie tradičné drevené</t>
  </si>
  <si>
    <t>ks</t>
  </si>
  <si>
    <t>Izolácie proti vode a zemnej vlhkosti, bežných konštrukcií ochrannými a podkladnými textíliami</t>
  </si>
  <si>
    <t>Izolácie proti vode a zemnej vlhkosti, bežných konštrukcií ochrannými a podkladnými textíliami na ploche vodorovnej</t>
  </si>
  <si>
    <t>Izolácie proti vode a zemnej vlhkosti, bežných konštrukcií ochrannými a podkladnými textíliami na ploche zvislej</t>
  </si>
  <si>
    <t>m2</t>
  </si>
  <si>
    <t>Konštrukcie z hornín - násypy so zhutnením zo zemín nesúdržných</t>
  </si>
  <si>
    <t>Konštrukcie z hornín - zásypy so zhutnením</t>
  </si>
  <si>
    <t>hod</t>
  </si>
  <si>
    <t>Základy, pásy z betónu prostého, tr. C 25/30 (B 30)</t>
  </si>
  <si>
    <t>Izolácie proti vode a zemnej vlhkosti, mostoviek pásmi na ploche vodorovnej</t>
  </si>
  <si>
    <t>Izolácie proti vode a zemnej vlhkosti, mostoviek náterivami a tmelmi na ploche vodorovnej</t>
  </si>
  <si>
    <t>Izolácie proti vode a zemnej vlhkosti, mostoviek pásmi</t>
  </si>
  <si>
    <t>0104020202</t>
  </si>
  <si>
    <t>01040402</t>
  </si>
  <si>
    <t>0104040207</t>
  </si>
  <si>
    <t>Konštrukcie z hornín - násypy so zhutnením</t>
  </si>
  <si>
    <t>11090201</t>
  </si>
  <si>
    <t>m</t>
  </si>
  <si>
    <t>01040202</t>
  </si>
  <si>
    <t>11010101</t>
  </si>
  <si>
    <t>Základy, pásy z betónu prostého</t>
  </si>
  <si>
    <t>61010101</t>
  </si>
  <si>
    <t>6101010101</t>
  </si>
  <si>
    <t>6101010102</t>
  </si>
  <si>
    <t>61010103</t>
  </si>
  <si>
    <t>6101010301</t>
  </si>
  <si>
    <t>Izolácie proti vode a zemnej vlhkosti, bežných konštrukcií náterivami a tmelmi na ploche vodorovnej</t>
  </si>
  <si>
    <t>Izolácie proti vode a zemnej vlhkosti, bežných konštrukcií náterivami a tmelmi na ploche zvislej</t>
  </si>
  <si>
    <t>Izolácie proti vode a zemnej vlhkosti, bežných konštrukcií fóliami</t>
  </si>
  <si>
    <t>Izolácie proti vode a zemnej vlhkosti, bežných konštrukcií fóliami na ploche vodorovnej</t>
  </si>
  <si>
    <t>11010211</t>
  </si>
  <si>
    <t>1101021101</t>
  </si>
  <si>
    <t>61010105</t>
  </si>
  <si>
    <t>11090211</t>
  </si>
  <si>
    <t>1109021101</t>
  </si>
  <si>
    <t>Izolácie proti vode a zemnej vlhkosti, mostoviek náterivami a tmelmi</t>
  </si>
  <si>
    <t>6101010501</t>
  </si>
  <si>
    <t>6101010502</t>
  </si>
  <si>
    <t>61010501</t>
  </si>
  <si>
    <t>6101050101</t>
  </si>
  <si>
    <t>61010502</t>
  </si>
  <si>
    <t>6101050201</t>
  </si>
  <si>
    <t>Izolácie proti vode a zemnej vlhkosti, bežných konštrukcií náterivami a tmelmi</t>
  </si>
  <si>
    <t>m3</t>
  </si>
  <si>
    <t>11200101</t>
  </si>
  <si>
    <t>1120010103</t>
  </si>
  <si>
    <t>1120010106</t>
  </si>
  <si>
    <t>Podkladné konštrukcie, podkladné vrstvy, z betónu prostého</t>
  </si>
  <si>
    <t>Podkladné konštrukcie, podkladné vrstvy z betónu prostého, tr. C 12/15 (B 15)</t>
  </si>
  <si>
    <t>Podkladné konštrukcie, podkladné vrstvy z betónu prostého, tr. C 25/30 (B 30)</t>
  </si>
  <si>
    <t>11200121</t>
  </si>
  <si>
    <t>1120012107</t>
  </si>
  <si>
    <t>02050132</t>
  </si>
  <si>
    <t>Steny štetovnicové baranené, z kovových dielcov</t>
  </si>
  <si>
    <t>0205013201</t>
  </si>
  <si>
    <t>Steny štetovnicové baranené, z kovových dielcov, hĺ. do 10 m</t>
  </si>
  <si>
    <t>Podkladné konštrukcie, podkladné vrstvy, výstuž z betonárskej ocele</t>
  </si>
  <si>
    <t>Podkladné konštrukcie, podkladné vrstvy, výstuž zo zváraných sietí</t>
  </si>
  <si>
    <t>02050432</t>
  </si>
  <si>
    <t>Steny - odstránenie štetovníc z kovových dielcov</t>
  </si>
  <si>
    <t>0205043201</t>
  </si>
  <si>
    <t>Steny - odstránenie štetovníc z kovových dielcov vytiahnutím</t>
  </si>
  <si>
    <t>45.24.70</t>
  </si>
  <si>
    <t>Práce na hrubej stavbe úprav tokov, hrádzí, zavlažovacích kanálov a akvaduktov</t>
  </si>
  <si>
    <t>31080608</t>
  </si>
  <si>
    <t>Objekty melioračné, drenážne vyústenie z betónových dielcov</t>
  </si>
  <si>
    <t>31210303</t>
  </si>
  <si>
    <t>Spevnené plochy, dlažby z  lomového  kameňa</t>
  </si>
  <si>
    <t>3121030302</t>
  </si>
  <si>
    <t>Spevnené plochy, dlažby z lomového kameňa na cementovú maltu</t>
  </si>
  <si>
    <t>45.26.14</t>
  </si>
  <si>
    <t>Izolačné práce proti vode</t>
  </si>
  <si>
    <t>45.26.21</t>
  </si>
  <si>
    <t>Lešenárske práce</t>
  </si>
  <si>
    <t>03050111</t>
  </si>
  <si>
    <t>Ochranné konštrukcie, zábradlie na vonkajších voľných stranách  objektov</t>
  </si>
  <si>
    <t>0305011101</t>
  </si>
  <si>
    <t>Ochranné konštrukcie, zábradlie na vonkajších voľných stranách  objektov, odklonené od zvislice 15°</t>
  </si>
  <si>
    <t>45.26.22</t>
  </si>
  <si>
    <t>Základové práce a vŕtanie vodných studní</t>
  </si>
  <si>
    <t>02010309</t>
  </si>
  <si>
    <t>Zlepšovanie základovej pôdy, trativody kompletné z potrubia plastického</t>
  </si>
  <si>
    <t>02060949</t>
  </si>
  <si>
    <t>Spevňovanie hornín a konštrukcií, opláštenie, spevnenie sieťovinou, rohožami</t>
  </si>
  <si>
    <t>0206094905</t>
  </si>
  <si>
    <t>Spevňovanie hornín a konštrukcií, opláštenie, spevnenie sieťovinou, rohožou, protieróznym geokompozitom vystuženým plastovou sieťovinou</t>
  </si>
  <si>
    <t>11050202</t>
  </si>
  <si>
    <t>Zvislé konštrukcie inžinierskych stavieb, opory z betónu železového</t>
  </si>
  <si>
    <t>11050211</t>
  </si>
  <si>
    <t>Zvislé konštrukcie inžinierskych stavieb, opory, debnenie tradičné</t>
  </si>
  <si>
    <t>1105021101</t>
  </si>
  <si>
    <t>Zvislé konštrukcie inžinierskych stavieb, opory, debnenie tradičné drevené</t>
  </si>
  <si>
    <t>11050221</t>
  </si>
  <si>
    <t>Zvislé konštrukcie inžinierskych stavieb, opory, výstuž z betonárskej ocele</t>
  </si>
  <si>
    <t>1105022106</t>
  </si>
  <si>
    <t>Zvislé konštrukcie inžinierskych stavieb, opory, výstuž z betonárskej ocele 10505</t>
  </si>
  <si>
    <t>11050302</t>
  </si>
  <si>
    <t>Zvislé konštrukcie inžinierskych stavieb, krídla, steny z betónu železového</t>
  </si>
  <si>
    <t>1105030207</t>
  </si>
  <si>
    <t>Zvislé konštrukcie inžinierskych stavieb, krídla, steny z betónu železového, tr. C 30/37 (B 35)</t>
  </si>
  <si>
    <t>1105030208</t>
  </si>
  <si>
    <t>Zvislé konštrukcie inžinierskych stavieb, krídla, steny z betónu železového, tr. C 35/45 (B 45)</t>
  </si>
  <si>
    <t>11050311</t>
  </si>
  <si>
    <t>Zvislé konštrukcie inžinierskych stavieb, krídla, steny debnenie tradičné</t>
  </si>
  <si>
    <t>1105031101</t>
  </si>
  <si>
    <t>11050321</t>
  </si>
  <si>
    <t>1105032106</t>
  </si>
  <si>
    <t>11050502</t>
  </si>
  <si>
    <t>Zvislé konštrukcie inžinierskych stavieb, úložné prahy z betónu železového</t>
  </si>
  <si>
    <t>1105050208</t>
  </si>
  <si>
    <t>Zvislé konštrukcie inžinierskych stavieb, úložné prahy z betónu železového, tr. C 35/45 (B 45)</t>
  </si>
  <si>
    <t>11050511</t>
  </si>
  <si>
    <t>Zvislé konštrukcie inžinierskych stavieb, úložné prahy, debnenie tradičné</t>
  </si>
  <si>
    <t>1105051101</t>
  </si>
  <si>
    <t>Zvislé konštrukcie inžinierskych stavieb, úložné prahy, debnenie tradičné drevené</t>
  </si>
  <si>
    <t>11050521</t>
  </si>
  <si>
    <t>Zvislé konštrukcie inžinierskych stavieb, úložné prahy, výstuž z betonárskej ocele</t>
  </si>
  <si>
    <t>1105052106</t>
  </si>
  <si>
    <t>Zvislé konštrukcie inžinierskych stavieb, úložné prahy, výstuž z betonárskej ocele 10505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</si>
  <si>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</si>
  <si>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</si>
  <si>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</si>
  <si>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</si>
  <si>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11050611</t>
  </si>
  <si>
    <t>1105061101</t>
  </si>
  <si>
    <t>11050621</t>
  </si>
  <si>
    <t>1105062106</t>
  </si>
  <si>
    <t>11080102</t>
  </si>
  <si>
    <t>11080111</t>
  </si>
  <si>
    <t>Vodorovné nosné konštrukcie inžinierskych stavieb, prechodové dosky, debnenie tradičné</t>
  </si>
  <si>
    <t>1108011101</t>
  </si>
  <si>
    <t>Vodorovné nosné konštrukcie inžinierskych stavieb, prechodové dosky, debnenie tradičné drevené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</si>
  <si>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</si>
  <si>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</si>
  <si>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</si>
  <si>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10505</t>
  </si>
  <si>
    <t>11080202</t>
  </si>
  <si>
    <t>11080211</t>
  </si>
  <si>
    <t>1108021101</t>
  </si>
  <si>
    <t>11080221</t>
  </si>
  <si>
    <t>1108022106</t>
  </si>
  <si>
    <t>ČASŤ STAVBY :</t>
  </si>
  <si>
    <t>KS:</t>
  </si>
  <si>
    <t>POLOŽKA</t>
  </si>
  <si>
    <t>VÝKAZ VÝMER</t>
  </si>
  <si>
    <t>M.J.</t>
  </si>
  <si>
    <t>MNOŽ.</t>
  </si>
  <si>
    <t>Č.</t>
  </si>
  <si>
    <t>45.22.11</t>
  </si>
  <si>
    <t>01040100</t>
  </si>
  <si>
    <t>Konštrukcie z hornín - skládky</t>
  </si>
  <si>
    <t>0104010007</t>
  </si>
  <si>
    <t>Konštrukcie z hornín - skládky  tr.horniny 1-4</t>
  </si>
  <si>
    <t>01060204</t>
  </si>
  <si>
    <t>Premiestnenie  vodorovné nad 3 000 m</t>
  </si>
  <si>
    <t>0106020401</t>
  </si>
  <si>
    <t>Premiestnenie  výkopku resp. rúbaniny, vodorovné nad 3 000 m, tr. horniny 1-4</t>
  </si>
  <si>
    <t>01030101</t>
  </si>
  <si>
    <t>Hĺbené vykopávky jám zapažených</t>
  </si>
  <si>
    <t>0103010107</t>
  </si>
  <si>
    <t>Hĺbené vykopávky jám zapažených, tr. horniny 1-4</t>
  </si>
  <si>
    <t>01030201</t>
  </si>
  <si>
    <t>Hĺbené vykopávky rýh š. do 600 mm</t>
  </si>
  <si>
    <t>0103020107</t>
  </si>
  <si>
    <t>Hĺbené vykopávky rýh š. do 600 mm, tr. horniny 1-4</t>
  </si>
  <si>
    <t>01080402</t>
  </si>
  <si>
    <t>Povrchové úpravy terénu, svahovanie v násypoch</t>
  </si>
  <si>
    <t>0108040201</t>
  </si>
  <si>
    <t>Povrchové úpravy terénu, svahovanie v násypoch, tr.horniny 1-4</t>
  </si>
  <si>
    <t>Výkopové práce</t>
  </si>
  <si>
    <t>45.11.25</t>
  </si>
  <si>
    <t>Presun zemín</t>
  </si>
  <si>
    <t>Stavebné práce na mostoch</t>
  </si>
  <si>
    <t>Zvislé konštrukcie inžinierskych stavieb, krídla, steny, debnenie tradičné drevené</t>
  </si>
  <si>
    <t>Zvislé konštrukcie inžinierskych stavieb, krídla, steny, výstuž z betonárskej ocele</t>
  </si>
  <si>
    <t>Zvislé konštrukcie inžinierskych stavieb, krídla, steny, výstuž z betonárskej ocele 10505</t>
  </si>
  <si>
    <t>Zvislé konštrukcie inžinierskych stavieb, rímsy, debnenie tradičné</t>
  </si>
  <si>
    <t>Zvislé konštrukcie inžinierskych stavieb, rímsy, debnenie tradičné drevené</t>
  </si>
  <si>
    <t>Zvislé konštrukcie inžinierskych stavieb, rímsy, výstuž z betonárskej ocele</t>
  </si>
  <si>
    <t>Zvislé konštrukcie inžinierskych stavieb, rímsy, výstuž z betonárskej ocele 10505</t>
  </si>
  <si>
    <t xml:space="preserve">Vodorovné nosné konštrukcie inžinierskych stavieb, prechodové dosky z betónu železového </t>
  </si>
  <si>
    <t>Vodorovné nosné konštrukcie inžinierskych stavieb, mostné dosky z betónu železového</t>
  </si>
  <si>
    <t>Vodorovné nosné konštrukcie inžinierskych stavieb, mostné dosky, debnenie tradičné</t>
  </si>
  <si>
    <t>Vodorovné nosné konštrukcie inžinierskych stavieb, mostné dosky, debnenie tradičné drevené</t>
  </si>
  <si>
    <t>Vodorovné nosné konštrukcie inžinierskych stavieb, mostné dosky, výstuž z betonárskej ocele</t>
  </si>
  <si>
    <t>Vodorovné nosné konštrukcie inžinierskych stavieb, mostné dosky, výstuž z betonárskej ocele 10505</t>
  </si>
  <si>
    <t>21080407</t>
  </si>
  <si>
    <t>Vodorovné nosné konštrukcie, kĺby a ložiská elastomerové a gumené</t>
  </si>
  <si>
    <t>2108040701</t>
  </si>
  <si>
    <t>Vodorovné nosné konštrukcie, kĺby a ložiská elastomerové a gumené, zvislé zaťaženie do 1 MN</t>
  </si>
  <si>
    <t>2108040702</t>
  </si>
  <si>
    <t>Vodorovné nosné konštrukcie, kĺby a ložiská elastomerové a gumené, zvislé zaťaženie do 2,5 MN</t>
  </si>
  <si>
    <t>2108040703</t>
  </si>
  <si>
    <t>Vodorovné nosné konštrukcie, kĺby a ložiská elastomerové a gumené, zvislé zaťaženie do 5 MN</t>
  </si>
  <si>
    <t>2108040704</t>
  </si>
  <si>
    <t>Vodorovné nosné konštrukcie, kĺby a ložiská elastomerové a gumené, zvislé zaťaženie nad 5 MN</t>
  </si>
  <si>
    <t>21080409</t>
  </si>
  <si>
    <t>Vodorovné nosné konštrukcie, kĺby a ložiská, kĺb zo železobetónu</t>
  </si>
  <si>
    <t>2108040901</t>
  </si>
  <si>
    <t>Vodorovné nosné konštrukcie, kĺby a ložiská, kĺb zo železobetónu, zvislé zaťaženie do 1 MN</t>
  </si>
  <si>
    <t>21200116</t>
  </si>
  <si>
    <t>Podkladné a vedľajšie konštrukcie, výplň za oporami a protimrazové kliny zo štrkopiesku</t>
  </si>
  <si>
    <t>21250106</t>
  </si>
  <si>
    <t>Doplňujúce konštrukcie, zvodidlá oceľové</t>
  </si>
  <si>
    <t>2125010602</t>
  </si>
  <si>
    <t>Doplňujúce konštrukcie, zvodidlá oceľové zábradeľné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</si>
  <si>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</si>
  <si>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</si>
  <si>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</si>
  <si>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</si>
  <si>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</si>
  <si>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</si>
  <si>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2125042204</t>
  </si>
  <si>
    <t>Doplňujúce konštrukcie, dilatačné zariadenia, výplň dilatačných škár z polystyrénu</t>
  </si>
  <si>
    <t>21250424</t>
  </si>
  <si>
    <t>Doplňujúce konštrukcie, dilatačné zariadenia, tesnenie dilatačných škár</t>
  </si>
  <si>
    <t>2125042403</t>
  </si>
  <si>
    <t>Doplňujúce konštrukcie, dilatačné zariadenia, tesnenie dilatačných škár polyuretánovým tmelom</t>
  </si>
  <si>
    <t>21250906</t>
  </si>
  <si>
    <t>Doplňujúce konštrukcie, drobné zariadenia oceľové</t>
  </si>
  <si>
    <t>22030330</t>
  </si>
  <si>
    <t>Podkladné a krycie vrstvy z asfaltových zmesí, bitúmenové postreky, nátery, posypy spojovací postrek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</si>
  <si>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</si>
  <si>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</si>
  <si>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</si>
  <si>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</si>
  <si>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22040852</t>
  </si>
  <si>
    <t>2204085201</t>
  </si>
  <si>
    <t>2204085202</t>
  </si>
  <si>
    <t>Doplňujúce konštrukcie, protihlukové steny oceľové so sklom, akrylátom mostov a múrov</t>
  </si>
  <si>
    <t>22250671</t>
  </si>
  <si>
    <t>Doplňujúce konštrukcie,  zvislé dopravné značky, normálny alebo zväčšený rozmer</t>
  </si>
  <si>
    <t>22250980</t>
  </si>
  <si>
    <t>Doplňujúce konštrukcie,  obrubníky chodníkové</t>
  </si>
  <si>
    <t>22251083</t>
  </si>
  <si>
    <t>Doplňujúce konštrukcie,  dilatačné škáry rezané</t>
  </si>
  <si>
    <t>2225108301</t>
  </si>
  <si>
    <t>Doplňujúce konštrukcie,  dilatačné škáry rezané priečne</t>
  </si>
  <si>
    <t>22251161</t>
  </si>
  <si>
    <t>Doplňujúce konštrukcie,  otvorené žľaby z betónových tvárnic</t>
  </si>
  <si>
    <t>45.23.32</t>
  </si>
  <si>
    <t>Práce na vrchnej stavbe diaľníc, ciest, ulíc, chodníkov a nekrytých parkovísk</t>
  </si>
  <si>
    <t>spolu</t>
  </si>
  <si>
    <t>oceľ B500B</t>
  </si>
  <si>
    <t>vyvedenie drenáže opatriť tesnením a izoláciou v zmysle PD</t>
  </si>
  <si>
    <t>povrchová úprava - metličkový betón</t>
  </si>
  <si>
    <t>úprava svahu pod mostom a svahových kužeľov</t>
  </si>
  <si>
    <t>súčasťou dodávky ložísk bude polymérna malta na podliatie ložísk. Vlastnosti malty musia byť v súlade s platnými TP a TKP</t>
  </si>
  <si>
    <t>svah+svahové kužele pri opore č.1</t>
  </si>
  <si>
    <t>svah+svahové kužele pri opore č.10</t>
  </si>
  <si>
    <t>položka podľa potreby</t>
  </si>
  <si>
    <t>násyp pod oporu č.1 + svahové kužele v skladbe podľa vzorového priečneho rezu prevádzanej komunikácie</t>
  </si>
  <si>
    <t>násyp pod oporu č.10 + svahové kužele v skladbe podľa vzorového priečneho rezu prevádzanej komunikácie</t>
  </si>
  <si>
    <t>vrátane utesnenia pracovných škár v zmysle PD</t>
  </si>
  <si>
    <t xml:space="preserve">iba pre oddilatované krídla, resp. steny </t>
  </si>
  <si>
    <t>v prípade, že úložný prah podpier je vykázaný zvlášť</t>
  </si>
  <si>
    <t>vrátane protikoróznej ochrany podľa platného TP, výplne, zvodidlových nadstavcov, kotevného a spojovacieho materiálu,  vrátane podliatia plastmaltou</t>
  </si>
  <si>
    <t>zberné potrubie DN250</t>
  </si>
  <si>
    <t>vrátane kompenzátorov, čistiacich kusov, kotevného systému</t>
  </si>
  <si>
    <t>jedná sa o orientačný počet kotiev, ktorý sa upresní podľa konkrétneho použitého typu záchytného zariadenia a konkrétneho kotevného systému</t>
  </si>
  <si>
    <t>vrátane kotvenia na krídlach</t>
  </si>
  <si>
    <t>evidenčné číslo mosta - osadené na moste</t>
  </si>
  <si>
    <t>dilatačné škáry vo vozovke</t>
  </si>
  <si>
    <t>1xpenetračný náter+2x asfaltový náter za studena</t>
  </si>
  <si>
    <t>vyústenie drenáže z rubu opôr</t>
  </si>
  <si>
    <t>vsakovacia jama, vývarisko</t>
  </si>
  <si>
    <t>vrátane stuženia štetovnicových stien</t>
  </si>
  <si>
    <t>opevnenie svahových kužeľov</t>
  </si>
  <si>
    <t xml:space="preserve">vrátane kotviacich prvkov </t>
  </si>
  <si>
    <t xml:space="preserve">vrátane vyškárovania cementovou maltou </t>
  </si>
  <si>
    <t>plošná drenáž na rube opôr</t>
  </si>
  <si>
    <t>vrátane vrtov pre kotvenie a všetkých súčastí (injektážna malta, tesniaci tanier a pod.)</t>
  </si>
  <si>
    <t>02040561</t>
  </si>
  <si>
    <t>Pilóty - mikropilóty na povrchu, ťahové a tlakové</t>
  </si>
  <si>
    <t>0204056102</t>
  </si>
  <si>
    <t>Pilóty - mikropilóty na povrchu, ťahové a tlakové, D do 150 mm</t>
  </si>
  <si>
    <t>mikropilóta - komplet , vrt , dodávka,zriadenie, vyplnenie,injektáž atď.</t>
  </si>
  <si>
    <t>CPV</t>
  </si>
  <si>
    <t>KPP</t>
  </si>
  <si>
    <t>KPP2</t>
  </si>
  <si>
    <t>45.11.11</t>
  </si>
  <si>
    <t>Demolačné práce</t>
  </si>
  <si>
    <t>05010405</t>
  </si>
  <si>
    <t>Búranie konštrukcií trámov, nosníkov, prievlakov, konzolových prvkov železobetónových</t>
  </si>
  <si>
    <t>05020131</t>
  </si>
  <si>
    <t>Vybúranie konštrukcií a demontáže, odstránenie izolácie povlakovej</t>
  </si>
  <si>
    <t>05030162</t>
  </si>
  <si>
    <t>Odstránenie spevnených plôch vozoviek a doplňujúcich konštrukcií krytov bitúmenových</t>
  </si>
  <si>
    <t>0503016201</t>
  </si>
  <si>
    <t>Odstránenie spevnených plôch vozoviek a doplňujúcich konštrukcií krytov bitúmenových hr.do 100 mm</t>
  </si>
  <si>
    <t xml:space="preserve">spolu </t>
  </si>
  <si>
    <t>05030264</t>
  </si>
  <si>
    <t>Odstránenie spevnených plôch vozoviek a doplňujúcich konštrukcií podkladov z kameniva hrubého drveného</t>
  </si>
  <si>
    <t>0503026403</t>
  </si>
  <si>
    <t>Odstránenie spevnených plôch vozoviek a doplňujúcich konštrukcií podkladov z kameniva hrubého drveného hr. nad 200 do 300 mm</t>
  </si>
  <si>
    <t>05030302</t>
  </si>
  <si>
    <t>Odstránenie spevnených plôch vozoviek a doplňujúcich konštrukcií obrubníkov a krajníkov kamenných</t>
  </si>
  <si>
    <t>0503030201</t>
  </si>
  <si>
    <t>Odstránenie spevnených plôch vozoviek a doplňujúcich konštrukcií obrubníkov a krajníkov kamenných ležatých</t>
  </si>
  <si>
    <t>05030407</t>
  </si>
  <si>
    <t>Odstránenie spevnených plôch vozoviek a doplňujúcich konštrukcií zvodidiel, zábradlia, stien, oplotení kovových</t>
  </si>
  <si>
    <t>05080200</t>
  </si>
  <si>
    <t>Doprava vybúraných hmôt vodorovná</t>
  </si>
  <si>
    <t>0508020003</t>
  </si>
  <si>
    <t>Doprava vybúraných hmôt vodorovná, nad 1 km</t>
  </si>
  <si>
    <t>05090205</t>
  </si>
  <si>
    <t>Doplňujúce práce, úprava stavebných konštrukcií vysokotlakým vodným lúčom železobetónových</t>
  </si>
  <si>
    <t>0509020501</t>
  </si>
  <si>
    <t>Doplňujúce práce, úprava stavebných konštrukcií vysokotlakým vodným lúčom železobetónových, čistenie</t>
  </si>
  <si>
    <t>očistenie povrchu nosnej konštrukcie pred vybudovaním spriahujúcej dosky, bočného a spodného povrchu nosnej konštrukcie a pohľadových plôch spodnej stavby</t>
  </si>
  <si>
    <t>05090362</t>
  </si>
  <si>
    <t>Doplňujúce práce, frézovanie bitúmenového krytu, podkladu</t>
  </si>
  <si>
    <t>0509036203</t>
  </si>
  <si>
    <t>Doplňujúce práce, frézovanie bitúmenového krytu, podkladu hr. 40 mm</t>
  </si>
  <si>
    <t xml:space="preserve">45.11.12 </t>
  </si>
  <si>
    <t>Úprava staveniska a vyčisťovacie práce</t>
  </si>
  <si>
    <t>01010101</t>
  </si>
  <si>
    <t>Pripravné práce, odstránenie porastov travín</t>
  </si>
  <si>
    <t>0101010101</t>
  </si>
  <si>
    <t>Pripravné práce, odstránenie porastov travín na suchu</t>
  </si>
  <si>
    <t>odhad</t>
  </si>
  <si>
    <t>01010103</t>
  </si>
  <si>
    <t>Pripravné práce, odstránenie porastov krovín</t>
  </si>
  <si>
    <t>0101010301</t>
  </si>
  <si>
    <t>Pripravné práce, odstránenie porastov krovín na suchu</t>
  </si>
  <si>
    <t xml:space="preserve">45.11.24 </t>
  </si>
  <si>
    <t>výkop za oporami pod vrstvami vozovky pre prechodový klin</t>
  </si>
  <si>
    <t>výkop pre zaisťovacie pätky sklzu z bet. tvárnic</t>
  </si>
  <si>
    <t>0,60*0,80*1,0*2</t>
  </si>
  <si>
    <t>spätný zásyp za oporami  (0,4*2,1*9,0)*2</t>
  </si>
  <si>
    <t>do tejto položky dajte aj zásyp vystužených konštrukcií s popisom charakteristík násypového materiálu</t>
  </si>
  <si>
    <t>odvoz vykopanej zeminy za oporami</t>
  </si>
  <si>
    <t>1105020207</t>
  </si>
  <si>
    <t>Zvislé konštrukcie inžinierskych stavieb, opory z betónu železového, tr. C 30/37 (B 35)</t>
  </si>
  <si>
    <t>vrátane osadenia všetkých chráničiek pre prechod drenážnej rúrky za oporou</t>
  </si>
  <si>
    <t>vrátane povrchovej úpravy tŕňov vrubového kĺbu
pre prechodovú dosku podľa PD</t>
  </si>
  <si>
    <t>1108010207</t>
  </si>
  <si>
    <t>Vodorovné nosné konštrukcie inžinierskych stavieb, prechodové dosky  z betónu železového, tr. C 30/37 (B 35)</t>
  </si>
  <si>
    <t>11050613</t>
  </si>
  <si>
    <t>Zvislé konštrukcie inžinierskych stavieb, rímsy, debnenie zabudované</t>
  </si>
  <si>
    <t>1105061303</t>
  </si>
  <si>
    <t>Zvislé konštrukcie inžinierskych stavieb, rímsy, debnenie zabudované betónové, železobetónové</t>
  </si>
  <si>
    <t>cementotriesková doska 250x10 mm (zabudované debnenie)</t>
  </si>
  <si>
    <t>ľavostranná rímsa  0,25*19,3</t>
  </si>
  <si>
    <t>pravostranná rímsa  0,25*20,5</t>
  </si>
  <si>
    <t>prechodová doska pri opore č. 2</t>
  </si>
  <si>
    <t>prechodová doska pri opore č. 1</t>
  </si>
  <si>
    <t>prechodová doska pri opore č. 1  0,24*2,4*11,2</t>
  </si>
  <si>
    <t>prechodová doska pri opore č. 2  0,24*2,4*11,2</t>
  </si>
  <si>
    <t>podkladový betón C8/10  0,10*2,4*11,2*2</t>
  </si>
  <si>
    <t>prechodová doska pri opore č. 1  (3,0+11,2+3,0)*0,25</t>
  </si>
  <si>
    <t>prechodová doska pri opore č. 2  (3,0+11,2+3,0)*0,25</t>
  </si>
  <si>
    <t>1108020207</t>
  </si>
  <si>
    <t>Vodorovné nosné konštrukcie inžinierskych stavieb, mostné dosky  z betónu železového, tr. C 30/37 (B 35)</t>
  </si>
  <si>
    <t>1108022107</t>
  </si>
  <si>
    <t>Vodorovné nosné konštrukcie inžinierskych stavieb, mostné dosky, výstuž z betonárskej ocele zo zváraných sietí</t>
  </si>
  <si>
    <t>1120010102</t>
  </si>
  <si>
    <t>vrubový kĺb pre uloženie prech.dosky pri opore č. 2</t>
  </si>
  <si>
    <t>vrubový kĺb pre uloženie prech.dosky pri opore č. 1</t>
  </si>
  <si>
    <t>výkop pre zaisťovacie pätky schodísk pri oporách</t>
  </si>
  <si>
    <t>zábradeľné zvodidlo so zvislou výplňou pre úroveň zachytenia H2 na ľavostrannej rímse</t>
  </si>
  <si>
    <t>zábradeľné zvodidlo so zvislou výplňou pre úroveň zachytenia H2 na pravostrannej rímse</t>
  </si>
  <si>
    <t>21250206</t>
  </si>
  <si>
    <t>Doplňujúce konštrukcie, zábradlia oceľové</t>
  </si>
  <si>
    <t>21250425</t>
  </si>
  <si>
    <t>Doplňujúce konštrukcie dilatačné zariadenia mostné závery podpovrchové</t>
  </si>
  <si>
    <t>22020110</t>
  </si>
  <si>
    <t>Podkladné a krycie vrstvy s hydraulickým spojivom, stabilizované Road mix cementom</t>
  </si>
  <si>
    <t>22030329</t>
  </si>
  <si>
    <t>Podkladné a krycie vrstvy z asfaltových zmesí, bitúmenové postreky, nátery, posypy infiltračný postrek</t>
  </si>
  <si>
    <t>2203032901</t>
  </si>
  <si>
    <t>Podkladné a krycie vrstvy z asfaltových zmesí, bitúmenové postreky, nátery, posypy infiltračný postrek z asfaltu</t>
  </si>
  <si>
    <t>22030640</t>
  </si>
  <si>
    <t>Podkladné a krycie vrstvy z asfaltových zmesí, bitúmenové vrstvy, asfaltový betón</t>
  </si>
  <si>
    <t>2203064001</t>
  </si>
  <si>
    <t>Podkladné a krycie vrstvy z asfaltových zmesí, bitúmenové vrstvy, asfaltový betón  triedy I</t>
  </si>
  <si>
    <t>drenáž pri tvarovke pre odvod. izol.  0,60*1,0</t>
  </si>
  <si>
    <t>drenážny plastbetón frakcie 8/16</t>
  </si>
  <si>
    <t>styk  prechodovej dosky s oporou  11,30*2</t>
  </si>
  <si>
    <t>škára medzi krídlom opory a spevnenou plochou (1,6+0,8)*2</t>
  </si>
  <si>
    <t>2225067106</t>
  </si>
  <si>
    <t>Doplňujúce konštrukcie,  zvislé dopravné značky, normálny alebo zväčšený rozmer hliníkové reflexné</t>
  </si>
  <si>
    <t>22250981</t>
  </si>
  <si>
    <t>Doplňujúce konštrukcie,  obrubníky záhonové</t>
  </si>
  <si>
    <t>2225098101</t>
  </si>
  <si>
    <t>Doplňujúce konštrukcie,  obrubníky záhonové betónové</t>
  </si>
  <si>
    <t>lemovanie spevnenej plochy za mostom - obrubník hr. 10 cm  2,0*4+1,6*2+0,8*2</t>
  </si>
  <si>
    <t>lemovanie obslužných schodísk pri oporách - obrubník hr. 10 cm  6,5*2+5,0*2</t>
  </si>
  <si>
    <t>2225116101</t>
  </si>
  <si>
    <t>Doplňujúce konštrukcie,  otvorené žľaby z betónových tvárnic š. do 500 mm</t>
  </si>
  <si>
    <t>1x penetračný náter+2x asfaltový náter za studena</t>
  </si>
  <si>
    <t>filtračná geotextília okolo drenáže za rubom opôr  1,0*13,0*2</t>
  </si>
  <si>
    <t>izolačná fólia v prechodovej oblasti vyspádovaná v sklone min.3% k drenážnej rúrke za rubom opôr  4,0*9,0*2</t>
  </si>
  <si>
    <t>ochranná geotextília nad izolačnou fóliou v prechodovej oblasti  4,0*9,0*2</t>
  </si>
  <si>
    <t>vrátane 1 ks tvaroky pre odvodnenie povrchu izolácie s s voľným vyústením pod NK</t>
  </si>
  <si>
    <t>dočasné zábradlie na NK:  15,0*2</t>
  </si>
  <si>
    <t>03050500</t>
  </si>
  <si>
    <t>Ochranné konštrukcie, záchytná strieška</t>
  </si>
  <si>
    <t>0305050001</t>
  </si>
  <si>
    <t>Ochranné konštrukcie, záchytná strieška  š. do 2 m</t>
  </si>
  <si>
    <t>dočasné záchytné zariadenie na zachytenie búraného materiálu:  14,0*2</t>
  </si>
  <si>
    <t>0201030904</t>
  </si>
  <si>
    <t>Zlepšovanie základovej pôdy, trativody kompletné z potrubia plastického DN 100 mm</t>
  </si>
  <si>
    <t>6,0*3,0*2</t>
  </si>
  <si>
    <t>45.41.10</t>
  </si>
  <si>
    <t>Omietkarské práce</t>
  </si>
  <si>
    <t>45.44.20</t>
  </si>
  <si>
    <t>Nanášanie ochranných vrstiev - maliarske a natieračské práce</t>
  </si>
  <si>
    <t>podkladový betón  ((3,0+11,2+3,0)*0,10)*2</t>
  </si>
  <si>
    <t>1101010102</t>
  </si>
  <si>
    <t>Základy, pásy z betónu prostého, tr. C 8/10 (B 10)</t>
  </si>
  <si>
    <t>bet. odvodňovacie sklzy pri oporách  7,0+6,0</t>
  </si>
  <si>
    <t>zaisťovací pás sklzov pri oporách  0,6*0,8*1,0*2</t>
  </si>
  <si>
    <t>podkladný pás pod drenážnou rúrkou za oporou č. 2</t>
  </si>
  <si>
    <t>podkladný pás pod drenážnou rúrkou za oporou č. 1</t>
  </si>
  <si>
    <t>zaisťovací pás obslužného schodiska pri oporách  0,80*0,80*0,80*2</t>
  </si>
  <si>
    <t>1109020107</t>
  </si>
  <si>
    <t>Schodiskové konštrukcie, stupne z betónu prostého, tr. C 30/37 (B 35)</t>
  </si>
  <si>
    <t>stupne pre obslužné schodisko pri opore č. 1  0,2*0,5*0,6*13</t>
  </si>
  <si>
    <t>stupne pre obslužné schodisko pri opore č. 2  0,2*0,5*0,6*12</t>
  </si>
  <si>
    <t>debnenie podkladového pásu pod drenážnou rúrkou za oporou č. 1</t>
  </si>
  <si>
    <t>debnenie podkladového pásu pod drenážnou rúrkou za oporou č. 2</t>
  </si>
  <si>
    <t>Podkladné konštrukcie, podkladné vrstvy z betónu prostého, tr. C 8/10 (B 10)</t>
  </si>
  <si>
    <t>podkladový betón pod spevnené plochy pri opore č. 1  2,0*(1,6+0,8)*0,1*1,1</t>
  </si>
  <si>
    <t>podkladový betón pod spevnené plochy pri opore č. 2  2,0*(1,6+0,8)*0,1*1,1</t>
  </si>
  <si>
    <t>lôžko pod bet. tvárnice sklzov pri oporách  0,1*0,7*(7,0+6,0)*1,1</t>
  </si>
  <si>
    <t>podkladový betón pod schodiskové stupne  (2,0+1,5)*0,60*1,1</t>
  </si>
  <si>
    <t>vystuženie podkladu pod schodiskové stupne  0,03 t</t>
  </si>
  <si>
    <t>spevnenie plochy za oporou č. 1  2,0*(1,6+0,8)</t>
  </si>
  <si>
    <t>spevnenie plochy za oporou č. 2  2,0*(1,6+0,8)</t>
  </si>
  <si>
    <t>13071212</t>
  </si>
  <si>
    <t>Vonkajšie povrchy vodor. konštrukcií, postrek, náter muriva hydrofobizačným roztokom</t>
  </si>
  <si>
    <t>náter stien a okolia vrtu pre odvodnenie povrchu izolácie:  3,14*0,06*0,65*2</t>
  </si>
  <si>
    <t>13071613</t>
  </si>
  <si>
    <t>Vonkajšie povrchy vodor. konštrukcií, reprofilácia vodor. plôch maltou sanačnou</t>
  </si>
  <si>
    <t>13091513</t>
  </si>
  <si>
    <t>Vonkajšie povrchy stien, reprofilácia zvislých a šikmých plôch maltou sanačnou</t>
  </si>
  <si>
    <t>84010807</t>
  </si>
  <si>
    <t>Náter omietok a betónových povrchov, farba epoxidová</t>
  </si>
  <si>
    <t>8401080701</t>
  </si>
  <si>
    <t>Náter omietok a betónových povrchov, farba epoxidová, stropov</t>
  </si>
  <si>
    <t>8401080702</t>
  </si>
  <si>
    <t>Náter omietok a betónových povrchov, farba epoxidová, stien</t>
  </si>
  <si>
    <t>8401080703</t>
  </si>
  <si>
    <t>Náter omietok a betónových povrchov, farba epoxidová, mostoviek</t>
  </si>
  <si>
    <t>dilatačná škára v mieste ríms  (0,25+0,70+0,25)*4</t>
  </si>
  <si>
    <t>podkladový betón pod bet. tvárnice sklzov pri oporách  0,2*(7,0+6,0)*2</t>
  </si>
  <si>
    <t>debnenie podkladového betónu obslužných schodísk  0,5*(6,0+5,0)*2</t>
  </si>
  <si>
    <t>Kryty dláždené,chodníkov komunikácií,rigolov - úprava škár pri opravách a vyplnenie škár elastickou zálievkou</t>
  </si>
  <si>
    <t>Kryty dláždené,chodníkov komunikácií,rigolov - úprava škár pri opravách a vyplnenie škár elastickou zálievkou s predtesnením</t>
  </si>
  <si>
    <t>Kryty dláždené,chodníkov komunikácií,rigolov - úprava škár pri opravách a vyplnenie škár elastickou zálievkou bez predtesnenia</t>
  </si>
  <si>
    <t>201-00 Most I/66-042 cez potok Mlynica v km 69,313</t>
  </si>
  <si>
    <t>0503026401</t>
  </si>
  <si>
    <t>Odstránenie spevnených plôch vozoviek a doplňujúcich konštrukcií podkladov z kameniva hrubého drveného hr.do 100 mm</t>
  </si>
  <si>
    <t>01030102</t>
  </si>
  <si>
    <t>Hĺbené vykopávky jám nezapažených</t>
  </si>
  <si>
    <t>0103010207</t>
  </si>
  <si>
    <t>Hĺbené vykopávky jám nezapažených, tr. horniny 1-4</t>
  </si>
  <si>
    <t>výkop pre sanáciu oporného múra pri opore č. 2</t>
  </si>
  <si>
    <t>hmoty búrania: rímsy, kamenné obrubníky, izolácia mostovky, vrstvy jestv. vozovky, zábradlie)</t>
  </si>
  <si>
    <t>frézovanie vozovky predpoklad 50 m2 , hr. 40 mm</t>
  </si>
  <si>
    <t xml:space="preserve">vybúranie ríms:  </t>
  </si>
  <si>
    <t>???</t>
  </si>
  <si>
    <t>ľavá strana : 1,25*0,25*(11,9+8,92)</t>
  </si>
  <si>
    <t>pravá strana : 0,75*0,25*(15,36+9,94)</t>
  </si>
  <si>
    <t>odstránenie jestvujúceho zábradlia:  (11,9+8,92)+(15,36+9,94)</t>
  </si>
  <si>
    <t>Odstránenie kamenných obrubníkov pozdĺž ríms:   (11,9+8,92)+(15,36+9,94)</t>
  </si>
  <si>
    <t>odstránenie izolácie mostovky:  10*7</t>
  </si>
  <si>
    <t xml:space="preserve"> v.č. 2 : 50 m2</t>
  </si>
  <si>
    <t>cesta 5 m pred a za mostom</t>
  </si>
  <si>
    <t>odstránenie podkladov vozovky v mieste prechodových klinov   8,0*3,0*2</t>
  </si>
  <si>
    <t>nosná konštrukcia vrchná časť nosníkov : 9,50*6,50</t>
  </si>
  <si>
    <t>prebytočná zemina z výkopu za oporami - prechodový klin</t>
  </si>
  <si>
    <t>nadbetónovanie oporného múra pri opore č. 1 : 0,95*0,25*((8,9+8,82)/2)</t>
  </si>
  <si>
    <t>nadbetónovanie krídiel opory č. 1 : 0,95*0,24*((2,915+3,22)/2)+0,55*0,1*((6,215+6,4)/2)</t>
  </si>
  <si>
    <t>nadbetónovanie krídiel opory č. 2 : 0,95*0,25*((2,515+2,22)/2)+0,55*0,25*((2,76+2,656)/2)</t>
  </si>
  <si>
    <t>nadbetónovanie oporného múra pri opore č. 2 : 0,65*0,25*9,935</t>
  </si>
  <si>
    <t>ŽB veniec sanácie múra pri opore č. 2 : 0,5*0,9*9,95</t>
  </si>
  <si>
    <t>podkladový betón pod ŽB veniec hr. 100 mm ;  (2*0,10*9,95)+(2*0,1*0,5)</t>
  </si>
  <si>
    <t>ŽB veniec sanácie múra pri opore č. 2 : 2*(0,9*9,95)+2*(0,9*0,5)</t>
  </si>
  <si>
    <t>nadbetónovanie krídiel opory č. 1 : 2*0,24*((2,915+3,22)/2)+2*0,1*((6,215+6,4)/2)</t>
  </si>
  <si>
    <t>nadbetónovanie krídiel opory č. 2 : 2*0,25*((2,515+2,22)/2)+2*0,25*((2,76+2,656)/2)</t>
  </si>
  <si>
    <t>nadbetónovanie oporného múra pri opore č. 1 : 2*0,25*((8,9+8,82)/2)</t>
  </si>
  <si>
    <t>nadbetónovanie oporného múra pri opore č. 2 : 2*0,25*9,935</t>
  </si>
  <si>
    <t>podkladový betón pod drenážnú rúrku C8/10  : 0,2*0,05*10,0*2</t>
  </si>
  <si>
    <t>sanácia múra pri opore č. 2 ; výkr. č. 6</t>
  </si>
  <si>
    <t>sanácia múra pri opore č. 2 ; výkr. č. 5</t>
  </si>
  <si>
    <r>
      <t xml:space="preserve"> - betón s pridanými vláknami z polypropylénu (min. množstvo polypropylénových vláken 0,9 kg/m</t>
    </r>
    <r>
      <rPr>
        <i/>
        <vertAlign val="superscript"/>
        <sz val="10"/>
        <color rgb="FF00B050"/>
        <rFont val="Arial CE"/>
        <family val="2"/>
        <charset val="238"/>
      </rPr>
      <t>3</t>
    </r>
    <r>
      <rPr>
        <i/>
        <sz val="10"/>
        <color rgb="FF00B050"/>
        <rFont val="Arial CE"/>
        <family val="2"/>
        <charset val="238"/>
      </rPr>
      <t xml:space="preserve"> betónovej zmesi)</t>
    </r>
  </si>
  <si>
    <t>vrátane utesnenia škár v zmysle PD</t>
  </si>
  <si>
    <t>ľavostranná rímsa  ((1,0*0,24)+(0,36*0,25))*(11,9+8,92)</t>
  </si>
  <si>
    <t>pravostranná rímsa  ((0,65*0,24)+(0,36*0,3))*(15,36+9,9)</t>
  </si>
  <si>
    <t>ľavostranná rímsa  ((0,6+0,25)*(11,9+8,92))+2*((1,0*0,25)+(0,3*0,25))</t>
  </si>
  <si>
    <t>pravostranná rímsa  ((0,6+0,3)*(15,36+9,94))+2*((0,65*0,24)+(0,36*0,3))</t>
  </si>
  <si>
    <t>spriahujúca doska  9,5*6,46*0,18</t>
  </si>
  <si>
    <r>
      <t xml:space="preserve">zváraná sieť </t>
    </r>
    <r>
      <rPr>
        <i/>
        <sz val="10"/>
        <color rgb="FF00B050"/>
        <rFont val="Arial"/>
        <family val="2"/>
        <charset val="238"/>
      </rPr>
      <t>Φ</t>
    </r>
    <r>
      <rPr>
        <i/>
        <sz val="10"/>
        <color rgb="FF00B050"/>
        <rFont val="Arial CE"/>
        <family val="2"/>
        <charset val="238"/>
      </rPr>
      <t>8 mm oká 150x150 mm</t>
    </r>
  </si>
  <si>
    <t>prechodový klin za oporou č. 1 : 1,42*10</t>
  </si>
  <si>
    <t>prechodový klin za oporou č. 2 : 1,41*10</t>
  </si>
  <si>
    <t>45.22.38</t>
  </si>
  <si>
    <t>Kompletovanie a montáž prefabrikovaných konštrukcií</t>
  </si>
  <si>
    <t>15040602</t>
  </si>
  <si>
    <t>Steny a priečky, zábradlia z dielcov železobetónových</t>
  </si>
  <si>
    <t>soklový panel ochrannej bariéry 12 ks : 0,11*0,50*1,95</t>
  </si>
  <si>
    <t>22250165</t>
  </si>
  <si>
    <t>Doplňujúce konštrukcie,  zábradlie , kovové so sklom, akrylátom</t>
  </si>
  <si>
    <t>dodávka a montáž ochrannej bariéry , komplet vrátane metakrylatovej výplne podľa PD ; dlžka 24 m , výška 1,5 m</t>
  </si>
  <si>
    <t>dodávka a montáž zábradli, komplet podľa PD</t>
  </si>
  <si>
    <t>drenážna vpusť , mostné odvodnenie povrchu izolácie, dodávka a montáž v zmysle PD</t>
  </si>
  <si>
    <t>pozdlžny drenážny kanálik : 6,5 m ; 6,5*0,1</t>
  </si>
  <si>
    <t>priečny drenážny kanálik : 9,0 m ; 9*0,1</t>
  </si>
  <si>
    <t xml:space="preserve">drenážny kanálik šírky 100 mm </t>
  </si>
  <si>
    <t>prechodový klin z medzerovitého betonu za oporami</t>
  </si>
  <si>
    <t>tesniaca zálievka medzi obrubníkom a rímsou ; 15x15 mm</t>
  </si>
  <si>
    <t xml:space="preserve"> 8,91+11,89</t>
  </si>
  <si>
    <t xml:space="preserve"> 6,25+6,38+12,45</t>
  </si>
  <si>
    <t>pružná zálievka s predtesnením, medzi obrubníkom a asfaltom</t>
  </si>
  <si>
    <t>2225098002</t>
  </si>
  <si>
    <t>Doplňujúce konštrukcie,  obrubníky chodníkové kamenné</t>
  </si>
  <si>
    <t>kamenné obrubníky</t>
  </si>
  <si>
    <t>8,82+2,85+6,45+2,59</t>
  </si>
  <si>
    <t xml:space="preserve"> 6,49+6,38+12,39</t>
  </si>
  <si>
    <t xml:space="preserve">styk rímsy (obrubníka ) a vozovky </t>
  </si>
  <si>
    <t>dilatačná škára v mieste mostných záverov 10,62*2</t>
  </si>
  <si>
    <t>10,62*2</t>
  </si>
  <si>
    <t>medzi NK a prech. klinom  ; dodávka a montáž komplet , oceľový plech  vrátane povrchovej úpravy</t>
  </si>
  <si>
    <t>kotvenie ríms, dodávka a montáž komplet</t>
  </si>
  <si>
    <t>odvodňovacie rúrky DN 50 mm s drenážnou vpusťou 400x400 mm - odvodnenie povrchu izolácie vrátane jadrového vrtu cez nosnú konštrukciu priemeru 60 mm dĺžky 350 mm, steny a okolie vrtu natreté náterom v zmysle PD</t>
  </si>
  <si>
    <t>02060141</t>
  </si>
  <si>
    <t>Spevňovanie hornín a konštrukcií svorníkmi v podzemí, mechanicky upínanými</t>
  </si>
  <si>
    <t>sanácia oporného múra pri opore č.2</t>
  </si>
  <si>
    <t>ŽB veniec sanácie múra pri opore č. 2 : 1,2*10</t>
  </si>
  <si>
    <t>ochrana izolácie pod rímsami  1,15*6,5*2</t>
  </si>
  <si>
    <t>22250356</t>
  </si>
  <si>
    <t>Doplňujúce konštrukcie, zvodidlá prefabrikované</t>
  </si>
  <si>
    <t>dodávka , montáž a demontáž - 2 etapy ; 20*2</t>
  </si>
  <si>
    <t>01070102</t>
  </si>
  <si>
    <t>kpl</t>
  </si>
  <si>
    <t>pri oboch oporách - 2 x komplet</t>
  </si>
  <si>
    <t>paženie-zaistenie výkopu pri oporách počas jednotlivých etáp</t>
  </si>
  <si>
    <t>05090502</t>
  </si>
  <si>
    <t>Doplňujúce práce, vŕtanie do betónu</t>
  </si>
  <si>
    <t>cm</t>
  </si>
  <si>
    <t>cementom stmelená zmes hr. 180 mm  na konci prechodového klinu   0,75*10*2</t>
  </si>
  <si>
    <t>asfaltový infiltračný postrek 0,8 kg/m2 na cementom stabilizovanú zmes na konci prechodového klinu   1,3*10,0*2</t>
  </si>
  <si>
    <t>asfaltový betón AC 16 P na konci prechodového klinu hr. 90 mm ;  0,090*5,0*10,0*2</t>
  </si>
  <si>
    <t>obaľované kamenivo na konci prechodového klinu hr. 100 mm ;  0,10*4,0*10,0*2</t>
  </si>
  <si>
    <t>drenáž za oporou č. 1 : 10,65+(2*0,15)</t>
  </si>
  <si>
    <t>drenáž za oporou č. 2  10,65+(2*0,15)</t>
  </si>
  <si>
    <t xml:space="preserve">vrátanie 4 ks chráničiek  zabudovaných v krídlach opôr </t>
  </si>
  <si>
    <t>drenážna rúrka fi 100 mm vrátane geotextílie (obalené)</t>
  </si>
  <si>
    <t>01020200</t>
  </si>
  <si>
    <t>Odkopávky a prekopávky nezapažené</t>
  </si>
  <si>
    <t>vyčistenie koryta od nánosov a naplavenín</t>
  </si>
  <si>
    <t>vrátane odvozu a uskladnenia</t>
  </si>
  <si>
    <t>sanácia spodného povrchu nosníkov:  5*10</t>
  </si>
  <si>
    <t>sanácia horného povrchu NK: 6,5*10</t>
  </si>
  <si>
    <t>sanácia bočného povrchu nosníkov :  2*0,35*6,5</t>
  </si>
  <si>
    <t>sanácia opôr pod NK : 2*2,4*10</t>
  </si>
  <si>
    <t>sanácia bočných častí opôr a krídel: 17,5*2</t>
  </si>
  <si>
    <t>ochranný a zjednocujúci náter spodného povrchu nosníkov: 5*10</t>
  </si>
  <si>
    <t>ochranný a zjednocujúci náter bočného povrchu nosníkov:   2*0,35*6,5</t>
  </si>
  <si>
    <t>ochranný a zjednocujúci náter líca úlož. prahu opôr pod NK:  2*2,4*10</t>
  </si>
  <si>
    <t>ochranný a zjednocujúci náter bočných častí opôr a krídel:17,5*2</t>
  </si>
  <si>
    <t>ochranný náter ríms:  (11,9+8,96)*(0,25+0,6+1,08)</t>
  </si>
  <si>
    <t>ochranný náter ríms:  (15,36+9,94)*(0,3+0,6+0,73)</t>
  </si>
  <si>
    <t>odstránenie bituménových vrstiev vozovky: 8*(5+5)</t>
  </si>
  <si>
    <t>odstránenie podkladov vozovky v mieste mosta   8*(6,3+5+5)</t>
  </si>
  <si>
    <t>bočná plocha opory:  4*2,5</t>
  </si>
  <si>
    <t>líce - opory č. 1:  2,7*10</t>
  </si>
  <si>
    <t>líce - opory č. 2:  2,7*10</t>
  </si>
  <si>
    <t>1,42*8*2</t>
  </si>
  <si>
    <t xml:space="preserve">Paženie, resp.zaistenie výrubu v podzemí vykopávok </t>
  </si>
  <si>
    <t>podkladový betón pod ŽB veniec hr. 100 mm ; C8/10 ;  0,60*0,10*9,95</t>
  </si>
  <si>
    <t>vrty pre sanáciu múra oporač.2 : 33,7 m</t>
  </si>
  <si>
    <t>dodávka a montáž komplet vrát. vrtov - celozávitová predpínacia tyč v zmysle PD , dlžka 1,5 m  ; 11 ks</t>
  </si>
  <si>
    <t>spriahujúca doska (10,6+10,6+6,5+6,5)*0,2</t>
  </si>
  <si>
    <t>výstuž spriahajúcej dosky  (oceľ B500B)</t>
  </si>
  <si>
    <t>zábradlie :</t>
  </si>
  <si>
    <t>vrátane výplne, povrchovej úpravy,kotevného a spojovacieho materiálu a podliatia plastmaltou</t>
  </si>
  <si>
    <t>výplň škáry medzi rímsami v mieste dilatácie hr. 20 mm  :</t>
  </si>
  <si>
    <t>tesnenie pracovnej škáry spriahajúcej dosky:  8*2</t>
  </si>
  <si>
    <t>asfaltový spojovací postrek 0,5 kg/m2 na asfaltový betón na konci prechodového klinu   5*10,0*2</t>
  </si>
  <si>
    <t>na moste : 2*6,5*8</t>
  </si>
  <si>
    <t>na moste : AC11 45 mm :6,5*8*0,045</t>
  </si>
  <si>
    <t>na moste : AC11 40 mm :6,5*8*0,040</t>
  </si>
  <si>
    <t>dočasné prefa zvodidlá počas výstavby</t>
  </si>
  <si>
    <t>do iného KP !!!</t>
  </si>
  <si>
    <t>zapečaťujúca vrstva mostovky (kotevno-impregnačný náter a zapečaťujúci náter)  : 10*6,5</t>
  </si>
  <si>
    <t>presah nad podpovrchový MZ  1,0*10*2</t>
  </si>
  <si>
    <t>natavovacia asfaltová izolácia mostovky  10*(6,5+2)</t>
  </si>
  <si>
    <t>10 ks dlžky 4,5 m</t>
  </si>
  <si>
    <t>nosná konštrukcia spodná časť nosníkov : 9,50*5</t>
  </si>
  <si>
    <t>krídlo opory č.1 : 6+5</t>
  </si>
  <si>
    <t>krídlo opory č.2 :   0,6+4,4</t>
  </si>
  <si>
    <t>oporny  múr opora č.1 :  11,1</t>
  </si>
  <si>
    <t>oporny  múr opora č.2 :  9</t>
  </si>
  <si>
    <t xml:space="preserve">krídla opôr : </t>
  </si>
  <si>
    <t>oporný múr :</t>
  </si>
  <si>
    <r>
      <t>predpoklad dĺžky čistenia 20 m</t>
    </r>
    <r>
      <rPr>
        <i/>
        <vertAlign val="superscript"/>
        <sz val="10"/>
        <color rgb="FF00B050"/>
        <rFont val="Arial CE"/>
        <family val="2"/>
        <charset val="238"/>
      </rPr>
      <t>2</t>
    </r>
    <r>
      <rPr>
        <i/>
        <sz val="10"/>
        <color rgb="FF00B050"/>
        <rFont val="Arial CE"/>
        <family val="2"/>
        <charset val="238"/>
      </rPr>
      <t xml:space="preserve"> / hod  (210,15/20=10,6 hod)</t>
    </r>
  </si>
  <si>
    <t>výplň škáry medzi čelom NK a prechod. klinom hr. 20 mm  : 2*0,8*10</t>
  </si>
  <si>
    <t xml:space="preserve"> 2x0,29+2*0,35</t>
  </si>
  <si>
    <t>tesnenie pracovných škár ríms:  2*(0,25+0,73+0,6)</t>
  </si>
  <si>
    <t>tesnenie pracovných škár ríms:  2*(0,25+1,05+0,6)</t>
  </si>
  <si>
    <t xml:space="preserve"> nad MZ</t>
  </si>
  <si>
    <t>vrty pre spriahujúcu dosku 71,4 m</t>
  </si>
  <si>
    <t>45.23.33</t>
  </si>
  <si>
    <t>Práce na spodnej stavbe diaľníc, ciest, ulíc, chodníkov a nekrytých parkovísk</t>
  </si>
  <si>
    <t xml:space="preserve">dočasné zábradlie </t>
  </si>
  <si>
    <t xml:space="preserve">201-00 </t>
  </si>
  <si>
    <t xml:space="preserve"> Most I/66-042 cez potok Mlynica v km 69,313</t>
  </si>
  <si>
    <t>P.C.</t>
  </si>
  <si>
    <t>C.O.</t>
  </si>
  <si>
    <t>OBJEKT</t>
  </si>
  <si>
    <t>NAZOV POLOZKY</t>
  </si>
  <si>
    <t>MNOZSTVO</t>
  </si>
  <si>
    <t>POM2</t>
  </si>
  <si>
    <t>POM1</t>
  </si>
  <si>
    <t>Doplňujúce konštrukcie, zvodidlá prefabrikované-dočasné</t>
  </si>
  <si>
    <t>I/66 Popová – Hranovnica</t>
  </si>
  <si>
    <t>STAVBA :</t>
  </si>
  <si>
    <t>202-00 Most I/66-049 cez Vernánsky potok v km 75,305</t>
  </si>
  <si>
    <t>ľavá strana : 14,2*(1,1+0,11)*0,3</t>
  </si>
  <si>
    <t>odstránenie izolácie mostovky:  14,2*11,7</t>
  </si>
  <si>
    <t>05020341</t>
  </si>
  <si>
    <t>Vybúranie konštrukcií a demontáže, inštalačného vedenia a príslušenstva stožiarov</t>
  </si>
  <si>
    <t>demontáž stlpa verejného osvetlenia</t>
  </si>
  <si>
    <t>vybúranie nosníkov typ Hájek dlžka 10,15 m vrátane betonu medzi nosníkmi : 10,15*((1,015*0,5)+(0,5*0,5))</t>
  </si>
  <si>
    <t>45.31.61</t>
  </si>
  <si>
    <t>Inštalovanie vonkajších osvetľovacích zariadení a osvetlenia ciest</t>
  </si>
  <si>
    <t>Vedenia nadzemné NN - stožiare  jednoduché, oceľové, rúrové</t>
  </si>
  <si>
    <t>montáž stlpu verejného osvetrlenia</t>
  </si>
  <si>
    <t>odstránenie bituménových vrstiev vozovky: plocha 14,2x9,5 ; predpoklad dve vrstvy 5+5 cm</t>
  </si>
  <si>
    <t>Doprava vybúraných hmôt vodorovná vrát. poplatkov za skládkovanie</t>
  </si>
  <si>
    <t>Vodorovné premiestnenie odstránených hmôt,bitúmenových plôch, betónových plôch a ich podkladov na skládku , prípadne skládku spracovateľa recyklácie,vrátane všetkých poplatkov spojených z zo skládkovaním , odvoz odtráneného oplotenia na skládku, odvoz zvodidiel a značiek na skládku správcu komunikácie, odvoz travín na kompostovanie a drevín a štiepkovaných drevín na skládku spracovateľa drevoštiepky vrátane všetkých poplatkov spojených so skládkovaním a likvidáciou týchto materiálov</t>
  </si>
  <si>
    <t>záverný múrik : 2*(0,71*0,4*9,4)</t>
  </si>
  <si>
    <t>prechodová doska</t>
  </si>
  <si>
    <t>spádová betonová vrstva pod izoláciou : 14,2*9,5*0,2</t>
  </si>
  <si>
    <t>odstránenie jestvujúceho pravostranného zábradlia : 19,96 m</t>
  </si>
  <si>
    <t>odstránenie jestvujúceho ľavostranného zábradlia : 14,20 m</t>
  </si>
  <si>
    <t>pravá strana : 19,96*(1,1+0,11)*0,3</t>
  </si>
  <si>
    <t>Odstránenie kamenných obrubníkov pozdĺž ríms-pravá strana :   19,96</t>
  </si>
  <si>
    <t>Odstránenie kamenných obrubníkov pozdĺž ríms-ľavá strana :   14,20</t>
  </si>
  <si>
    <t>2*(2,5*9,5)</t>
  </si>
  <si>
    <t>vrátane odvozu a uskladnenia-odhad</t>
  </si>
  <si>
    <t>vrty pre spriahujúcu dosku - výkres č. 7 ; pol.č. 5...2 346 ks dl. 0,1 m</t>
  </si>
  <si>
    <t>záverný múrik : 2*(0,4*0,71*9,4)</t>
  </si>
  <si>
    <t>záverný múrik : 2*(0,4*0,71)+2*(0,71*9,4)</t>
  </si>
  <si>
    <t>vrty pre výstuž záverného múrika v.č. 5 : dlžka 42 cm , počet 94+10ks</t>
  </si>
  <si>
    <t xml:space="preserve"> výkr. č. 5 ; pol. 6,7,8,8,9,10</t>
  </si>
  <si>
    <t>ľavostranná rímsa  (0,53*0,41*14,2)+(0,22*1,025*14,2)</t>
  </si>
  <si>
    <t>pravostranná rímsa  (0,145*0,38*19,96)+(0,22*1,005*19,96)</t>
  </si>
  <si>
    <t>ľavostranná rímsa 14,45* (0,53+0,41)+2*(0,53*0,41)</t>
  </si>
  <si>
    <t>pravostranná rímsa 19,96*(0,145+0,38)+2*(0,145*0,38)</t>
  </si>
  <si>
    <t>kotvy</t>
  </si>
  <si>
    <t>spriahujúca doska  2*(1,55*0,13*10,15)+(9,2*10,15*0,16)</t>
  </si>
  <si>
    <t>spriahujúca doska (11,83+11,83+10,15+10,15)*0,2</t>
  </si>
  <si>
    <t>zábradlie : 19,96+14,2</t>
  </si>
  <si>
    <t xml:space="preserve">dodávka a montáž v zmysle PD v.č. 8 ; vrátane dilatačnej škáry v mieste mostných záverov </t>
  </si>
  <si>
    <t>11,9*2</t>
  </si>
  <si>
    <t>tesniaca zálievka  s predtesnení 20 mm , medzi obrubníkom a rímsou  : 14,45+19,96 m</t>
  </si>
  <si>
    <t>asfaltový spojovací postrek 0,5 kg/m2 na asfaltový betón na konci prechodového klinu   14,2*9,5*2</t>
  </si>
  <si>
    <t>na moste : AC11 45 mm 14,2*9,5*0,045</t>
  </si>
  <si>
    <t>na moste : AC11 40 mm :14,2*9,5*0,040</t>
  </si>
  <si>
    <t>natavovacia asfaltová izolácia mostovky  14,2*12,5</t>
  </si>
  <si>
    <t>dočasné záchytné zariadenie na zachytenie búraného materiálu:  15,0*2</t>
  </si>
  <si>
    <t>1108010206</t>
  </si>
  <si>
    <t>Vodorovné nosné konštrukcie inžinierskych stavieb, prechodové dosky  z betónu železového, tr. C 25/30 (B 30)</t>
  </si>
  <si>
    <t xml:space="preserve"> 2*(2*9,4*0,22)</t>
  </si>
  <si>
    <t xml:space="preserve"> (4*(2+9,4))*0,22</t>
  </si>
  <si>
    <t>v.č. 5 , pol.č. 1,2,3,4,5</t>
  </si>
  <si>
    <t>14,45+19,96 m</t>
  </si>
  <si>
    <t>22251445</t>
  </si>
  <si>
    <t>Doplňujúce konštrukcie,  pri stavbe krytov komunikácií, výstužná vložka</t>
  </si>
  <si>
    <t>vystuženie vozovky dl. 2 m : 2*(2*9,5)</t>
  </si>
  <si>
    <t>45.23.31</t>
  </si>
  <si>
    <t>STAVEBNÉ PRÁCE NA VÝSTAVBE DIAĽNIC A CIEST CHODNÍKOV A NEKRYTÝCH PARKOVÍSK</t>
  </si>
  <si>
    <t>22250776</t>
  </si>
  <si>
    <t>Doplňujúce konštrukcie,  vodorovné dopravné značenie striekané a náterové</t>
  </si>
  <si>
    <t>vodor.dopr.značenie</t>
  </si>
  <si>
    <t>11010102</t>
  </si>
  <si>
    <t>Základy, pásy z betónu železového</t>
  </si>
  <si>
    <t>zaisťovací prah-kamenná dlažba : 0,5*8,6*0,4</t>
  </si>
  <si>
    <t>prechodový klin za oporami - vhodným materiálom</t>
  </si>
  <si>
    <t>kamenná dlažba hr. 100-150 mm</t>
  </si>
  <si>
    <t>vrátane beton.lôžka hr. 100 mm</t>
  </si>
  <si>
    <t>22040417</t>
  </si>
  <si>
    <t>Kryty dláždené,chodníkov komunikácií,rigolov zo zámkovej dlažby betónovej</t>
  </si>
  <si>
    <t>zámková dlažba:</t>
  </si>
  <si>
    <t>2*2</t>
  </si>
  <si>
    <t>45.26.23</t>
  </si>
  <si>
    <t>BETONÁRSKE  PRÁCE</t>
  </si>
  <si>
    <t>11090102</t>
  </si>
  <si>
    <t>Schodiskové konštrukcie kompletné, z betónu železového-obslužné schodisko</t>
  </si>
  <si>
    <t>obslužné schodisko</t>
  </si>
  <si>
    <t>podkladový beton</t>
  </si>
  <si>
    <t>podkladový beton pod prechodovú dosku : 2,2*9,5*0,1</t>
  </si>
  <si>
    <t>1xpenetračný náter+2x asfaltový náter za studena na ploche : 2*(1*12)</t>
  </si>
  <si>
    <t>01020800</t>
  </si>
  <si>
    <t>Odkopávky a prekopávky z vody</t>
  </si>
  <si>
    <t>prečistenie koryta rieky pod mostom : odhad 10 m3</t>
  </si>
  <si>
    <t>drenážny kanálik šírky 0,1 m vyplnený polymérnym drenážn.betonom fr. 8/16</t>
  </si>
  <si>
    <t>ochranný náter ríms:  19,96*(1,7+0,41+0,53)</t>
  </si>
  <si>
    <t>ochranný náter ríms:  14,25*(1,3+0,38+0,15)</t>
  </si>
  <si>
    <t>ochranný a zjednocujúci náter spodného povrchu nosníkov: 11,9*10,15</t>
  </si>
  <si>
    <t>ochranný a zjednocujúci náter bočného povrchu nosníkov:   2*(9*1,2)</t>
  </si>
  <si>
    <t>sanácia spodného povrchu nosníkov:  11,9*10,15</t>
  </si>
  <si>
    <t>sanácia horného povrchu NK: 11,9*10,15</t>
  </si>
  <si>
    <t>bočného povrchu nosníkov:   2*(9*1,2)</t>
  </si>
  <si>
    <t>Betonárske práce</t>
  </si>
  <si>
    <t>21250208</t>
  </si>
  <si>
    <t>Doplňujúce konštrukcie, zábradlia kompozitné</t>
  </si>
  <si>
    <t>2225116102</t>
  </si>
  <si>
    <t>Doplňujúce konštrukcie,  otvorené žľaby z betónových tvárnic š. nad 500 mm</t>
  </si>
  <si>
    <t>vrátane beton.lôžka hr. 200 mm</t>
  </si>
  <si>
    <t>84010816</t>
  </si>
  <si>
    <t>Náter omietok a betónových povrchov, impregnačný cementový náter</t>
  </si>
  <si>
    <t>8401081601</t>
  </si>
  <si>
    <t>Náter omietok a betónových povrchov, impregnačný cementový náter, stropov</t>
  </si>
  <si>
    <t>8401081602</t>
  </si>
  <si>
    <t>Náter omietok a betónových povrchov, impregnačný cementový náter stien</t>
  </si>
  <si>
    <t>8401081603</t>
  </si>
  <si>
    <t>Náter omietok a betónových povrchov, impregnačný cementový náter mostoviek</t>
  </si>
  <si>
    <t xml:space="preserve">45.00.00 </t>
  </si>
  <si>
    <t>Všeobecné  položky  v  procese  obstarávania  stavieb</t>
  </si>
  <si>
    <t>00010401</t>
  </si>
  <si>
    <t>Zmluvné požiadavky poplatky za skládky vybúraných hmôt a sutí</t>
  </si>
  <si>
    <t>00010403</t>
  </si>
  <si>
    <t>Zmluvné požiadavky poplatky za skládky zeminy</t>
  </si>
  <si>
    <t>00010404</t>
  </si>
  <si>
    <t>Zmluvné požiadavky poplatky za skládky travín, krovia, mačiny,lesnej hrabanky</t>
  </si>
  <si>
    <t>00020605</t>
  </si>
  <si>
    <t>Požiadavky objednávateľa pomocné práce zhotovovacie alebo zaisťovacie lešenia</t>
  </si>
  <si>
    <t>0002060501</t>
  </si>
  <si>
    <t>Pohyblivá pracovná plošina</t>
  </si>
  <si>
    <t>0002060502</t>
  </si>
  <si>
    <t>00020801</t>
  </si>
  <si>
    <t>00020803</t>
  </si>
  <si>
    <t>Požiadavky objednávateľa ostatné požiadavky vypracovania dokumentácie</t>
  </si>
  <si>
    <t>0002080301</t>
  </si>
  <si>
    <t>Požiadavky objednávateľa ostatné požiadavky vypracovania dokumentácie, dokumentácia DSRS - 3x v tlačenej forme + 1x v digitálnej forme</t>
  </si>
  <si>
    <t>0002080302</t>
  </si>
  <si>
    <t>Požiadavky objednávateľa ostatné požiadavky vypracovania dokumentácie, dokumentácia DVP - 3x v tlačenej forme + 1x v digitálnej forme</t>
  </si>
  <si>
    <t>Požiadavky objednávateľa ostatné požiadavky  - vypracovanie mostného zošitu - 3x v tlačenej forme + 1x v digitálnej forme</t>
  </si>
  <si>
    <t>Požiadavky objednávateľa ostatné požiadavky geodetické zabezpečenie - kontrolné merania vrátane predrealizačného a porealizačného zamerania</t>
  </si>
  <si>
    <t xml:space="preserve"> spolu</t>
  </si>
  <si>
    <t>Jemná SM spolu</t>
  </si>
  <si>
    <t xml:space="preserve">výkop pre zaisťovacie prahy a pätky </t>
  </si>
  <si>
    <t>prečistenie koryta rieky pod mostom</t>
  </si>
  <si>
    <t>01020600</t>
  </si>
  <si>
    <t>Odkopávky a prekopávky korýt vodotokov</t>
  </si>
  <si>
    <t>0102060002</t>
  </si>
  <si>
    <t>Odkopávky a prekopávky korýt vodotokov, tr.horniny 3</t>
  </si>
  <si>
    <t>Oprava mosta ev.č. 11-218 cez Prašný potok, Krásno nad Kysucou</t>
  </si>
  <si>
    <t>SO 01 Most ev. č. 11-218 cez Prašný potok, Krásno nad Kysucou</t>
  </si>
  <si>
    <t>prečistenie koryta rieky pod mostom : odhad 1,2m2 x90=108m3</t>
  </si>
  <si>
    <t>výkop pre schody = 0,8*0,15*21,35</t>
  </si>
  <si>
    <t>prahy = 0,5*0,8*6,4 =</t>
  </si>
  <si>
    <t>3,5*55,0*0,4</t>
  </si>
  <si>
    <t>3,5*55,0</t>
  </si>
  <si>
    <t>2*1,8*55*0,4</t>
  </si>
  <si>
    <t>krídlo : ((0,5*4,36)/2)*8,8)x0,4</t>
  </si>
  <si>
    <t>2*1,8*55</t>
  </si>
  <si>
    <t xml:space="preserve">ochranný a zjednocujúci náter spodného povrchu klenby: </t>
  </si>
  <si>
    <t xml:space="preserve">ochranný a zjednocujúci náter bočného povrchu klenby: </t>
  </si>
  <si>
    <t>2*1,8*55,0</t>
  </si>
  <si>
    <t>Výtokové čelo : (14,02*4,36)x0,4</t>
  </si>
  <si>
    <t>Výtokové čelo : (14,02*4,36)</t>
  </si>
  <si>
    <t>Ochranný a zjednocujúci náter bočného povrchu výtokového čela a krídla :</t>
  </si>
  <si>
    <t>krídlo : ((0,5+4,36)/2)*8,8)</t>
  </si>
  <si>
    <t>ochranný náter ríms vodorovná:  =((0,5+0,1)*9,71)+(0,45+0,1)*14,365)</t>
  </si>
  <si>
    <t>ochranný náter ríms zvislá: ((0,2+0,05)*9,71)+(0,2+0,05)*14,365)</t>
  </si>
  <si>
    <t>zaisťovací prah : 6,4*(0,5*0,8)m</t>
  </si>
  <si>
    <t>vrty pre základ OK - výkres č.04 ; pol.č. 4.; (2x270)ks</t>
  </si>
  <si>
    <t>vrty pre ŽB prah - výkres č.06 ; pol.č. 3.;  56ks</t>
  </si>
  <si>
    <t>úprava svahu okolo mosta = vtok (15*2*3),  výtok(24*2*3)</t>
  </si>
  <si>
    <t>základ pre OK : 2*(8,995+8,145+8,0+8,0)*0,48*1,05</t>
  </si>
  <si>
    <t>základ pre OK :2*(8,995+8,145+8+8)*1,05 + 2*0,45x1,05*5</t>
  </si>
  <si>
    <t>rímsa na krídle  9,71*0,25*0,5</t>
  </si>
  <si>
    <t>rímsa na krídle (2*9,71*0,25)+ (0,1*9,71)</t>
  </si>
  <si>
    <t>kotvy : 57,0 kg</t>
  </si>
  <si>
    <t>oceľ B500B: 144,3kg</t>
  </si>
  <si>
    <t>zábradlie na výtokovej strane čelo 14,0m, krídlo 10,0m</t>
  </si>
  <si>
    <t>zábradlie na vtokovej strane dl 8,0m</t>
  </si>
  <si>
    <t>tesniaca zálievka  s predtesnení 20 mm , medzi rigolom, žľabom a rímsou  : 15,0+10,0+0,5m</t>
  </si>
  <si>
    <t>styk rímsy a rigolu = 10,0+15,0+0,5</t>
  </si>
  <si>
    <t>odvodňovací žľab za krídlom a výtokovým čelom = 10,0+15,0+4,0</t>
  </si>
  <si>
    <t xml:space="preserve">vrátane beton.lôžka hr. 100 mm </t>
  </si>
  <si>
    <t>kamenná dlažba hr. 300 mm : 3,0x5,0</t>
  </si>
  <si>
    <t>kamenná dlažba hr. 200 mm: (0,25+1,85+1,3+1,85+0,25)*23,5m</t>
  </si>
  <si>
    <t>kamenná dlažba hr. 100 mm: 1,3*9,0m</t>
  </si>
  <si>
    <t>pätka zábradlie : 0,4*0,4*0,5*8</t>
  </si>
  <si>
    <t>zaisťovacia stupeň : 8,6*(0,7*1,25)m</t>
  </si>
  <si>
    <t xml:space="preserve"> - pohyblivá pracovná plošina umožňujúca prístup pod klenbovú časť nosnej konštrukcie po celej dĺžke mosta</t>
  </si>
  <si>
    <t>kamenná dlažba hr. 200 mm: medzi krídlom a brehom: 11,0*1,4m</t>
  </si>
  <si>
    <t>Plocha: 6,6m x (8,145+8,0+8,0+8,995)*3mm</t>
  </si>
  <si>
    <t>45.12.00</t>
  </si>
  <si>
    <t>PRIESKUMNÉ  VRTY A  VRTNÉ  PRÁCE</t>
  </si>
  <si>
    <t>02020176</t>
  </si>
  <si>
    <t>Vrty pre kotvenie, injektáž, mikropilóty a monitoring na povrchu, tr.horniny VI</t>
  </si>
  <si>
    <t>0202017603</t>
  </si>
  <si>
    <t>Vrty pre kotvenie, injektáž, mikropilóty a monitoring na povrchu, tr.horniny VI, D do 35 mm</t>
  </si>
  <si>
    <t xml:space="preserve">                                                                              Súčet:</t>
  </si>
  <si>
    <t>(4ks*0,6m*28)x17dilatácií</t>
  </si>
  <si>
    <t>1105030206</t>
  </si>
  <si>
    <t>Zvislé konštrukcie inžinierskych stavieb, krídla, steny z betónu železového, tr. C 25/30 (B 30)</t>
  </si>
  <si>
    <t>3,0*0,15*2,43*4</t>
  </si>
  <si>
    <t>1105032107</t>
  </si>
  <si>
    <t>Zvislé konštrukcie inžinierskych stavieb, krídla, steny, výstuž z betonárskej ocele zo zváraných sietí</t>
  </si>
  <si>
    <t>3,0*2,43*4</t>
  </si>
  <si>
    <t>oceľ B500B : 395,81 kg</t>
  </si>
  <si>
    <t>(1,3*9,0*0,2)</t>
  </si>
  <si>
    <t>základ pre OK :  výkr. č. 4 ; pol. č.1 až č.5</t>
  </si>
  <si>
    <t>zaverna stienka zváraná sieť Φ8 mm oká 100x100 mm : 246,16kg a sanácia dilatácie 2068,22kg</t>
  </si>
  <si>
    <t>68060401</t>
  </si>
  <si>
    <t>Ostatné doplnkové konštrukcie, krytina z tvarovaného plechu skrutkovaná</t>
  </si>
  <si>
    <t>6806040101</t>
  </si>
  <si>
    <t>Ostatné doplnkové konštrukcie, krytina z tvarovaného plechu skrutkovaná výšky do 15 m</t>
  </si>
  <si>
    <t>03010101</t>
  </si>
  <si>
    <t>Lešenie radové, ľahké pracovné(do 1,5 kPa), s podlahami</t>
  </si>
  <si>
    <t>0301010102</t>
  </si>
  <si>
    <t>Lešenie radové, ľahké pracovné(do 1,5 kPa), s podlahami šírky od 1,0 do 1,2 m</t>
  </si>
  <si>
    <t>výška 2 m, dl.55 m, 2x</t>
  </si>
  <si>
    <t>očistenie povrchu klenby : 7,0*55,0</t>
  </si>
  <si>
    <t>očistenie povrchu klenby a pohľadových plôch spodnej stavby</t>
  </si>
  <si>
    <t>očistenie bočného povrchu výtokového čela a krídla:</t>
  </si>
  <si>
    <t>05010505</t>
  </si>
  <si>
    <t>Búranie konštrukcií podláh, podkladov, dlažieb železobetónových</t>
  </si>
  <si>
    <t>Vybúranie poškodeného opevnenia toku z dlažby IBT 4/10</t>
  </si>
  <si>
    <t>(60x20x30cm) vrátane bet lôžku hr 100mm</t>
  </si>
  <si>
    <t>05010604</t>
  </si>
  <si>
    <t>Búranie konštrukcií, prisekanie a osekávanie muriva,vysekávanie výklenkov rýh a kapies v murive betónovom</t>
  </si>
  <si>
    <t>0,48*0,15*2*(8,995+8,145+8,0+8,0)</t>
  </si>
  <si>
    <t>Odkopávka pre spevnenie na vtokovom čele</t>
  </si>
  <si>
    <t>21200101</t>
  </si>
  <si>
    <t>Podkladné a vedľajšie konštrukcie, výplň za oporami a protimrazové kliny z betónu</t>
  </si>
  <si>
    <t>Plocha = 2,1m2 *(8,995+8,145+8+8)*1,05</t>
  </si>
  <si>
    <t>31210308</t>
  </si>
  <si>
    <t>Spevnené plochy, dlažby z betónových dielcov, tvárnic</t>
  </si>
  <si>
    <t>3121030802</t>
  </si>
  <si>
    <t>Spevnené plochy, dlažby z betónových dielcov, tvárnic hmotnosť nad 60 do 200 kg</t>
  </si>
  <si>
    <t>doplnenie a osadenie vymytej dlažby z dlažby IBT 4/10</t>
  </si>
  <si>
    <t>pozdĺž základu pre OK na ploche: 2*0,2x(8,995+8,145+8+8)</t>
  </si>
  <si>
    <t>opevnenie v dne : na ploche 20m2</t>
  </si>
  <si>
    <t>1101010104</t>
  </si>
  <si>
    <t>Základy, pásy z betónu prostého, tr. C 16/20 (B 20)</t>
  </si>
  <si>
    <t>11010111</t>
  </si>
  <si>
    <t>Základy, pásy, debnenie tradičné</t>
  </si>
  <si>
    <t>1101011101</t>
  </si>
  <si>
    <t>Základy, pásy, debnenie tradičné drevené</t>
  </si>
  <si>
    <t>zaisťovací prah : 2*6,4*0,8m+2*0,5*0,8m</t>
  </si>
  <si>
    <t>zaisťovacia stupeň : 2*8,6*1,25m+2*0,7*1,25m</t>
  </si>
  <si>
    <t>1101010207</t>
  </si>
  <si>
    <t>Základy, pásy z betónu železového, tr. C 30/37 (B 35)</t>
  </si>
  <si>
    <t>ŽB zaisťovací prah : 0,2*0,3*2,2m x 4</t>
  </si>
  <si>
    <t>ŽB Zaisťovací prah: 2*0,2*2,2x4</t>
  </si>
  <si>
    <t>11010201</t>
  </si>
  <si>
    <t>Základy, pätky z betónu prostého</t>
  </si>
  <si>
    <t>1101020107</t>
  </si>
  <si>
    <t>Základy, pätky z betónu prostého, tr. C 30/37 (B 35)</t>
  </si>
  <si>
    <t>pätka zábradlie : 4*0,4*0,5*8</t>
  </si>
  <si>
    <t>01030202</t>
  </si>
  <si>
    <t>Hĺbené vykopávky rýh š nad 600 mm</t>
  </si>
  <si>
    <t>0103020207</t>
  </si>
  <si>
    <t>Hĺbené vykopávky rýh š nad 600 mm, tr. horniny 1-4</t>
  </si>
  <si>
    <t>zaisťovací stupeň = 0,7*1,25*8,6 =</t>
  </si>
  <si>
    <t>Odvedenie vody, usmernenie toku (hrádzkou prípadne potrubím) počas budovania opevnenia spodnej stavby 0,75*0,5*120m</t>
  </si>
  <si>
    <t>Úprava terénu ako prístupovej cesty k mostu  dĺžke 100m šírky 3,5m</t>
  </si>
  <si>
    <t xml:space="preserve">Doprava vybúraných hmôt vodorovná </t>
  </si>
  <si>
    <t>Časti stavby</t>
  </si>
  <si>
    <t>Rekapitulácia</t>
  </si>
  <si>
    <t>Číslo časti stavby</t>
  </si>
  <si>
    <t>Klasifikácia stavieb</t>
  </si>
  <si>
    <t>Názov časti stavby</t>
  </si>
  <si>
    <t>Cena bez DPH</t>
  </si>
  <si>
    <t>DPH 20%</t>
  </si>
  <si>
    <t>Cena s DPH</t>
  </si>
  <si>
    <t>Celkový počet</t>
  </si>
  <si>
    <t>01</t>
  </si>
  <si>
    <t>Súpis prác</t>
  </si>
  <si>
    <t>Klasifikácia produkcie</t>
  </si>
  <si>
    <t>Jednotkova cena</t>
  </si>
  <si>
    <t>Názov položky</t>
  </si>
  <si>
    <t>Číslo položky</t>
  </si>
  <si>
    <t>45.00.00 - Všeobecné  položky  v  procese  obstarávania  stavieb</t>
  </si>
  <si>
    <t>45.00.00</t>
  </si>
  <si>
    <t>45.11.11 - Demolačné práce</t>
  </si>
  <si>
    <t>45.11.12 - Úprava staveniska a vyčisťovacie práce</t>
  </si>
  <si>
    <t>45.11.24 - Výkopové práce</t>
  </si>
  <si>
    <t>45.11.24</t>
  </si>
  <si>
    <t>45.11.25 - Presún zemín</t>
  </si>
  <si>
    <t>45.12.00 - Prieskumné vrty a vrtné práce</t>
  </si>
  <si>
    <t>45.44.20 - Nanášanie ochranných vrstiev - maliarske a natieračské práce</t>
  </si>
  <si>
    <t>45.41.10 - Omietkarské práce</t>
  </si>
  <si>
    <t>45.26.21 - Lešenárske práce</t>
  </si>
  <si>
    <t>45.26.23 - Betonárske práce</t>
  </si>
  <si>
    <t>45.24.70 - Práce na hrubej stavbe úprav tokov, hrádzí, zavlažovacích kanálov a akvaduktov</t>
  </si>
  <si>
    <t>45.23.32 - Práce na vrchnej stavbe diaľníc, ciest, ulíc, chodníkov a nekrytých parkovísk</t>
  </si>
  <si>
    <t>45.22.11 - Stavebné práce na mostoch</t>
  </si>
  <si>
    <t>Spolu (bez DPH)</t>
  </si>
  <si>
    <t>DPH( 20%)</t>
  </si>
  <si>
    <t>Spolu (s DPH)</t>
  </si>
  <si>
    <t xml:space="preserve">bočného povrchu klenby 100% plochy (Jemná SM) do 5mm: </t>
  </si>
  <si>
    <t>Bočný povrch výtokového čela krídla 100% plochy (Jemná SM) do 5mm:</t>
  </si>
  <si>
    <t xml:space="preserve">bočného povrchu klenby 40% plochy (Hrubá SM) do 30mm: </t>
  </si>
  <si>
    <t>Bočný povrch výtokového čela a krídla 40% plochy (Hrubá SM) do 30mm:</t>
  </si>
  <si>
    <t xml:space="preserve">sanácia spodného povrchu klenby 40% plochy (Hrubá SM) do 30mm: </t>
  </si>
  <si>
    <t xml:space="preserve">sanácia spodného povrchu klenby 100% plochy (Jemná SM) do 5 mm: </t>
  </si>
  <si>
    <t xml:space="preserve">odvodňovacie rúrky DN 100 mm - odvodnenie rubu opôr vrátane jadrového vrtu cez nosnú konštrukciu klenby priemeru 100 mm dĺžky 1500 mm, </t>
  </si>
  <si>
    <t>vrátane injektáže, tesniaceho pásu, lepiacej hmoty a tesnenia špáry (pružnej vložky)</t>
  </si>
  <si>
    <t>Plocha opevnenia toku 6,3*14,0 * hrúbka (0,3+0,1)</t>
  </si>
  <si>
    <t>vrchná časť klenby 1,0*3,5*17*0,02</t>
  </si>
  <si>
    <t>1,0*0,1*(2*1,8*17)</t>
  </si>
  <si>
    <t>13071513</t>
  </si>
  <si>
    <t xml:space="preserve">Vonkajšie povrchy vodor. konštrukcií, reprofilácia podhľadov maltou sanačnou  </t>
  </si>
  <si>
    <t xml:space="preserve">sanácia okolo dilatačných špár klenby(Hrubá SM) na báze epoxidov hr. 20mm: </t>
  </si>
  <si>
    <t>(1,0*7,0)x17</t>
  </si>
  <si>
    <t>Vodorovné premiestnenie odstránených hmôt, betónových plôch a ich podkladov na skládku , prípadne skládku spracovateľa recyklácie</t>
  </si>
  <si>
    <t>výkop pre lôžko pod rigolové tvárnice = 0,7*0,2*(15,0+10,0+4)</t>
  </si>
  <si>
    <t>Výplň klenby okolo dilatačných špár</t>
  </si>
  <si>
    <t>tesniaca zálievka  s predtesnení 20 mm , dilatačné špáry klenby: 7,0m*17</t>
  </si>
  <si>
    <t>spodná časť klenby 1,0*2*1,8*17*0,1</t>
  </si>
  <si>
    <t>Úprava a zasekanie do podkladného betónu v mieste základu pre OK</t>
  </si>
  <si>
    <t>vrty pre výstuž záver. stienky v.č. 07  :položka č.1  dĺžka 25cm, počet 84+612 = 696ks</t>
  </si>
  <si>
    <t>hmoty búrania: vybúraná dlažba, podkladný betón degradovaná časť klenby pri čistení dilatácií)</t>
  </si>
  <si>
    <t>pätky zábradlia = 0,4*0,4*0,5*8</t>
  </si>
  <si>
    <t>Hĺbené vykopávky rýh</t>
  </si>
  <si>
    <t>vrty pre sanáciu a injektáž špár klenby (dĺžka klenby po obvode 7,0m)</t>
  </si>
  <si>
    <t>Zaverna stienka medzi OK a spodnou hranou NK</t>
  </si>
  <si>
    <t>Výplňový betón C 12/15 medzi pôvodnou nosnou konštrukciou a Oceľovou konštrukciou</t>
  </si>
  <si>
    <t>dodávka a montáž zábradlí, komplet podľa PD</t>
  </si>
  <si>
    <t>vrátane výplne, povrchovej úpravy, kotevného a spojovacieho materiálu a podliatia plastmaltou</t>
  </si>
  <si>
    <t>oceľ.konštrukcia - plech hr. 3mm, vlna 55mm, vrátane spojovacieho a kotviaceho materiálu a povrchovej úpravy podľa PD</t>
  </si>
  <si>
    <t>podkladový betón rigol:( 6,0+8,0)*0,1*0,5m</t>
  </si>
  <si>
    <t>dočasné zábradlie na okrajoch výtokového čela 15,0+9,7m</t>
  </si>
  <si>
    <t>dočasné zábradlie na okrajoch vtokového čela 8,0m</t>
  </si>
  <si>
    <t>Hrubá SM spolu</t>
  </si>
  <si>
    <t>Úprava klenby v mieste dilatačnej špáry očistenie od degradovaného betónu priemerná hrúbka 0,1m spodná časť, a 20 mm vrchná časť klenby</t>
  </si>
  <si>
    <t>plošná injektáž 60m2 ( rozteč vrtov 30x30cm, 9 vrtov na 1m2, dĺžka vrtu 0,4m)</t>
  </si>
  <si>
    <t>Plocha dna v mieste základu pre OK : (2*0,6*(8,995+8,145+8,0+8,0) )*0,3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</si>
</sst>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000000"/>
    <numFmt numFmtId="166" formatCode="0000000000"/>
    <numFmt numFmtId="167" formatCode="0.000"/>
    <numFmt numFmtId="168" formatCode="#,##0.000"/>
  </numFmts>
  <fonts count="6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b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1"/>
      <color rgb="FF00B0F0"/>
      <name val="Arial CE"/>
      <family val="2"/>
      <charset val="238"/>
    </font>
    <font>
      <sz val="11"/>
      <color rgb="FF00B0F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12"/>
      <name val="Arial"/>
      <family val="2"/>
    </font>
    <font>
      <i/>
      <sz val="10"/>
      <color rgb="FFFF000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i/>
      <u/>
      <sz val="10"/>
      <name val="Arial CE"/>
      <family val="2"/>
      <charset val="238"/>
    </font>
    <font>
      <b/>
      <i/>
      <sz val="10"/>
      <color indexed="12"/>
      <name val="Arial"/>
      <family val="2"/>
      <charset val="238"/>
    </font>
    <font>
      <b/>
      <i/>
      <sz val="10"/>
      <color indexed="12"/>
      <name val="Arial CE"/>
      <family val="2"/>
      <charset val="238"/>
    </font>
    <font>
      <i/>
      <u/>
      <sz val="10"/>
      <name val="Arial"/>
      <family val="2"/>
      <charset val="238"/>
    </font>
    <font>
      <i/>
      <sz val="10"/>
      <color rgb="FF00B050"/>
      <name val="Arial CE"/>
      <family val="2"/>
      <charset val="238"/>
    </font>
    <font>
      <b/>
      <sz val="10"/>
      <color rgb="FF00B050"/>
      <name val="Arial CE"/>
      <family val="2"/>
      <charset val="238"/>
    </font>
    <font>
      <i/>
      <u/>
      <sz val="10"/>
      <color rgb="FF00B050"/>
      <name val="Arial CE"/>
      <family val="2"/>
      <charset val="238"/>
    </font>
    <font>
      <b/>
      <sz val="10"/>
      <color rgb="FF00B050"/>
      <name val="Arial"/>
      <family val="2"/>
      <charset val="238"/>
    </font>
    <font>
      <b/>
      <i/>
      <sz val="10"/>
      <color rgb="FF00B050"/>
      <name val="Arial CE"/>
      <family val="2"/>
      <charset val="238"/>
    </font>
    <font>
      <sz val="10"/>
      <color rgb="FF00B050"/>
      <name val="Arial CE"/>
      <family val="2"/>
      <charset val="238"/>
    </font>
    <font>
      <i/>
      <vertAlign val="superscript"/>
      <sz val="10"/>
      <color rgb="FF00B050"/>
      <name val="Arial CE"/>
      <family val="2"/>
      <charset val="238"/>
    </font>
    <font>
      <i/>
      <sz val="10"/>
      <color rgb="FF00B050"/>
      <name val="Arial"/>
      <family val="2"/>
      <charset val="238"/>
    </font>
    <font>
      <b/>
      <sz val="11"/>
      <color rgb="FF00B050"/>
      <name val="Arial CE"/>
      <family val="2"/>
      <charset val="238"/>
    </font>
    <font>
      <sz val="10"/>
      <color rgb="FF00B050"/>
      <name val="Arial"/>
      <family val="2"/>
    </font>
    <font>
      <sz val="11"/>
      <color rgb="FF00B05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1"/>
      <color rgb="FF00B05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i/>
      <u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"/>
      <family val="2"/>
      <charset val="238"/>
    </font>
    <font>
      <i/>
      <sz val="10"/>
      <color rgb="FF00B050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rgb="FF00B050"/>
      <name val="Arial CE"/>
      <family val="2"/>
      <charset val="238"/>
    </font>
    <font>
      <i/>
      <sz val="10"/>
      <color rgb="FF00B050"/>
      <name val="Arial"/>
      <family val="2"/>
    </font>
    <font>
      <i/>
      <u/>
      <sz val="10"/>
      <color rgb="FF00B050"/>
      <name val="Arial"/>
      <family val="2"/>
    </font>
    <font>
      <i/>
      <sz val="10"/>
      <name val="Arial"/>
      <family val="2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Arial CE"/>
      <family val="2"/>
      <charset val="238"/>
    </font>
    <font>
      <i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9"/>
      <name val="Arial"/>
      <family val="2"/>
      <charset val="238"/>
    </font>
    <font>
      <sz val="8"/>
      <name val="Arial CE"/>
      <family val="2"/>
      <charset val="238"/>
    </font>
    <font>
      <i/>
      <sz val="9.5"/>
      <name val="Arial CE"/>
      <family val="2"/>
      <charset val="238"/>
    </font>
    <font>
      <b/>
      <sz val="9.5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" fillId="0" borderId="0"/>
    <xf numFmtId="0" fontId="1" fillId="0" borderId="0" applyBorder="0"/>
    <xf numFmtId="0" fontId="1" fillId="0" borderId="0"/>
    <xf numFmtId="0" fontId="1" fillId="0" borderId="0"/>
  </cellStyleXfs>
  <cellXfs count="1099">
    <xf numFmtId="0" fontId="0" fillId="0" borderId="0" xfId="0"/>
    <xf numFmtId="49" fontId="2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3" fillId="2" borderId="1" xfId="0" quotePrefix="1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quotePrefix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left" vertical="center" wrapText="1"/>
    </xf>
    <xf numFmtId="166" fontId="17" fillId="0" borderId="1" xfId="0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29" fillId="0" borderId="14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4" xfId="0" applyNumberFormat="1" applyFont="1" applyFill="1" applyBorder="1" applyAlignment="1">
      <alignment horizontal="right" vertical="center" wrapText="1"/>
    </xf>
    <xf numFmtId="0" fontId="28" fillId="4" borderId="0" xfId="0" applyNumberFormat="1" applyFont="1" applyFill="1" applyBorder="1" applyAlignment="1" applyProtection="1">
      <alignment horizontal="left" vertical="center" wrapText="1"/>
      <protection locked="0"/>
    </xf>
    <xf numFmtId="4" fontId="28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30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right" vertical="center" wrapText="1"/>
    </xf>
    <xf numFmtId="4" fontId="1" fillId="3" borderId="14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/>
    </xf>
    <xf numFmtId="4" fontId="24" fillId="2" borderId="0" xfId="0" applyNumberFormat="1" applyFont="1" applyFill="1" applyAlignment="1">
      <alignment horizontal="right" vertical="center" wrapText="1"/>
    </xf>
    <xf numFmtId="4" fontId="23" fillId="2" borderId="14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0" xfId="0" applyNumberFormat="1" applyFont="1" applyFill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quotePrefix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3" fillId="2" borderId="1" xfId="0" quotePrefix="1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9" fillId="3" borderId="1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3" borderId="14" xfId="0" applyNumberFormat="1" applyFont="1" applyFill="1" applyBorder="1" applyAlignment="1">
      <alignment horizontal="right" vertical="center"/>
    </xf>
    <xf numFmtId="4" fontId="9" fillId="3" borderId="1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3" fillId="2" borderId="1" xfId="0" quotePrefix="1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quotePrefix="1" applyNumberFormat="1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/>
    </xf>
    <xf numFmtId="49" fontId="33" fillId="0" borderId="1" xfId="0" quotePrefix="1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4" fontId="33" fillId="0" borderId="14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quotePrefix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8" fillId="0" borderId="3" xfId="0" applyNumberFormat="1" applyFont="1" applyFill="1" applyBorder="1" applyAlignment="1" applyProtection="1">
      <alignment horizontal="left" vertical="center" wrapText="1"/>
      <protection locked="0"/>
    </xf>
    <xf numFmtId="4" fontId="29" fillId="4" borderId="14" xfId="0" applyNumberFormat="1" applyFont="1" applyFill="1" applyBorder="1" applyAlignment="1">
      <alignment horizontal="right" vertical="center" wrapText="1"/>
    </xf>
    <xf numFmtId="4" fontId="33" fillId="4" borderId="14" xfId="0" applyNumberFormat="1" applyFont="1" applyFill="1" applyBorder="1" applyAlignment="1">
      <alignment horizontal="right" vertical="center" wrapText="1"/>
    </xf>
    <xf numFmtId="4" fontId="1" fillId="4" borderId="14" xfId="0" applyNumberFormat="1" applyFont="1" applyFill="1" applyBorder="1" applyAlignment="1">
      <alignment horizontal="right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9" fontId="29" fillId="4" borderId="1" xfId="0" quotePrefix="1" applyNumberFormat="1" applyFont="1" applyFill="1" applyBorder="1" applyAlignment="1">
      <alignment horizontal="left" vertical="center"/>
    </xf>
    <xf numFmtId="49" fontId="29" fillId="4" borderId="1" xfId="0" applyNumberFormat="1" applyFont="1" applyFill="1" applyBorder="1" applyAlignment="1">
      <alignment horizontal="left" vertical="center"/>
    </xf>
    <xf numFmtId="0" fontId="29" fillId="4" borderId="0" xfId="0" applyFont="1" applyFill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49" fontId="33" fillId="4" borderId="1" xfId="0" quotePrefix="1" applyNumberFormat="1" applyFont="1" applyFill="1" applyBorder="1" applyAlignment="1">
      <alignment horizontal="left" vertical="center"/>
    </xf>
    <xf numFmtId="0" fontId="33" fillId="4" borderId="0" xfId="0" applyFont="1" applyFill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49" fontId="28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3" fillId="4" borderId="1" xfId="0" quotePrefix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33" fillId="0" borderId="1" xfId="0" quotePrefix="1" applyNumberFormat="1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2" fillId="4" borderId="0" xfId="0" applyFont="1" applyFill="1" applyAlignment="1">
      <alignment horizontal="right" vertical="center" wrapText="1"/>
    </xf>
    <xf numFmtId="0" fontId="28" fillId="4" borderId="0" xfId="0" applyFont="1" applyFill="1" applyAlignment="1">
      <alignment horizontal="right" vertical="center" wrapText="1"/>
    </xf>
    <xf numFmtId="4" fontId="28" fillId="4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Fill="1" applyBorder="1" applyAlignment="1">
      <alignment horizontal="right"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2" fontId="11" fillId="0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8" fillId="0" borderId="0" xfId="0" applyNumberFormat="1" applyFont="1" applyFill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 wrapText="1"/>
    </xf>
    <xf numFmtId="2" fontId="27" fillId="0" borderId="0" xfId="0" applyNumberFormat="1" applyFont="1" applyFill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9" fontId="29" fillId="0" borderId="1" xfId="0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vertical="center" wrapText="1"/>
    </xf>
    <xf numFmtId="4" fontId="28" fillId="0" borderId="0" xfId="0" applyNumberFormat="1" applyFont="1" applyAlignment="1">
      <alignment horizontal="right" vertical="center" wrapText="1"/>
    </xf>
    <xf numFmtId="2" fontId="35" fillId="0" borderId="0" xfId="0" applyNumberFormat="1" applyFont="1" applyFill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4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6" fillId="0" borderId="1" xfId="0" applyNumberFormat="1" applyFont="1" applyFill="1" applyBorder="1" applyAlignment="1">
      <alignment horizontal="center" vertical="center"/>
    </xf>
    <xf numFmtId="49" fontId="29" fillId="0" borderId="1" xfId="0" quotePrefix="1" applyNumberFormat="1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/>
    </xf>
    <xf numFmtId="49" fontId="37" fillId="0" borderId="1" xfId="0" quotePrefix="1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8" fillId="0" borderId="1" xfId="0" applyFont="1" applyFill="1" applyBorder="1" applyAlignment="1">
      <alignment vertical="center"/>
    </xf>
    <xf numFmtId="49" fontId="36" fillId="0" borderId="1" xfId="0" applyNumberFormat="1" applyFont="1" applyFill="1" applyBorder="1" applyAlignment="1">
      <alignment vertical="center"/>
    </xf>
    <xf numFmtId="49" fontId="37" fillId="0" borderId="1" xfId="0" quotePrefix="1" applyNumberFormat="1" applyFont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 wrapText="1"/>
    </xf>
    <xf numFmtId="4" fontId="30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0" xfId="0" applyNumberFormat="1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vertical="center"/>
    </xf>
    <xf numFmtId="49" fontId="39" fillId="0" borderId="1" xfId="0" applyNumberFormat="1" applyFont="1" applyFill="1" applyBorder="1" applyAlignment="1">
      <alignment vertical="center"/>
    </xf>
    <xf numFmtId="4" fontId="29" fillId="3" borderId="14" xfId="0" applyNumberFormat="1" applyFont="1" applyFill="1" applyBorder="1" applyAlignment="1">
      <alignment horizontal="right" vertical="center" wrapText="1"/>
    </xf>
    <xf numFmtId="4" fontId="33" fillId="3" borderId="14" xfId="0" applyNumberFormat="1" applyFont="1" applyFill="1" applyBorder="1" applyAlignment="1">
      <alignment horizontal="right" vertical="center" wrapText="1"/>
    </xf>
    <xf numFmtId="0" fontId="31" fillId="4" borderId="2" xfId="0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49" fontId="33" fillId="4" borderId="1" xfId="0" applyNumberFormat="1" applyFont="1" applyFill="1" applyBorder="1" applyAlignment="1">
      <alignment horizontal="left" vertical="center"/>
    </xf>
    <xf numFmtId="0" fontId="33" fillId="4" borderId="0" xfId="0" applyFont="1" applyFill="1" applyAlignment="1">
      <alignment vertical="center" wrapText="1"/>
    </xf>
    <xf numFmtId="2" fontId="28" fillId="0" borderId="0" xfId="0" applyNumberFormat="1" applyFont="1" applyFill="1" applyAlignment="1">
      <alignment horizontal="right" vertical="center" wrapText="1"/>
    </xf>
    <xf numFmtId="2" fontId="30" fillId="0" borderId="0" xfId="0" applyNumberFormat="1" applyFont="1" applyFill="1" applyAlignment="1">
      <alignment horizontal="right" vertical="center" wrapText="1"/>
    </xf>
    <xf numFmtId="49" fontId="28" fillId="4" borderId="0" xfId="0" applyNumberFormat="1" applyFont="1" applyFill="1" applyBorder="1" applyAlignment="1" applyProtection="1">
      <alignment horizontal="left" vertical="center" wrapText="1"/>
      <protection locked="0"/>
    </xf>
    <xf numFmtId="2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quotePrefix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 wrapText="1"/>
    </xf>
    <xf numFmtId="49" fontId="29" fillId="0" borderId="1" xfId="0" quotePrefix="1" applyNumberFormat="1" applyFont="1" applyBorder="1" applyAlignment="1">
      <alignment horizontal="left" vertical="top"/>
    </xf>
    <xf numFmtId="49" fontId="29" fillId="0" borderId="1" xfId="0" applyNumberFormat="1" applyFont="1" applyBorder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9" fillId="0" borderId="1" xfId="0" applyFont="1" applyBorder="1" applyAlignment="1">
      <alignment horizontal="center" vertical="top"/>
    </xf>
    <xf numFmtId="0" fontId="28" fillId="0" borderId="0" xfId="0" applyFont="1" applyFill="1" applyAlignment="1">
      <alignment vertical="center" wrapText="1"/>
    </xf>
    <xf numFmtId="49" fontId="39" fillId="4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8" fillId="4" borderId="1" xfId="0" applyFont="1" applyFill="1" applyBorder="1" applyAlignment="1">
      <alignment vertical="center"/>
    </xf>
    <xf numFmtId="49" fontId="36" fillId="4" borderId="1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49" fontId="23" fillId="4" borderId="1" xfId="0" applyNumberFormat="1" applyFont="1" applyFill="1" applyBorder="1" applyAlignment="1">
      <alignment horizontal="left" vertical="center"/>
    </xf>
    <xf numFmtId="49" fontId="23" fillId="4" borderId="1" xfId="0" quotePrefix="1" applyNumberFormat="1" applyFont="1" applyFill="1" applyBorder="1" applyAlignment="1">
      <alignment horizontal="left" vertical="center"/>
    </xf>
    <xf numFmtId="0" fontId="7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Alignment="1">
      <alignment horizontal="right" vertical="center" wrapText="1"/>
    </xf>
    <xf numFmtId="0" fontId="23" fillId="4" borderId="1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4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29" fillId="4" borderId="1" xfId="0" applyFont="1" applyFill="1" applyBorder="1" applyAlignment="1">
      <alignment vertical="center" wrapText="1"/>
    </xf>
    <xf numFmtId="49" fontId="29" fillId="0" borderId="1" xfId="0" quotePrefix="1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" fontId="28" fillId="4" borderId="0" xfId="0" applyNumberFormat="1" applyFont="1" applyFill="1" applyAlignment="1">
      <alignment horizontal="right" vertical="center" wrapText="1"/>
    </xf>
    <xf numFmtId="0" fontId="28" fillId="4" borderId="0" xfId="0" applyNumberFormat="1" applyFont="1" applyFill="1" applyBorder="1" applyAlignment="1" applyProtection="1">
      <alignment vertical="center" wrapText="1"/>
      <protection locked="0"/>
    </xf>
    <xf numFmtId="2" fontId="28" fillId="4" borderId="0" xfId="0" applyNumberFormat="1" applyFont="1" applyFill="1" applyAlignment="1">
      <alignment horizontal="right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left" vertical="center" wrapText="1"/>
    </xf>
    <xf numFmtId="4" fontId="1" fillId="4" borderId="24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4" fontId="29" fillId="4" borderId="24" xfId="0" applyNumberFormat="1" applyFont="1" applyFill="1" applyBorder="1" applyAlignment="1">
      <alignment horizontal="right" vertical="center" wrapText="1"/>
    </xf>
    <xf numFmtId="4" fontId="33" fillId="4" borderId="24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0" applyFont="1" applyAlignment="1">
      <alignment vertical="center"/>
    </xf>
    <xf numFmtId="3" fontId="1" fillId="4" borderId="16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 wrapText="1"/>
    </xf>
    <xf numFmtId="0" fontId="30" fillId="0" borderId="0" xfId="0" applyFont="1" applyFill="1" applyAlignment="1">
      <alignment horizontal="right" vertical="center" wrapText="1"/>
    </xf>
    <xf numFmtId="2" fontId="20" fillId="0" borderId="0" xfId="0" applyNumberFormat="1" applyFont="1" applyAlignment="1">
      <alignment horizontal="right" vertical="center" wrapText="1"/>
    </xf>
    <xf numFmtId="2" fontId="43" fillId="0" borderId="0" xfId="0" applyNumberFormat="1" applyFont="1" applyAlignment="1">
      <alignment horizontal="right" vertical="center" wrapText="1"/>
    </xf>
    <xf numFmtId="4" fontId="13" fillId="4" borderId="14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2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quotePrefix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4" borderId="27" xfId="0" applyFont="1" applyFill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0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quotePrefix="1" applyNumberFormat="1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right" vertical="center" wrapText="1"/>
    </xf>
    <xf numFmtId="49" fontId="1" fillId="0" borderId="27" xfId="0" quotePrefix="1" applyNumberFormat="1" applyFont="1" applyBorder="1" applyAlignment="1">
      <alignment horizontal="center" vertical="center"/>
    </xf>
    <xf numFmtId="49" fontId="1" fillId="4" borderId="27" xfId="0" quotePrefix="1" applyNumberFormat="1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right" vertical="center" wrapText="1"/>
    </xf>
    <xf numFmtId="0" fontId="1" fillId="0" borderId="27" xfId="0" applyNumberFormat="1" applyFont="1" applyFill="1" applyBorder="1" applyAlignment="1">
      <alignment horizontal="center" vertical="center"/>
    </xf>
    <xf numFmtId="49" fontId="1" fillId="0" borderId="27" xfId="0" quotePrefix="1" applyNumberFormat="1" applyFont="1" applyFill="1" applyBorder="1" applyAlignment="1">
      <alignment horizontal="left" vertical="center"/>
    </xf>
    <xf numFmtId="0" fontId="1" fillId="0" borderId="27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  <xf numFmtId="4" fontId="1" fillId="4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center" vertical="center"/>
    </xf>
    <xf numFmtId="0" fontId="1" fillId="4" borderId="27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4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4" borderId="27" xfId="0" quotePrefix="1" applyNumberFormat="1" applyFont="1" applyFill="1" applyBorder="1" applyAlignment="1">
      <alignment horizontal="center" vertical="center"/>
    </xf>
    <xf numFmtId="49" fontId="1" fillId="0" borderId="27" xfId="0" quotePrefix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5" fontId="44" fillId="0" borderId="1" xfId="0" applyNumberFormat="1" applyFont="1" applyFill="1" applyBorder="1" applyAlignment="1">
      <alignment horizontal="left" vertical="center" wrapText="1"/>
    </xf>
    <xf numFmtId="166" fontId="4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1" fillId="4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9" fontId="2" fillId="4" borderId="1" xfId="0" quotePrefix="1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4" borderId="0" xfId="0" applyFont="1" applyFill="1" applyAlignment="1">
      <alignment horizontal="right" vertical="center" wrapText="1"/>
    </xf>
    <xf numFmtId="0" fontId="33" fillId="0" borderId="2" xfId="0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vertical="center"/>
    </xf>
    <xf numFmtId="3" fontId="29" fillId="0" borderId="14" xfId="0" applyNumberFormat="1" applyFont="1" applyFill="1" applyBorder="1" applyAlignment="1">
      <alignment horizontal="right" vertical="center" wrapText="1"/>
    </xf>
    <xf numFmtId="165" fontId="29" fillId="0" borderId="1" xfId="0" applyNumberFormat="1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left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2" fontId="7" fillId="0" borderId="12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Alignment="1">
      <alignment vertical="center"/>
    </xf>
    <xf numFmtId="0" fontId="46" fillId="0" borderId="3" xfId="4" applyFont="1" applyBorder="1" applyAlignment="1">
      <alignment horizontal="left" wrapText="1" inden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49" fontId="5" fillId="4" borderId="1" xfId="0" quotePrefix="1" applyNumberFormat="1" applyFont="1" applyFill="1" applyBorder="1" applyAlignment="1">
      <alignment horizontal="center" vertical="center"/>
    </xf>
    <xf numFmtId="49" fontId="31" fillId="4" borderId="1" xfId="0" quotePrefix="1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left" vertical="center"/>
    </xf>
    <xf numFmtId="0" fontId="31" fillId="4" borderId="3" xfId="0" applyFont="1" applyFill="1" applyBorder="1" applyAlignment="1">
      <alignment vertical="center" wrapText="1"/>
    </xf>
    <xf numFmtId="4" fontId="47" fillId="4" borderId="12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48" fillId="4" borderId="1" xfId="0" quotePrefix="1" applyNumberFormat="1" applyFont="1" applyFill="1" applyBorder="1" applyAlignment="1">
      <alignment horizontal="left" vertical="center"/>
    </xf>
    <xf numFmtId="0" fontId="5" fillId="4" borderId="3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>
      <alignment vertical="top" wrapText="1"/>
    </xf>
    <xf numFmtId="49" fontId="44" fillId="4" borderId="12" xfId="0" applyNumberFormat="1" applyFont="1" applyFill="1" applyBorder="1" applyAlignment="1">
      <alignment horizontal="left" vertical="top"/>
    </xf>
    <xf numFmtId="49" fontId="44" fillId="4" borderId="12" xfId="0" applyNumberFormat="1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left" vertical="center" wrapText="1"/>
    </xf>
    <xf numFmtId="49" fontId="29" fillId="4" borderId="12" xfId="0" quotePrefix="1" applyNumberFormat="1" applyFont="1" applyFill="1" applyBorder="1" applyAlignment="1">
      <alignment horizontal="left" vertical="top"/>
    </xf>
    <xf numFmtId="49" fontId="29" fillId="4" borderId="12" xfId="0" applyNumberFormat="1" applyFont="1" applyFill="1" applyBorder="1" applyAlignment="1">
      <alignment horizontal="center" vertical="top"/>
    </xf>
    <xf numFmtId="0" fontId="29" fillId="4" borderId="0" xfId="0" applyFont="1" applyFill="1" applyBorder="1" applyAlignment="1">
      <alignment vertical="top" wrapText="1"/>
    </xf>
    <xf numFmtId="3" fontId="32" fillId="4" borderId="12" xfId="0" applyNumberFormat="1" applyFont="1" applyFill="1" applyBorder="1" applyAlignment="1">
      <alignment vertical="center" wrapText="1"/>
    </xf>
    <xf numFmtId="0" fontId="29" fillId="4" borderId="12" xfId="0" applyFont="1" applyFill="1" applyBorder="1" applyAlignment="1">
      <alignment horizontal="center" vertical="center"/>
    </xf>
    <xf numFmtId="49" fontId="29" fillId="4" borderId="1" xfId="0" quotePrefix="1" applyNumberFormat="1" applyFont="1" applyFill="1" applyBorder="1" applyAlignment="1">
      <alignment horizontal="left" vertical="top"/>
    </xf>
    <xf numFmtId="49" fontId="29" fillId="4" borderId="1" xfId="0" applyNumberFormat="1" applyFont="1" applyFill="1" applyBorder="1" applyAlignment="1">
      <alignment horizontal="center" vertical="top"/>
    </xf>
    <xf numFmtId="0" fontId="29" fillId="4" borderId="1" xfId="0" applyFont="1" applyFill="1" applyBorder="1" applyAlignment="1">
      <alignment horizontal="center" vertical="top" wrapText="1"/>
    </xf>
    <xf numFmtId="49" fontId="29" fillId="4" borderId="1" xfId="0" quotePrefix="1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left" vertical="center" wrapText="1"/>
    </xf>
    <xf numFmtId="4" fontId="32" fillId="4" borderId="0" xfId="0" applyNumberFormat="1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4" fontId="29" fillId="0" borderId="0" xfId="0" applyNumberFormat="1" applyFont="1" applyAlignment="1">
      <alignment vertical="center" wrapText="1"/>
    </xf>
    <xf numFmtId="0" fontId="5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4" borderId="1" xfId="0" applyFont="1" applyFill="1" applyBorder="1" applyAlignment="1">
      <alignment horizontal="left" vertical="center" wrapText="1"/>
    </xf>
    <xf numFmtId="49" fontId="49" fillId="4" borderId="1" xfId="0" quotePrefix="1" applyNumberFormat="1" applyFont="1" applyFill="1" applyBorder="1" applyAlignment="1">
      <alignment horizontal="left" vertical="center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4" borderId="12" xfId="0" applyFont="1" applyFill="1" applyBorder="1" applyAlignment="1">
      <alignment vertical="top" wrapText="1"/>
    </xf>
    <xf numFmtId="49" fontId="50" fillId="4" borderId="12" xfId="0" applyNumberFormat="1" applyFont="1" applyFill="1" applyBorder="1" applyAlignment="1">
      <alignment horizontal="left" vertical="top"/>
    </xf>
    <xf numFmtId="49" fontId="50" fillId="4" borderId="12" xfId="0" applyNumberFormat="1" applyFont="1" applyFill="1" applyBorder="1" applyAlignment="1">
      <alignment horizontal="center" vertical="top"/>
    </xf>
    <xf numFmtId="0" fontId="28" fillId="4" borderId="0" xfId="0" applyFont="1" applyFill="1" applyBorder="1" applyAlignment="1">
      <alignment horizontal="left" vertical="center" wrapText="1"/>
    </xf>
    <xf numFmtId="49" fontId="29" fillId="4" borderId="1" xfId="0" applyNumberFormat="1" applyFont="1" applyFill="1" applyBorder="1" applyAlignment="1">
      <alignment horizontal="center" vertical="center"/>
    </xf>
    <xf numFmtId="49" fontId="37" fillId="4" borderId="1" xfId="0" quotePrefix="1" applyNumberFormat="1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left" vertical="center" wrapText="1"/>
    </xf>
    <xf numFmtId="4" fontId="51" fillId="4" borderId="0" xfId="0" applyNumberFormat="1" applyFont="1" applyFill="1" applyBorder="1" applyAlignment="1">
      <alignment vertical="center" wrapText="1"/>
    </xf>
    <xf numFmtId="4" fontId="52" fillId="4" borderId="0" xfId="0" applyNumberFormat="1" applyFont="1" applyFill="1" applyBorder="1" applyAlignment="1">
      <alignment vertical="center" wrapText="1"/>
    </xf>
    <xf numFmtId="0" fontId="36" fillId="4" borderId="0" xfId="0" applyFont="1" applyFill="1" applyBorder="1" applyAlignment="1">
      <alignment horizontal="left" vertical="center" wrapText="1"/>
    </xf>
    <xf numFmtId="4" fontId="31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167" fontId="1" fillId="0" borderId="0" xfId="0" applyNumberFormat="1" applyFont="1" applyFill="1" applyBorder="1" applyAlignment="1">
      <alignment horizontal="right" vertical="center"/>
    </xf>
    <xf numFmtId="167" fontId="1" fillId="4" borderId="0" xfId="0" applyNumberFormat="1" applyFont="1" applyFill="1" applyAlignment="1">
      <alignment horizontal="right" vertical="center"/>
    </xf>
    <xf numFmtId="167" fontId="7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0" fontId="65" fillId="0" borderId="27" xfId="0" applyFont="1" applyBorder="1" applyAlignment="1">
      <alignment vertical="center" wrapText="1"/>
    </xf>
    <xf numFmtId="4" fontId="60" fillId="0" borderId="3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" fontId="60" fillId="0" borderId="23" xfId="0" applyNumberFormat="1" applyFont="1" applyBorder="1" applyAlignment="1">
      <alignment vertical="center"/>
    </xf>
    <xf numFmtId="0" fontId="60" fillId="0" borderId="21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27" xfId="0" quotePrefix="1" applyFont="1" applyBorder="1" applyAlignment="1">
      <alignment horizontal="center" vertical="center" wrapText="1"/>
    </xf>
    <xf numFmtId="0" fontId="60" fillId="0" borderId="21" xfId="0" quotePrefix="1" applyFont="1" applyBorder="1" applyAlignment="1">
      <alignment horizontal="center" vertical="center" wrapText="1"/>
    </xf>
    <xf numFmtId="167" fontId="60" fillId="0" borderId="32" xfId="0" applyNumberFormat="1" applyFont="1" applyBorder="1" applyAlignment="1">
      <alignment horizontal="right" vertical="center" wrapText="1"/>
    </xf>
    <xf numFmtId="167" fontId="60" fillId="0" borderId="23" xfId="0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vertical="center" wrapText="1"/>
    </xf>
    <xf numFmtId="0" fontId="1" fillId="5" borderId="33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67" fontId="60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 applyAlignment="1">
      <alignment vertical="center" wrapText="1"/>
    </xf>
    <xf numFmtId="49" fontId="60" fillId="0" borderId="27" xfId="0" quotePrefix="1" applyNumberFormat="1" applyFont="1" applyBorder="1" applyAlignment="1">
      <alignment horizontal="left" vertical="center"/>
    </xf>
    <xf numFmtId="49" fontId="60" fillId="0" borderId="21" xfId="0" quotePrefix="1" applyNumberFormat="1" applyFont="1" applyBorder="1" applyAlignment="1">
      <alignment horizontal="left" vertical="center"/>
    </xf>
    <xf numFmtId="0" fontId="1" fillId="0" borderId="47" xfId="0" applyFont="1" applyBorder="1" applyAlignment="1">
      <alignment vertical="center" wrapText="1"/>
    </xf>
    <xf numFmtId="0" fontId="1" fillId="4" borderId="48" xfId="0" applyFont="1" applyFill="1" applyBorder="1" applyAlignment="1">
      <alignment horizontal="left" vertical="center" wrapText="1"/>
    </xf>
    <xf numFmtId="0" fontId="1" fillId="4" borderId="48" xfId="0" applyFont="1" applyFill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49" fontId="60" fillId="0" borderId="35" xfId="0" quotePrefix="1" applyNumberFormat="1" applyFont="1" applyBorder="1" applyAlignment="1">
      <alignment horizontal="left" vertical="center"/>
    </xf>
    <xf numFmtId="0" fontId="60" fillId="0" borderId="35" xfId="0" applyFont="1" applyBorder="1" applyAlignment="1">
      <alignment horizontal="center" vertical="center"/>
    </xf>
    <xf numFmtId="49" fontId="60" fillId="4" borderId="27" xfId="0" quotePrefix="1" applyNumberFormat="1" applyFont="1" applyFill="1" applyBorder="1" applyAlignment="1">
      <alignment horizontal="left" vertical="center"/>
    </xf>
    <xf numFmtId="0" fontId="60" fillId="4" borderId="27" xfId="0" applyFont="1" applyFill="1" applyBorder="1" applyAlignment="1">
      <alignment horizontal="center" vertical="center"/>
    </xf>
    <xf numFmtId="49" fontId="60" fillId="4" borderId="5" xfId="0" quotePrefix="1" applyNumberFormat="1" applyFont="1" applyFill="1" applyBorder="1" applyAlignment="1">
      <alignment horizontal="left" vertical="center"/>
    </xf>
    <xf numFmtId="0" fontId="60" fillId="4" borderId="5" xfId="0" applyFont="1" applyFill="1" applyBorder="1" applyAlignment="1">
      <alignment horizontal="center" vertical="center"/>
    </xf>
    <xf numFmtId="49" fontId="60" fillId="4" borderId="21" xfId="0" quotePrefix="1" applyNumberFormat="1" applyFont="1" applyFill="1" applyBorder="1" applyAlignment="1">
      <alignment horizontal="left" vertical="center"/>
    </xf>
    <xf numFmtId="0" fontId="60" fillId="4" borderId="21" xfId="0" applyFont="1" applyFill="1" applyBorder="1" applyAlignment="1">
      <alignment horizontal="center" vertical="center"/>
    </xf>
    <xf numFmtId="49" fontId="60" fillId="0" borderId="54" xfId="0" quotePrefix="1" applyNumberFormat="1" applyFont="1" applyBorder="1" applyAlignment="1">
      <alignment horizontal="left" vertical="center"/>
    </xf>
    <xf numFmtId="0" fontId="60" fillId="0" borderId="54" xfId="0" applyFont="1" applyBorder="1" applyAlignment="1">
      <alignment horizontal="center" vertical="center"/>
    </xf>
    <xf numFmtId="0" fontId="60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167" fontId="56" fillId="0" borderId="0" xfId="0" applyNumberFormat="1" applyFont="1" applyAlignment="1">
      <alignment horizontal="right" vertical="center"/>
    </xf>
    <xf numFmtId="167" fontId="60" fillId="4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/>
    </xf>
    <xf numFmtId="167" fontId="60" fillId="4" borderId="0" xfId="0" applyNumberFormat="1" applyFont="1" applyFill="1" applyAlignment="1">
      <alignment horizontal="right" vertical="center" wrapText="1"/>
    </xf>
    <xf numFmtId="49" fontId="60" fillId="0" borderId="5" xfId="0" quotePrefix="1" applyNumberFormat="1" applyFont="1" applyBorder="1" applyAlignment="1">
      <alignment horizontal="left" vertical="center"/>
    </xf>
    <xf numFmtId="0" fontId="60" fillId="0" borderId="5" xfId="0" applyFont="1" applyBorder="1" applyAlignment="1">
      <alignment horizontal="center" vertical="center"/>
    </xf>
    <xf numFmtId="0" fontId="60" fillId="0" borderId="48" xfId="0" applyFont="1" applyBorder="1" applyAlignment="1">
      <alignment vertical="center" wrapText="1"/>
    </xf>
    <xf numFmtId="49" fontId="60" fillId="0" borderId="5" xfId="0" quotePrefix="1" applyNumberFormat="1" applyFont="1" applyFill="1" applyBorder="1" applyAlignment="1">
      <alignment horizontal="left" vertical="center"/>
    </xf>
    <xf numFmtId="0" fontId="60" fillId="0" borderId="5" xfId="0" applyFont="1" applyFill="1" applyBorder="1" applyAlignment="1">
      <alignment horizontal="center" vertical="center"/>
    </xf>
    <xf numFmtId="4" fontId="60" fillId="5" borderId="59" xfId="0" applyNumberFormat="1" applyFont="1" applyFill="1" applyBorder="1" applyAlignment="1">
      <alignment vertical="center"/>
    </xf>
    <xf numFmtId="4" fontId="60" fillId="5" borderId="32" xfId="0" applyNumberFormat="1" applyFont="1" applyFill="1" applyBorder="1" applyAlignment="1">
      <alignment vertical="center"/>
    </xf>
    <xf numFmtId="4" fontId="60" fillId="5" borderId="23" xfId="0" applyNumberFormat="1" applyFont="1" applyFill="1" applyBorder="1" applyAlignment="1">
      <alignment vertical="center"/>
    </xf>
    <xf numFmtId="49" fontId="60" fillId="0" borderId="27" xfId="0" applyNumberFormat="1" applyFont="1" applyBorder="1" applyAlignment="1">
      <alignment horizontal="left" vertical="center" wrapText="1"/>
    </xf>
    <xf numFmtId="49" fontId="60" fillId="0" borderId="21" xfId="0" quotePrefix="1" applyNumberFormat="1" applyFont="1" applyFill="1" applyBorder="1" applyAlignment="1">
      <alignment horizontal="left" vertical="center"/>
    </xf>
    <xf numFmtId="2" fontId="1" fillId="0" borderId="32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8" fontId="60" fillId="5" borderId="58" xfId="0" applyNumberFormat="1" applyFont="1" applyFill="1" applyBorder="1" applyAlignment="1">
      <alignment horizontal="center" vertical="center"/>
    </xf>
    <xf numFmtId="168" fontId="60" fillId="5" borderId="31" xfId="0" applyNumberFormat="1" applyFont="1" applyFill="1" applyBorder="1" applyAlignment="1">
      <alignment horizontal="center" vertical="center"/>
    </xf>
    <xf numFmtId="168" fontId="60" fillId="5" borderId="6" xfId="0" applyNumberFormat="1" applyFont="1" applyFill="1" applyBorder="1" applyAlignment="1">
      <alignment horizontal="center" vertical="center"/>
    </xf>
    <xf numFmtId="168" fontId="60" fillId="0" borderId="0" xfId="0" applyNumberFormat="1" applyFont="1" applyAlignment="1">
      <alignment vertical="center"/>
    </xf>
    <xf numFmtId="167" fontId="60" fillId="0" borderId="22" xfId="0" applyNumberFormat="1" applyFont="1" applyBorder="1" applyAlignment="1">
      <alignment horizontal="right" vertical="center" wrapText="1"/>
    </xf>
    <xf numFmtId="2" fontId="1" fillId="0" borderId="22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  <xf numFmtId="167" fontId="60" fillId="0" borderId="55" xfId="0" applyNumberFormat="1" applyFont="1" applyBorder="1" applyAlignment="1">
      <alignment horizontal="right" vertical="center" wrapText="1"/>
    </xf>
    <xf numFmtId="2" fontId="1" fillId="0" borderId="55" xfId="0" applyNumberFormat="1" applyFont="1" applyBorder="1" applyAlignment="1">
      <alignment horizontal="right" vertical="center"/>
    </xf>
    <xf numFmtId="49" fontId="60" fillId="0" borderId="21" xfId="0" applyNumberFormat="1" applyFont="1" applyBorder="1" applyAlignment="1">
      <alignment horizontal="left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0" fontId="60" fillId="0" borderId="38" xfId="0" applyFont="1" applyFill="1" applyBorder="1" applyAlignment="1">
      <alignment horizontal="center" vertical="center" wrapText="1"/>
    </xf>
    <xf numFmtId="49" fontId="60" fillId="0" borderId="36" xfId="0" applyNumberFormat="1" applyFont="1" applyFill="1" applyBorder="1" applyAlignment="1">
      <alignment horizontal="center" vertical="center"/>
    </xf>
    <xf numFmtId="49" fontId="60" fillId="0" borderId="38" xfId="0" applyNumberFormat="1" applyFont="1" applyFill="1" applyBorder="1" applyAlignment="1">
      <alignment horizontal="center" vertical="center"/>
    </xf>
    <xf numFmtId="49" fontId="60" fillId="0" borderId="37" xfId="0" applyNumberFormat="1" applyFont="1" applyBorder="1" applyAlignment="1">
      <alignment horizontal="center" vertical="center"/>
    </xf>
    <xf numFmtId="49" fontId="60" fillId="0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wrapText="1"/>
    </xf>
    <xf numFmtId="0" fontId="60" fillId="0" borderId="38" xfId="0" applyFont="1" applyBorder="1" applyAlignment="1">
      <alignment horizontal="center" wrapText="1"/>
    </xf>
    <xf numFmtId="0" fontId="60" fillId="0" borderId="57" xfId="0" applyFont="1" applyFill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49" fontId="60" fillId="0" borderId="36" xfId="0" applyNumberFormat="1" applyFont="1" applyFill="1" applyBorder="1" applyAlignment="1">
      <alignment horizontal="center" vertical="top"/>
    </xf>
    <xf numFmtId="49" fontId="60" fillId="0" borderId="38" xfId="0" applyNumberFormat="1" applyFont="1" applyFill="1" applyBorder="1" applyAlignment="1">
      <alignment horizontal="center" vertical="top"/>
    </xf>
    <xf numFmtId="0" fontId="60" fillId="4" borderId="36" xfId="0" applyFont="1" applyFill="1" applyBorder="1" applyAlignment="1">
      <alignment horizontal="center" vertical="top" wrapText="1"/>
    </xf>
    <xf numFmtId="0" fontId="60" fillId="4" borderId="37" xfId="0" applyFont="1" applyFill="1" applyBorder="1" applyAlignment="1">
      <alignment horizontal="center" vertical="top" wrapText="1"/>
    </xf>
    <xf numFmtId="0" fontId="60" fillId="0" borderId="21" xfId="0" applyFont="1" applyFill="1" applyBorder="1" applyAlignment="1">
      <alignment horizontal="center" vertical="center"/>
    </xf>
    <xf numFmtId="4" fontId="1" fillId="6" borderId="37" xfId="0" applyNumberFormat="1" applyFont="1" applyFill="1" applyBorder="1" applyAlignment="1" applyProtection="1">
      <alignment vertical="center"/>
      <protection locked="0"/>
    </xf>
    <xf numFmtId="4" fontId="1" fillId="6" borderId="43" xfId="0" applyNumberFormat="1" applyFont="1" applyFill="1" applyBorder="1" applyAlignment="1" applyProtection="1">
      <alignment vertical="center"/>
      <protection locked="0"/>
    </xf>
    <xf numFmtId="4" fontId="1" fillId="6" borderId="19" xfId="0" applyNumberFormat="1" applyFont="1" applyFill="1" applyBorder="1" applyAlignment="1" applyProtection="1">
      <alignment vertical="center"/>
      <protection locked="0"/>
    </xf>
    <xf numFmtId="4" fontId="1" fillId="6" borderId="31" xfId="0" applyNumberFormat="1" applyFont="1" applyFill="1" applyBorder="1" applyAlignment="1" applyProtection="1">
      <alignment vertical="center"/>
      <protection locked="0"/>
    </xf>
    <xf numFmtId="4" fontId="1" fillId="6" borderId="6" xfId="0" applyNumberFormat="1" applyFont="1" applyFill="1" applyBorder="1" applyAlignment="1" applyProtection="1">
      <alignment vertical="center"/>
      <protection locked="0"/>
    </xf>
    <xf numFmtId="4" fontId="1" fillId="6" borderId="5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4" fontId="1" fillId="0" borderId="0" xfId="0" applyNumberFormat="1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167" fontId="7" fillId="0" borderId="0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5" borderId="33" xfId="0" applyFont="1" applyFill="1" applyBorder="1" applyAlignment="1" applyProtection="1">
      <alignment vertical="center" wrapText="1"/>
    </xf>
    <xf numFmtId="0" fontId="1" fillId="5" borderId="34" xfId="0" applyFont="1" applyFill="1" applyBorder="1" applyAlignment="1" applyProtection="1">
      <alignment vertical="center" wrapText="1"/>
    </xf>
    <xf numFmtId="0" fontId="60" fillId="0" borderId="1" xfId="0" applyFont="1" applyBorder="1" applyAlignment="1" applyProtection="1">
      <alignment horizontal="center" vertical="center" wrapText="1"/>
    </xf>
    <xf numFmtId="49" fontId="60" fillId="0" borderId="27" xfId="0" quotePrefix="1" applyNumberFormat="1" applyFont="1" applyBorder="1" applyAlignment="1" applyProtection="1">
      <alignment horizontal="left" vertical="center"/>
    </xf>
    <xf numFmtId="0" fontId="60" fillId="0" borderId="27" xfId="0" applyFont="1" applyBorder="1" applyAlignment="1" applyProtection="1">
      <alignment horizontal="center" vertical="center"/>
    </xf>
    <xf numFmtId="167" fontId="60" fillId="0" borderId="32" xfId="0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 applyProtection="1">
      <alignment vertical="center" wrapText="1"/>
    </xf>
    <xf numFmtId="49" fontId="60" fillId="0" borderId="27" xfId="0" applyNumberFormat="1" applyFont="1" applyBorder="1" applyAlignment="1" applyProtection="1">
      <alignment horizontal="left" vertical="center" wrapText="1"/>
    </xf>
    <xf numFmtId="0" fontId="60" fillId="0" borderId="27" xfId="0" quotePrefix="1" applyFont="1" applyBorder="1" applyAlignment="1" applyProtection="1">
      <alignment horizontal="center" vertical="center" wrapText="1"/>
    </xf>
    <xf numFmtId="49" fontId="60" fillId="0" borderId="35" xfId="0" applyNumberFormat="1" applyFont="1" applyBorder="1" applyAlignment="1" applyProtection="1">
      <alignment horizontal="left" vertical="center" wrapText="1"/>
    </xf>
    <xf numFmtId="0" fontId="60" fillId="0" borderId="35" xfId="0" quotePrefix="1" applyFont="1" applyBorder="1" applyAlignment="1" applyProtection="1">
      <alignment horizontal="center" vertical="center" wrapText="1"/>
    </xf>
    <xf numFmtId="167" fontId="60" fillId="0" borderId="41" xfId="0" applyNumberFormat="1" applyFont="1" applyBorder="1" applyAlignment="1" applyProtection="1">
      <alignment horizontal="right" vertical="center" wrapText="1"/>
    </xf>
    <xf numFmtId="0" fontId="1" fillId="0" borderId="42" xfId="0" applyFont="1" applyBorder="1" applyAlignment="1" applyProtection="1">
      <alignment vertical="center" wrapText="1"/>
    </xf>
    <xf numFmtId="0" fontId="60" fillId="0" borderId="5" xfId="0" applyFont="1" applyFill="1" applyBorder="1" applyAlignment="1" applyProtection="1">
      <alignment horizontal="center" vertical="center" wrapText="1"/>
    </xf>
    <xf numFmtId="49" fontId="60" fillId="0" borderId="5" xfId="0" quotePrefix="1" applyNumberFormat="1" applyFont="1" applyBorder="1" applyAlignment="1" applyProtection="1">
      <alignment horizontal="left" vertical="center"/>
    </xf>
    <xf numFmtId="0" fontId="60" fillId="0" borderId="5" xfId="0" applyFont="1" applyBorder="1" applyAlignment="1" applyProtection="1">
      <alignment horizontal="center" vertical="center"/>
    </xf>
    <xf numFmtId="167" fontId="60" fillId="0" borderId="22" xfId="0" applyNumberFormat="1" applyFont="1" applyBorder="1" applyAlignment="1" applyProtection="1">
      <alignment horizontal="right" vertical="center" wrapText="1"/>
    </xf>
    <xf numFmtId="0" fontId="1" fillId="0" borderId="47" xfId="0" applyFont="1" applyBorder="1" applyAlignment="1" applyProtection="1">
      <alignment vertical="center" wrapText="1"/>
    </xf>
    <xf numFmtId="0" fontId="60" fillId="0" borderId="27" xfId="0" applyFont="1" applyFill="1" applyBorder="1" applyAlignment="1" applyProtection="1">
      <alignment horizontal="center" vertical="center" wrapText="1"/>
    </xf>
    <xf numFmtId="0" fontId="1" fillId="4" borderId="48" xfId="0" applyFont="1" applyFill="1" applyBorder="1" applyAlignment="1" applyProtection="1">
      <alignment horizontal="left" vertical="center" wrapText="1"/>
    </xf>
    <xf numFmtId="0" fontId="1" fillId="4" borderId="48" xfId="0" applyFont="1" applyFill="1" applyBorder="1" applyAlignment="1" applyProtection="1">
      <alignment vertical="center" wrapText="1"/>
    </xf>
    <xf numFmtId="0" fontId="1" fillId="0" borderId="48" xfId="0" applyFont="1" applyBorder="1" applyAlignment="1" applyProtection="1">
      <alignment vertical="center" wrapText="1"/>
    </xf>
    <xf numFmtId="0" fontId="60" fillId="0" borderId="21" xfId="0" applyFont="1" applyFill="1" applyBorder="1" applyAlignment="1" applyProtection="1">
      <alignment horizontal="center" vertical="center" wrapText="1"/>
    </xf>
    <xf numFmtId="49" fontId="60" fillId="0" borderId="21" xfId="0" quotePrefix="1" applyNumberFormat="1" applyFont="1" applyBorder="1" applyAlignment="1" applyProtection="1">
      <alignment horizontal="left" vertical="center"/>
    </xf>
    <xf numFmtId="0" fontId="60" fillId="0" borderId="21" xfId="0" applyFont="1" applyBorder="1" applyAlignment="1" applyProtection="1">
      <alignment horizontal="center" vertical="center"/>
    </xf>
    <xf numFmtId="167" fontId="60" fillId="0" borderId="23" xfId="0" applyNumberFormat="1" applyFont="1" applyBorder="1" applyAlignment="1" applyProtection="1">
      <alignment horizontal="right" vertical="center" wrapText="1"/>
    </xf>
    <xf numFmtId="0" fontId="33" fillId="0" borderId="49" xfId="0" applyFont="1" applyBorder="1" applyAlignment="1" applyProtection="1">
      <alignment vertical="center" wrapText="1"/>
    </xf>
    <xf numFmtId="49" fontId="60" fillId="0" borderId="5" xfId="0" applyNumberFormat="1" applyFont="1" applyFill="1" applyBorder="1" applyAlignment="1" applyProtection="1">
      <alignment horizontal="center" vertical="center"/>
    </xf>
    <xf numFmtId="49" fontId="60" fillId="4" borderId="5" xfId="0" quotePrefix="1" applyNumberFormat="1" applyFont="1" applyFill="1" applyBorder="1" applyAlignment="1" applyProtection="1">
      <alignment horizontal="left" vertical="center"/>
    </xf>
    <xf numFmtId="0" fontId="60" fillId="4" borderId="5" xfId="0" applyFont="1" applyFill="1" applyBorder="1" applyAlignment="1" applyProtection="1">
      <alignment horizontal="center" vertical="center"/>
    </xf>
    <xf numFmtId="49" fontId="60" fillId="0" borderId="21" xfId="0" applyNumberFormat="1" applyFont="1" applyFill="1" applyBorder="1" applyAlignment="1" applyProtection="1">
      <alignment horizontal="center" vertical="center"/>
    </xf>
    <xf numFmtId="49" fontId="60" fillId="4" borderId="21" xfId="0" quotePrefix="1" applyNumberFormat="1" applyFont="1" applyFill="1" applyBorder="1" applyAlignment="1" applyProtection="1">
      <alignment horizontal="left" vertical="center"/>
    </xf>
    <xf numFmtId="0" fontId="60" fillId="4" borderId="21" xfId="0" applyFont="1" applyFill="1" applyBorder="1" applyAlignment="1" applyProtection="1">
      <alignment horizontal="center" vertical="center"/>
    </xf>
    <xf numFmtId="49" fontId="60" fillId="0" borderId="27" xfId="0" applyNumberFormat="1" applyFont="1" applyBorder="1" applyAlignment="1" applyProtection="1">
      <alignment horizontal="center" vertical="center"/>
    </xf>
    <xf numFmtId="49" fontId="60" fillId="0" borderId="27" xfId="0" applyNumberFormat="1" applyFont="1" applyFill="1" applyBorder="1" applyAlignment="1" applyProtection="1">
      <alignment horizontal="center" vertical="center"/>
    </xf>
    <xf numFmtId="0" fontId="60" fillId="0" borderId="27" xfId="0" applyFont="1" applyBorder="1" applyAlignment="1" applyProtection="1">
      <alignment horizontal="center" wrapText="1"/>
    </xf>
    <xf numFmtId="0" fontId="60" fillId="0" borderId="21" xfId="0" applyFont="1" applyBorder="1" applyAlignment="1" applyProtection="1">
      <alignment horizontal="center" wrapText="1"/>
    </xf>
    <xf numFmtId="0" fontId="1" fillId="4" borderId="0" xfId="0" applyFont="1" applyFill="1" applyAlignment="1" applyProtection="1">
      <alignment vertical="center" wrapText="1"/>
    </xf>
    <xf numFmtId="0" fontId="60" fillId="0" borderId="53" xfId="0" applyFont="1" applyFill="1" applyBorder="1" applyAlignment="1" applyProtection="1">
      <alignment horizontal="left" vertical="center"/>
    </xf>
    <xf numFmtId="0" fontId="60" fillId="0" borderId="54" xfId="0" applyFont="1" applyFill="1" applyBorder="1" applyAlignment="1" applyProtection="1">
      <alignment horizontal="center" vertical="center" wrapText="1"/>
    </xf>
    <xf numFmtId="49" fontId="60" fillId="0" borderId="54" xfId="0" quotePrefix="1" applyNumberFormat="1" applyFont="1" applyBorder="1" applyAlignment="1" applyProtection="1">
      <alignment horizontal="left" vertical="center"/>
    </xf>
    <xf numFmtId="0" fontId="60" fillId="0" borderId="54" xfId="0" applyFont="1" applyBorder="1" applyAlignment="1" applyProtection="1">
      <alignment horizontal="center" vertical="center"/>
    </xf>
    <xf numFmtId="167" fontId="60" fillId="0" borderId="55" xfId="0" applyNumberFormat="1" applyFont="1" applyBorder="1" applyAlignment="1" applyProtection="1">
      <alignment horizontal="right" vertical="center" wrapText="1"/>
    </xf>
    <xf numFmtId="0" fontId="60" fillId="0" borderId="0" xfId="0" applyFont="1" applyFill="1" applyAlignment="1" applyProtection="1">
      <alignment horizontal="center" vertical="center" wrapText="1"/>
    </xf>
    <xf numFmtId="0" fontId="60" fillId="0" borderId="53" xfId="0" applyFont="1" applyFill="1" applyBorder="1" applyAlignment="1" applyProtection="1">
      <alignment horizontal="left" vertical="top" wrapText="1"/>
    </xf>
    <xf numFmtId="0" fontId="60" fillId="0" borderId="54" xfId="0" applyFont="1" applyBorder="1" applyAlignment="1" applyProtection="1">
      <alignment horizontal="center" vertical="center" wrapText="1"/>
    </xf>
    <xf numFmtId="49" fontId="60" fillId="0" borderId="5" xfId="0" quotePrefix="1" applyNumberFormat="1" applyFont="1" applyFill="1" applyBorder="1" applyAlignment="1" applyProtection="1">
      <alignment horizontal="left" vertical="center"/>
    </xf>
    <xf numFmtId="0" fontId="60" fillId="0" borderId="5" xfId="0" applyFont="1" applyFill="1" applyBorder="1" applyAlignment="1" applyProtection="1">
      <alignment horizontal="center" vertical="center"/>
    </xf>
    <xf numFmtId="0" fontId="60" fillId="0" borderId="0" xfId="0" applyFont="1" applyAlignment="1" applyProtection="1">
      <alignment vertical="center" wrapText="1"/>
    </xf>
    <xf numFmtId="49" fontId="60" fillId="0" borderId="21" xfId="0" quotePrefix="1" applyNumberFormat="1" applyFont="1" applyFill="1" applyBorder="1" applyAlignment="1" applyProtection="1">
      <alignment horizontal="left" vertical="center"/>
    </xf>
    <xf numFmtId="0" fontId="60" fillId="0" borderId="21" xfId="0" applyFont="1" applyFill="1" applyBorder="1" applyAlignment="1" applyProtection="1">
      <alignment horizontal="center" vertical="center"/>
    </xf>
    <xf numFmtId="49" fontId="60" fillId="0" borderId="5" xfId="0" applyNumberFormat="1" applyFont="1" applyFill="1" applyBorder="1" applyAlignment="1" applyProtection="1">
      <alignment horizontal="center" vertical="top"/>
    </xf>
    <xf numFmtId="49" fontId="60" fillId="0" borderId="21" xfId="0" applyNumberFormat="1" applyFont="1" applyFill="1" applyBorder="1" applyAlignment="1" applyProtection="1">
      <alignment horizontal="center" vertical="top"/>
    </xf>
    <xf numFmtId="0" fontId="60" fillId="4" borderId="5" xfId="0" applyFont="1" applyFill="1" applyBorder="1" applyAlignment="1" applyProtection="1">
      <alignment horizontal="center" vertical="top" wrapText="1"/>
    </xf>
    <xf numFmtId="0" fontId="60" fillId="0" borderId="48" xfId="0" applyFont="1" applyBorder="1" applyAlignment="1" applyProtection="1">
      <alignment vertical="center" wrapText="1"/>
    </xf>
    <xf numFmtId="49" fontId="60" fillId="4" borderId="27" xfId="0" quotePrefix="1" applyNumberFormat="1" applyFont="1" applyFill="1" applyBorder="1" applyAlignment="1" applyProtection="1">
      <alignment horizontal="left" vertical="center"/>
    </xf>
    <xf numFmtId="0" fontId="60" fillId="4" borderId="27" xfId="0" applyFont="1" applyFill="1" applyBorder="1" applyAlignment="1" applyProtection="1">
      <alignment horizontal="center" vertical="center"/>
    </xf>
    <xf numFmtId="0" fontId="60" fillId="4" borderId="27" xfId="0" applyFont="1" applyFill="1" applyBorder="1" applyAlignment="1" applyProtection="1">
      <alignment horizontal="center" vertical="top" wrapText="1"/>
    </xf>
    <xf numFmtId="0" fontId="60" fillId="0" borderId="0" xfId="0" applyFont="1" applyFill="1" applyAlignment="1" applyProtection="1">
      <alignment vertical="center" wrapText="1"/>
    </xf>
    <xf numFmtId="0" fontId="60" fillId="0" borderId="0" xfId="0" applyFont="1" applyFill="1" applyAlignment="1" applyProtection="1">
      <alignment vertical="center"/>
    </xf>
    <xf numFmtId="0" fontId="60" fillId="0" borderId="0" xfId="0" applyFont="1" applyAlignment="1" applyProtection="1">
      <alignment vertical="center"/>
    </xf>
    <xf numFmtId="167" fontId="56" fillId="0" borderId="0" xfId="0" applyNumberFormat="1" applyFont="1" applyAlignment="1" applyProtection="1">
      <alignment horizontal="right" vertical="center"/>
    </xf>
    <xf numFmtId="167" fontId="60" fillId="4" borderId="0" xfId="0" applyNumberFormat="1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Continuous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167" fontId="7" fillId="0" borderId="11" xfId="0" applyNumberFormat="1" applyFont="1" applyFill="1" applyBorder="1" applyAlignment="1" applyProtection="1">
      <alignment horizontal="right" vertical="center" wrapText="1"/>
    </xf>
    <xf numFmtId="0" fontId="1" fillId="0" borderId="9" xfId="0" quotePrefix="1" applyFont="1" applyFill="1" applyBorder="1" applyAlignment="1" applyProtection="1">
      <alignment horizontal="center" vertical="center" wrapText="1"/>
    </xf>
    <xf numFmtId="167" fontId="1" fillId="0" borderId="13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1" xfId="5" applyNumberFormat="1" applyFont="1" applyBorder="1" applyAlignment="1" applyProtection="1">
      <alignment vertical="top"/>
    </xf>
    <xf numFmtId="49" fontId="2" fillId="0" borderId="1" xfId="5" applyNumberFormat="1" applyFont="1" applyBorder="1" applyAlignment="1" applyProtection="1">
      <alignment horizontal="left" vertical="top"/>
    </xf>
    <xf numFmtId="0" fontId="2" fillId="0" borderId="0" xfId="5" applyFont="1" applyBorder="1" applyAlignment="1" applyProtection="1">
      <alignment vertical="top" wrapText="1"/>
    </xf>
    <xf numFmtId="167" fontId="7" fillId="0" borderId="0" xfId="0" applyNumberFormat="1" applyFont="1" applyBorder="1" applyAlignment="1" applyProtection="1">
      <alignment horizontal="right" vertical="center" wrapText="1"/>
    </xf>
    <xf numFmtId="0" fontId="1" fillId="0" borderId="1" xfId="0" quotePrefix="1" applyFont="1" applyBorder="1" applyAlignment="1" applyProtection="1">
      <alignment horizontal="center" vertical="center" wrapText="1"/>
    </xf>
    <xf numFmtId="167" fontId="1" fillId="0" borderId="14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2" fillId="0" borderId="1" xfId="0" quotePrefix="1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top" wrapText="1"/>
    </xf>
    <xf numFmtId="167" fontId="2" fillId="0" borderId="0" xfId="0" applyNumberFormat="1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167" fontId="2" fillId="0" borderId="14" xfId="0" applyNumberFormat="1" applyFont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/>
    </xf>
    <xf numFmtId="167" fontId="2" fillId="4" borderId="14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quotePrefix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49" fontId="60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49" fontId="62" fillId="0" borderId="0" xfId="0" applyNumberFormat="1" applyFont="1" applyBorder="1" applyAlignment="1" applyProtection="1">
      <alignment horizontal="left" vertical="center" wrapText="1"/>
    </xf>
    <xf numFmtId="0" fontId="60" fillId="0" borderId="0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quotePrefix="1" applyFont="1" applyFill="1" applyBorder="1" applyAlignment="1" applyProtection="1">
      <alignment horizontal="center" vertical="center" wrapText="1"/>
    </xf>
    <xf numFmtId="167" fontId="1" fillId="0" borderId="14" xfId="0" applyNumberFormat="1" applyFont="1" applyFill="1" applyBorder="1" applyAlignment="1" applyProtection="1">
      <alignment horizontal="right" vertical="center" wrapText="1"/>
    </xf>
    <xf numFmtId="165" fontId="44" fillId="0" borderId="1" xfId="0" applyNumberFormat="1" applyFont="1" applyFill="1" applyBorder="1" applyAlignment="1" applyProtection="1">
      <alignment horizontal="left" vertical="center" wrapText="1"/>
    </xf>
    <xf numFmtId="166" fontId="44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7" fontId="2" fillId="0" borderId="1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quotePrefix="1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vertical="center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67" fontId="7" fillId="4" borderId="0" xfId="0" applyNumberFormat="1" applyFont="1" applyFill="1" applyBorder="1" applyAlignment="1" applyProtection="1">
      <alignment horizontal="right" vertical="center" wrapText="1"/>
    </xf>
    <xf numFmtId="167" fontId="8" fillId="4" borderId="0" xfId="0" applyNumberFormat="1" applyFont="1" applyFill="1" applyBorder="1" applyAlignment="1" applyProtection="1">
      <alignment horizontal="right" vertical="center" wrapText="1"/>
    </xf>
    <xf numFmtId="0" fontId="64" fillId="0" borderId="0" xfId="0" applyFont="1" applyBorder="1" applyAlignment="1" applyProtection="1">
      <alignment vertical="top" wrapText="1"/>
    </xf>
    <xf numFmtId="4" fontId="1" fillId="4" borderId="0" xfId="0" applyNumberFormat="1" applyFont="1" applyFill="1" applyAlignment="1" applyProtection="1">
      <alignment vertical="center"/>
    </xf>
    <xf numFmtId="167" fontId="8" fillId="0" borderId="0" xfId="0" applyNumberFormat="1" applyFont="1" applyFill="1" applyBorder="1" applyAlignment="1" applyProtection="1">
      <alignment horizontal="right" vertical="center" wrapText="1"/>
    </xf>
    <xf numFmtId="0" fontId="5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49" fontId="2" fillId="0" borderId="1" xfId="0" quotePrefix="1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167" fontId="18" fillId="0" borderId="0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1" xfId="0" quotePrefix="1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49" fontId="56" fillId="0" borderId="3" xfId="0" applyNumberFormat="1" applyFont="1" applyFill="1" applyBorder="1" applyAlignment="1" applyProtection="1">
      <alignment horizontal="left" vertical="center" wrapText="1"/>
    </xf>
    <xf numFmtId="0" fontId="56" fillId="0" borderId="0" xfId="0" applyFont="1" applyBorder="1" applyAlignment="1" applyProtection="1">
      <alignment horizontal="left" vertical="center" wrapText="1"/>
    </xf>
    <xf numFmtId="0" fontId="56" fillId="0" borderId="0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56" fillId="0" borderId="0" xfId="0" applyFont="1" applyBorder="1" applyAlignment="1" applyProtection="1">
      <alignment horizontal="right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167" fontId="2" fillId="0" borderId="0" xfId="0" applyNumberFormat="1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 wrapText="1"/>
    </xf>
    <xf numFmtId="4" fontId="33" fillId="0" borderId="0" xfId="0" applyNumberFormat="1" applyFont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left" vertical="center" wrapText="1"/>
    </xf>
    <xf numFmtId="4" fontId="33" fillId="0" borderId="0" xfId="0" applyNumberFormat="1" applyFont="1" applyAlignment="1" applyProtection="1">
      <alignment vertical="center"/>
    </xf>
    <xf numFmtId="0" fontId="55" fillId="0" borderId="3" xfId="4" applyFont="1" applyBorder="1" applyAlignment="1" applyProtection="1">
      <alignment horizontal="left" wrapText="1" inden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2" fillId="4" borderId="1" xfId="0" quotePrefix="1" applyNumberFormat="1" applyFont="1" applyFill="1" applyBorder="1" applyAlignment="1" applyProtection="1">
      <alignment horizontal="left" vertical="center"/>
    </xf>
    <xf numFmtId="49" fontId="2" fillId="4" borderId="1" xfId="0" applyNumberFormat="1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 wrapText="1"/>
    </xf>
    <xf numFmtId="167" fontId="18" fillId="4" borderId="0" xfId="0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9" fontId="1" fillId="4" borderId="1" xfId="0" quotePrefix="1" applyNumberFormat="1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167" fontId="1" fillId="4" borderId="14" xfId="0" applyNumberFormat="1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left" vertical="center" wrapText="1"/>
    </xf>
    <xf numFmtId="0" fontId="1" fillId="4" borderId="1" xfId="0" quotePrefix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center" wrapText="1"/>
    </xf>
    <xf numFmtId="167" fontId="2" fillId="0" borderId="14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center"/>
    </xf>
    <xf numFmtId="49" fontId="1" fillId="0" borderId="1" xfId="0" quotePrefix="1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top" wrapText="1"/>
    </xf>
    <xf numFmtId="167" fontId="1" fillId="0" borderId="0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wrapText="1"/>
    </xf>
    <xf numFmtId="49" fontId="5" fillId="0" borderId="1" xfId="0" quotePrefix="1" applyNumberFormat="1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167" fontId="5" fillId="0" borderId="0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top"/>
    </xf>
    <xf numFmtId="167" fontId="2" fillId="0" borderId="14" xfId="0" applyNumberFormat="1" applyFont="1" applyBorder="1" applyAlignment="1" applyProtection="1">
      <alignment horizontal="right" vertical="top" wrapText="1"/>
    </xf>
    <xf numFmtId="0" fontId="54" fillId="0" borderId="2" xfId="0" applyFont="1" applyFill="1" applyBorder="1" applyAlignment="1" applyProtection="1">
      <alignment wrapText="1"/>
    </xf>
    <xf numFmtId="0" fontId="58" fillId="0" borderId="1" xfId="0" applyFont="1" applyBorder="1" applyAlignment="1" applyProtection="1">
      <alignment wrapText="1"/>
    </xf>
    <xf numFmtId="49" fontId="54" fillId="0" borderId="1" xfId="0" applyNumberFormat="1" applyFont="1" applyBorder="1" applyAlignment="1" applyProtection="1">
      <alignment horizontal="left" vertical="top"/>
    </xf>
    <xf numFmtId="49" fontId="54" fillId="0" borderId="1" xfId="0" quotePrefix="1" applyNumberFormat="1" applyFont="1" applyBorder="1" applyAlignment="1" applyProtection="1">
      <alignment horizontal="left" vertical="top"/>
    </xf>
    <xf numFmtId="0" fontId="54" fillId="0" borderId="0" xfId="0" applyFont="1" applyBorder="1" applyAlignment="1" applyProtection="1">
      <alignment vertical="top" wrapText="1"/>
    </xf>
    <xf numFmtId="167" fontId="54" fillId="0" borderId="0" xfId="0" applyNumberFormat="1" applyFont="1" applyBorder="1" applyAlignment="1" applyProtection="1">
      <alignment wrapText="1"/>
    </xf>
    <xf numFmtId="0" fontId="54" fillId="0" borderId="1" xfId="0" applyFont="1" applyBorder="1" applyAlignment="1" applyProtection="1">
      <alignment horizontal="center" vertical="top"/>
    </xf>
    <xf numFmtId="167" fontId="1" fillId="0" borderId="14" xfId="0" applyNumberFormat="1" applyFont="1" applyBorder="1" applyAlignment="1" applyProtection="1">
      <alignment horizontal="right" vertical="top" wrapText="1"/>
    </xf>
    <xf numFmtId="0" fontId="55" fillId="0" borderId="0" xfId="0" applyFont="1" applyBorder="1" applyAlignment="1" applyProtection="1">
      <alignment horizontal="left" vertical="top" wrapText="1" indent="1"/>
    </xf>
    <xf numFmtId="49" fontId="54" fillId="0" borderId="1" xfId="0" quotePrefix="1" applyNumberFormat="1" applyFont="1" applyFill="1" applyBorder="1" applyAlignment="1" applyProtection="1">
      <alignment horizontal="left" vertical="top"/>
    </xf>
    <xf numFmtId="167" fontId="55" fillId="0" borderId="12" xfId="0" applyNumberFormat="1" applyFont="1" applyBorder="1" applyAlignment="1" applyProtection="1">
      <alignment vertical="top" wrapText="1"/>
    </xf>
    <xf numFmtId="167" fontId="57" fillId="0" borderId="12" xfId="0" applyNumberFormat="1" applyFont="1" applyBorder="1" applyAlignment="1" applyProtection="1">
      <alignment vertical="top" wrapText="1"/>
    </xf>
    <xf numFmtId="49" fontId="11" fillId="0" borderId="0" xfId="0" applyNumberFormat="1" applyFont="1" applyBorder="1" applyAlignment="1" applyProtection="1">
      <alignment horizontal="right" vertical="top" wrapText="1" indent="1"/>
    </xf>
    <xf numFmtId="167" fontId="11" fillId="0" borderId="0" xfId="0" applyNumberFormat="1" applyFont="1" applyBorder="1" applyAlignment="1" applyProtection="1">
      <alignment wrapText="1"/>
    </xf>
    <xf numFmtId="49" fontId="55" fillId="0" borderId="0" xfId="0" applyNumberFormat="1" applyFont="1" applyBorder="1" applyAlignment="1" applyProtection="1">
      <alignment horizontal="right" vertical="top" wrapText="1" indent="1"/>
    </xf>
    <xf numFmtId="167" fontId="55" fillId="0" borderId="0" xfId="0" applyNumberFormat="1" applyFont="1" applyBorder="1" applyAlignment="1" applyProtection="1">
      <alignment wrapText="1"/>
    </xf>
    <xf numFmtId="167" fontId="55" fillId="0" borderId="0" xfId="0" applyNumberFormat="1" applyFont="1" applyBorder="1" applyAlignment="1" applyProtection="1">
      <alignment vertical="top" wrapText="1"/>
    </xf>
    <xf numFmtId="167" fontId="57" fillId="0" borderId="0" xfId="0" applyNumberFormat="1" applyFont="1" applyBorder="1" applyAlignment="1" applyProtection="1">
      <alignment vertical="top" wrapText="1"/>
    </xf>
    <xf numFmtId="0" fontId="1" fillId="4" borderId="0" xfId="0" applyFont="1" applyFill="1" applyAlignment="1" applyProtection="1">
      <alignment vertical="center"/>
    </xf>
    <xf numFmtId="0" fontId="48" fillId="0" borderId="2" xfId="0" applyFont="1" applyFill="1" applyBorder="1" applyAlignment="1" applyProtection="1">
      <alignment wrapText="1"/>
    </xf>
    <xf numFmtId="49" fontId="48" fillId="0" borderId="1" xfId="0" applyNumberFormat="1" applyFont="1" applyBorder="1" applyAlignment="1" applyProtection="1">
      <alignment horizontal="left" vertical="top"/>
    </xf>
    <xf numFmtId="49" fontId="48" fillId="0" borderId="1" xfId="0" quotePrefix="1" applyNumberFormat="1" applyFont="1" applyBorder="1" applyAlignment="1" applyProtection="1">
      <alignment horizontal="left" vertical="top"/>
    </xf>
    <xf numFmtId="0" fontId="48" fillId="0" borderId="0" xfId="0" applyFont="1" applyBorder="1" applyAlignment="1" applyProtection="1">
      <alignment vertical="top" wrapText="1"/>
    </xf>
    <xf numFmtId="167" fontId="48" fillId="0" borderId="0" xfId="0" applyNumberFormat="1" applyFont="1" applyBorder="1" applyAlignment="1" applyProtection="1">
      <alignment wrapText="1"/>
    </xf>
    <xf numFmtId="0" fontId="48" fillId="0" borderId="1" xfId="0" applyFont="1" applyBorder="1" applyAlignment="1" applyProtection="1">
      <alignment horizontal="center" vertical="top"/>
    </xf>
    <xf numFmtId="49" fontId="5" fillId="0" borderId="1" xfId="0" applyNumberFormat="1" applyFont="1" applyBorder="1" applyAlignment="1" applyProtection="1">
      <alignment wrapText="1"/>
    </xf>
    <xf numFmtId="49" fontId="48" fillId="0" borderId="1" xfId="0" applyNumberFormat="1" applyFont="1" applyBorder="1" applyAlignment="1" applyProtection="1">
      <alignment wrapText="1"/>
    </xf>
    <xf numFmtId="49" fontId="61" fillId="0" borderId="0" xfId="0" applyNumberFormat="1" applyFont="1" applyBorder="1" applyAlignment="1" applyProtection="1">
      <alignment vertical="top" wrapText="1"/>
    </xf>
    <xf numFmtId="167" fontId="11" fillId="0" borderId="0" xfId="0" applyNumberFormat="1" applyFont="1" applyFill="1" applyBorder="1" applyAlignment="1" applyProtection="1">
      <alignment horizontal="right" wrapText="1"/>
    </xf>
    <xf numFmtId="0" fontId="48" fillId="0" borderId="1" xfId="0" applyFont="1" applyBorder="1" applyAlignment="1" applyProtection="1">
      <alignment horizontal="center" vertical="top" wrapText="1"/>
    </xf>
    <xf numFmtId="167" fontId="27" fillId="0" borderId="0" xfId="0" applyNumberFormat="1" applyFont="1" applyFill="1" applyBorder="1" applyAlignment="1" applyProtection="1">
      <alignment horizontal="right" wrapText="1"/>
    </xf>
    <xf numFmtId="0" fontId="1" fillId="0" borderId="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167" fontId="7" fillId="0" borderId="12" xfId="0" applyNumberFormat="1" applyFont="1" applyFill="1" applyBorder="1" applyAlignment="1" applyProtection="1">
      <alignment horizontal="right" vertical="center" wrapText="1"/>
    </xf>
    <xf numFmtId="167" fontId="45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horizontal="right" vertical="center" wrapText="1"/>
    </xf>
    <xf numFmtId="49" fontId="11" fillId="4" borderId="3" xfId="0" applyNumberFormat="1" applyFont="1" applyFill="1" applyBorder="1" applyAlignment="1" applyProtection="1">
      <alignment horizontal="left" vertical="center" wrapText="1"/>
    </xf>
    <xf numFmtId="167" fontId="27" fillId="0" borderId="0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</xf>
    <xf numFmtId="167" fontId="11" fillId="0" borderId="12" xfId="0" applyNumberFormat="1" applyFont="1" applyBorder="1" applyAlignment="1" applyProtection="1">
      <alignment horizontal="right"/>
    </xf>
    <xf numFmtId="167" fontId="7" fillId="0" borderId="14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167" fontId="11" fillId="0" borderId="12" xfId="0" applyNumberFormat="1" applyFont="1" applyBorder="1" applyAlignment="1" applyProtection="1">
      <alignment horizontal="right" wrapText="1"/>
    </xf>
    <xf numFmtId="0" fontId="1" fillId="0" borderId="3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horizontal="left" vertical="top" wrapText="1" indent="1"/>
    </xf>
    <xf numFmtId="167" fontId="7" fillId="0" borderId="0" xfId="0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Alignment="1" applyProtection="1">
      <alignment horizontal="right" vertical="center" wrapText="1"/>
    </xf>
    <xf numFmtId="49" fontId="39" fillId="0" borderId="1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vertical="center"/>
    </xf>
    <xf numFmtId="49" fontId="39" fillId="0" borderId="1" xfId="0" applyNumberFormat="1" applyFont="1" applyFill="1" applyBorder="1" applyAlignment="1" applyProtection="1">
      <alignment vertical="center"/>
    </xf>
    <xf numFmtId="49" fontId="2" fillId="0" borderId="1" xfId="0" quotePrefix="1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1" xfId="0" quotePrefix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167" fontId="11" fillId="0" borderId="0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9" fontId="3" fillId="0" borderId="1" xfId="0" quotePrefix="1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top" wrapText="1"/>
    </xf>
    <xf numFmtId="167" fontId="3" fillId="0" borderId="0" xfId="0" applyNumberFormat="1" applyFont="1" applyBorder="1" applyAlignment="1" applyProtection="1">
      <alignment wrapText="1"/>
    </xf>
    <xf numFmtId="167" fontId="2" fillId="0" borderId="14" xfId="0" applyNumberFormat="1" applyFont="1" applyBorder="1" applyAlignment="1" applyProtection="1">
      <alignment vertical="center"/>
    </xf>
    <xf numFmtId="167" fontId="1" fillId="0" borderId="14" xfId="0" applyNumberFormat="1" applyFont="1" applyBorder="1" applyAlignment="1" applyProtection="1">
      <alignment vertical="center"/>
    </xf>
    <xf numFmtId="167" fontId="1" fillId="0" borderId="14" xfId="0" applyNumberFormat="1" applyFont="1" applyBorder="1" applyAlignment="1" applyProtection="1">
      <alignment vertical="top"/>
    </xf>
    <xf numFmtId="49" fontId="3" fillId="0" borderId="1" xfId="0" quotePrefix="1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</xf>
    <xf numFmtId="167" fontId="8" fillId="0" borderId="12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right" vertical="center" wrapText="1"/>
    </xf>
    <xf numFmtId="167" fontId="1" fillId="0" borderId="0" xfId="0" applyNumberFormat="1" applyFont="1" applyBorder="1" applyAlignment="1" applyProtection="1">
      <alignment vertical="center" wrapText="1"/>
    </xf>
    <xf numFmtId="167" fontId="8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60" fillId="0" borderId="0" xfId="0" applyFont="1" applyFill="1" applyBorder="1" applyAlignment="1" applyProtection="1">
      <alignment vertical="center" wrapText="1"/>
    </xf>
    <xf numFmtId="49" fontId="55" fillId="0" borderId="0" xfId="0" applyNumberFormat="1" applyFont="1" applyBorder="1" applyAlignment="1" applyProtection="1">
      <alignment horizontal="left" vertical="top" wrapText="1" indent="1"/>
    </xf>
    <xf numFmtId="167" fontId="59" fillId="0" borderId="0" xfId="0" applyNumberFormat="1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top" wrapText="1"/>
    </xf>
    <xf numFmtId="49" fontId="2" fillId="0" borderId="1" xfId="0" quotePrefix="1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 wrapText="1"/>
    </xf>
    <xf numFmtId="167" fontId="2" fillId="0" borderId="0" xfId="0" applyNumberFormat="1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top"/>
    </xf>
    <xf numFmtId="167" fontId="2" fillId="0" borderId="14" xfId="0" applyNumberFormat="1" applyFont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left" vertical="top" wrapText="1" indent="1"/>
    </xf>
    <xf numFmtId="0" fontId="2" fillId="0" borderId="2" xfId="0" applyFont="1" applyFill="1" applyBorder="1" applyAlignment="1" applyProtection="1">
      <alignment horizontal="center" vertical="top"/>
    </xf>
    <xf numFmtId="49" fontId="14" fillId="0" borderId="1" xfId="0" applyNumberFormat="1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vertical="top" wrapText="1"/>
    </xf>
    <xf numFmtId="49" fontId="14" fillId="0" borderId="1" xfId="0" applyNumberFormat="1" applyFont="1" applyBorder="1" applyAlignment="1" applyProtection="1">
      <alignment horizontal="center" vertical="top"/>
    </xf>
    <xf numFmtId="49" fontId="7" fillId="0" borderId="0" xfId="0" applyNumberFormat="1" applyFont="1" applyBorder="1" applyAlignment="1" applyProtection="1">
      <alignment horizontal="left" vertical="top" wrapText="1" indent="1"/>
    </xf>
    <xf numFmtId="49" fontId="7" fillId="0" borderId="0" xfId="0" applyNumberFormat="1" applyFont="1" applyBorder="1" applyAlignment="1" applyProtection="1">
      <alignment horizontal="right" vertical="top" wrapText="1" indent="1"/>
    </xf>
    <xf numFmtId="49" fontId="39" fillId="4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top" wrapText="1" indent="1"/>
    </xf>
    <xf numFmtId="0" fontId="2" fillId="4" borderId="12" xfId="0" applyFont="1" applyFill="1" applyBorder="1" applyAlignment="1" applyProtection="1">
      <alignment vertical="top" wrapText="1"/>
    </xf>
    <xf numFmtId="49" fontId="44" fillId="4" borderId="12" xfId="0" applyNumberFormat="1" applyFont="1" applyFill="1" applyBorder="1" applyAlignment="1" applyProtection="1">
      <alignment horizontal="left" vertical="top"/>
    </xf>
    <xf numFmtId="49" fontId="44" fillId="4" borderId="12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Border="1" applyAlignment="1" applyProtection="1">
      <alignment vertical="center" wrapText="1"/>
    </xf>
    <xf numFmtId="167" fontId="8" fillId="4" borderId="30" xfId="0" applyNumberFormat="1" applyFont="1" applyFill="1" applyBorder="1" applyAlignment="1" applyProtection="1">
      <alignment horizontal="right" vertical="center" wrapText="1"/>
    </xf>
    <xf numFmtId="0" fontId="7" fillId="4" borderId="0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center"/>
    </xf>
    <xf numFmtId="49" fontId="2" fillId="4" borderId="12" xfId="0" quotePrefix="1" applyNumberFormat="1" applyFont="1" applyFill="1" applyBorder="1" applyAlignment="1" applyProtection="1">
      <alignment horizontal="left" vertical="top"/>
    </xf>
    <xf numFmtId="49" fontId="2" fillId="4" borderId="12" xfId="0" applyNumberFormat="1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vertical="top" wrapText="1"/>
    </xf>
    <xf numFmtId="167" fontId="18" fillId="4" borderId="12" xfId="0" applyNumberFormat="1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center" vertical="center"/>
    </xf>
    <xf numFmtId="167" fontId="2" fillId="4" borderId="14" xfId="0" applyNumberFormat="1" applyFont="1" applyFill="1" applyBorder="1" applyAlignment="1" applyProtection="1">
      <alignment horizontal="right" vertical="center"/>
    </xf>
    <xf numFmtId="167" fontId="1" fillId="4" borderId="14" xfId="0" applyNumberFormat="1" applyFont="1" applyFill="1" applyBorder="1" applyAlignment="1" applyProtection="1">
      <alignment horizontal="right" vertical="center"/>
    </xf>
    <xf numFmtId="49" fontId="2" fillId="4" borderId="1" xfId="0" quotePrefix="1" applyNumberFormat="1" applyFont="1" applyFill="1" applyBorder="1" applyAlignment="1" applyProtection="1">
      <alignment horizontal="left" vertical="top"/>
    </xf>
    <xf numFmtId="49" fontId="2" fillId="4" borderId="1" xfId="0" applyNumberFormat="1" applyFont="1" applyFill="1" applyBorder="1" applyAlignment="1" applyProtection="1">
      <alignment horizontal="center" vertical="top"/>
    </xf>
    <xf numFmtId="0" fontId="2" fillId="4" borderId="1" xfId="0" applyFont="1" applyFill="1" applyBorder="1" applyAlignment="1" applyProtection="1">
      <alignment horizontal="center" vertical="top" wrapText="1"/>
    </xf>
    <xf numFmtId="167" fontId="2" fillId="4" borderId="14" xfId="0" applyNumberFormat="1" applyFont="1" applyFill="1" applyBorder="1" applyAlignment="1" applyProtection="1">
      <alignment horizontal="right" vertical="top"/>
    </xf>
    <xf numFmtId="167" fontId="1" fillId="4" borderId="14" xfId="0" applyNumberFormat="1" applyFont="1" applyFill="1" applyBorder="1" applyAlignment="1" applyProtection="1">
      <alignment horizontal="right" vertical="top"/>
    </xf>
    <xf numFmtId="49" fontId="2" fillId="4" borderId="1" xfId="0" quotePrefix="1" applyNumberFormat="1" applyFont="1" applyFill="1" applyBorder="1" applyAlignment="1" applyProtection="1">
      <alignment horizontal="center" vertical="center"/>
    </xf>
    <xf numFmtId="167" fontId="18" fillId="4" borderId="0" xfId="0" applyNumberFormat="1" applyFont="1" applyFill="1" applyBorder="1" applyAlignment="1" applyProtection="1">
      <alignment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3" fillId="4" borderId="1" xfId="0" quotePrefix="1" applyNumberFormat="1" applyFont="1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horizontal="left" vertical="center" wrapText="1"/>
    </xf>
    <xf numFmtId="167" fontId="53" fillId="4" borderId="0" xfId="0" applyNumberFormat="1" applyFont="1" applyFill="1" applyBorder="1" applyAlignment="1" applyProtection="1">
      <alignment vertical="center" wrapText="1"/>
    </xf>
    <xf numFmtId="0" fontId="40" fillId="4" borderId="1" xfId="0" applyFont="1" applyFill="1" applyBorder="1" applyAlignment="1" applyProtection="1">
      <alignment horizontal="center" vertical="center"/>
    </xf>
    <xf numFmtId="49" fontId="39" fillId="4" borderId="1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top" wrapText="1"/>
    </xf>
    <xf numFmtId="167" fontId="7" fillId="0" borderId="0" xfId="0" applyNumberFormat="1" applyFont="1" applyBorder="1" applyAlignment="1" applyProtection="1">
      <alignment horizontal="right" wrapText="1"/>
    </xf>
    <xf numFmtId="167" fontId="1" fillId="4" borderId="24" xfId="0" applyNumberFormat="1" applyFont="1" applyFill="1" applyBorder="1" applyAlignment="1" applyProtection="1">
      <alignment horizontal="right" vertical="center" wrapText="1"/>
    </xf>
    <xf numFmtId="49" fontId="39" fillId="0" borderId="0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 applyProtection="1">
      <alignment horizontal="right" vertical="center" wrapText="1"/>
    </xf>
    <xf numFmtId="167" fontId="2" fillId="4" borderId="24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56" fillId="0" borderId="0" xfId="0" applyFont="1" applyBorder="1" applyAlignment="1" applyProtection="1">
      <alignment vertical="center" wrapText="1"/>
    </xf>
    <xf numFmtId="167" fontId="1" fillId="0" borderId="0" xfId="0" applyNumberFormat="1" applyFont="1" applyBorder="1" applyAlignment="1" applyProtection="1">
      <alignment horizontal="right" vertical="center" wrapText="1"/>
    </xf>
    <xf numFmtId="49" fontId="63" fillId="0" borderId="3" xfId="0" applyNumberFormat="1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167" fontId="7" fillId="0" borderId="18" xfId="0" applyNumberFormat="1" applyFont="1" applyBorder="1" applyAlignment="1" applyProtection="1">
      <alignment horizontal="right" vertical="center"/>
    </xf>
    <xf numFmtId="167" fontId="1" fillId="4" borderId="16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167" fontId="7" fillId="0" borderId="0" xfId="0" applyNumberFormat="1" applyFont="1" applyAlignment="1" applyProtection="1">
      <alignment horizontal="right" vertical="center"/>
    </xf>
    <xf numFmtId="167" fontId="2" fillId="4" borderId="0" xfId="0" applyNumberFormat="1" applyFont="1" applyFill="1" applyAlignment="1" applyProtection="1">
      <alignment horizontal="right" vertical="center" wrapText="1"/>
    </xf>
    <xf numFmtId="167" fontId="1" fillId="4" borderId="0" xfId="0" applyNumberFormat="1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4" fontId="60" fillId="0" borderId="0" xfId="0" applyNumberFormat="1" applyFont="1" applyAlignment="1" applyProtection="1">
      <alignment vertical="center"/>
    </xf>
    <xf numFmtId="0" fontId="60" fillId="0" borderId="21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1" xfId="0" quotePrefix="1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167" fontId="8" fillId="0" borderId="0" xfId="0" applyNumberFormat="1" applyFont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7" fontId="2" fillId="4" borderId="24" xfId="0" applyNumberFormat="1" applyFont="1" applyFill="1" applyBorder="1" applyAlignment="1">
      <alignment horizontal="right" vertical="center" wrapText="1"/>
    </xf>
    <xf numFmtId="49" fontId="39" fillId="0" borderId="0" xfId="0" applyNumberFormat="1" applyFont="1" applyAlignment="1">
      <alignment horizontal="center" vertical="center"/>
    </xf>
    <xf numFmtId="0" fontId="40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/>
    </xf>
    <xf numFmtId="0" fontId="56" fillId="0" borderId="0" xfId="0" applyFont="1" applyAlignment="1" applyProtection="1">
      <alignment horizontal="left" vertical="center" wrapText="1"/>
      <protection locked="0"/>
    </xf>
    <xf numFmtId="167" fontId="7" fillId="0" borderId="0" xfId="0" applyNumberFormat="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167" fontId="1" fillId="4" borderId="24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49" fontId="60" fillId="0" borderId="5" xfId="0" applyNumberFormat="1" applyFont="1" applyFill="1" applyBorder="1" applyAlignment="1" applyProtection="1">
      <alignment horizontal="center"/>
    </xf>
    <xf numFmtId="49" fontId="60" fillId="0" borderId="35" xfId="0" applyNumberFormat="1" applyFont="1" applyFill="1" applyBorder="1" applyAlignment="1" applyProtection="1">
      <alignment horizontal="center" vertical="center"/>
    </xf>
    <xf numFmtId="49" fontId="60" fillId="0" borderId="35" xfId="0" quotePrefix="1" applyNumberFormat="1" applyFont="1" applyBorder="1" applyAlignment="1" applyProtection="1">
      <alignment horizontal="left" vertical="center"/>
    </xf>
    <xf numFmtId="0" fontId="60" fillId="0" borderId="35" xfId="0" applyFont="1" applyBorder="1" applyAlignment="1" applyProtection="1">
      <alignment horizontal="center" vertical="center"/>
    </xf>
    <xf numFmtId="4" fontId="1" fillId="6" borderId="60" xfId="0" applyNumberFormat="1" applyFont="1" applyFill="1" applyBorder="1" applyAlignment="1" applyProtection="1">
      <alignment vertical="center"/>
      <protection locked="0"/>
    </xf>
    <xf numFmtId="0" fontId="60" fillId="0" borderId="15" xfId="0" applyFont="1" applyFill="1" applyBorder="1" applyAlignment="1" applyProtection="1">
      <alignment horizontal="left" vertical="center" wrapText="1"/>
    </xf>
    <xf numFmtId="49" fontId="60" fillId="0" borderId="7" xfId="0" applyNumberFormat="1" applyFont="1" applyFill="1" applyBorder="1" applyAlignment="1" applyProtection="1">
      <alignment horizontal="center" vertical="center"/>
    </xf>
    <xf numFmtId="49" fontId="60" fillId="0" borderId="7" xfId="0" quotePrefix="1" applyNumberFormat="1" applyFont="1" applyBorder="1" applyAlignment="1" applyProtection="1">
      <alignment horizontal="left" vertical="center"/>
    </xf>
    <xf numFmtId="0" fontId="60" fillId="0" borderId="7" xfId="0" applyFont="1" applyBorder="1" applyAlignment="1" applyProtection="1">
      <alignment horizontal="center" vertical="center"/>
    </xf>
    <xf numFmtId="167" fontId="60" fillId="0" borderId="29" xfId="0" applyNumberFormat="1" applyFont="1" applyBorder="1" applyAlignment="1" applyProtection="1">
      <alignment horizontal="right" vertical="center" wrapText="1"/>
    </xf>
    <xf numFmtId="4" fontId="1" fillId="6" borderId="15" xfId="0" applyNumberFormat="1" applyFont="1" applyFill="1" applyBorder="1" applyAlignment="1" applyProtection="1">
      <alignment vertical="center"/>
      <protection locked="0"/>
    </xf>
    <xf numFmtId="49" fontId="1" fillId="0" borderId="5" xfId="0" quotePrefix="1" applyNumberFormat="1" applyFont="1" applyBorder="1" applyAlignment="1">
      <alignment horizontal="left"/>
    </xf>
    <xf numFmtId="0" fontId="60" fillId="0" borderId="47" xfId="0" applyFont="1" applyFill="1" applyBorder="1" applyAlignment="1" applyProtection="1">
      <alignment vertical="center" wrapText="1"/>
    </xf>
    <xf numFmtId="0" fontId="60" fillId="0" borderId="49" xfId="0" applyFont="1" applyBorder="1" applyAlignment="1" applyProtection="1">
      <alignment vertical="center" wrapText="1"/>
    </xf>
    <xf numFmtId="49" fontId="60" fillId="0" borderId="43" xfId="0" applyNumberFormat="1" applyFont="1" applyFill="1" applyBorder="1" applyAlignment="1">
      <alignment horizontal="center" vertical="center"/>
    </xf>
    <xf numFmtId="2" fontId="1" fillId="0" borderId="41" xfId="0" applyNumberFormat="1" applyFont="1" applyBorder="1" applyAlignment="1">
      <alignment horizontal="right" vertical="center"/>
    </xf>
    <xf numFmtId="49" fontId="60" fillId="0" borderId="18" xfId="0" applyNumberFormat="1" applyFont="1" applyFill="1" applyBorder="1" applyAlignment="1">
      <alignment horizontal="center" vertical="center"/>
    </xf>
    <xf numFmtId="49" fontId="60" fillId="0" borderId="7" xfId="0" quotePrefix="1" applyNumberFormat="1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167" fontId="60" fillId="0" borderId="29" xfId="0" applyNumberFormat="1" applyFont="1" applyBorder="1" applyAlignment="1">
      <alignment horizontal="right" vertical="center" wrapText="1"/>
    </xf>
    <xf numFmtId="2" fontId="1" fillId="0" borderId="29" xfId="0" applyNumberFormat="1" applyFont="1" applyBorder="1" applyAlignment="1">
      <alignment horizontal="right" vertical="center"/>
    </xf>
    <xf numFmtId="49" fontId="60" fillId="0" borderId="19" xfId="0" applyNumberFormat="1" applyFont="1" applyFill="1" applyBorder="1" applyAlignment="1">
      <alignment horizontal="center" vertical="center"/>
    </xf>
    <xf numFmtId="49" fontId="60" fillId="0" borderId="31" xfId="0" applyNumberFormat="1" applyFont="1" applyFill="1" applyBorder="1" applyAlignment="1">
      <alignment horizontal="center" vertical="center"/>
    </xf>
    <xf numFmtId="49" fontId="60" fillId="0" borderId="6" xfId="0" applyNumberFormat="1" applyFont="1" applyFill="1" applyBorder="1" applyAlignment="1">
      <alignment horizontal="center" vertical="center"/>
    </xf>
    <xf numFmtId="0" fontId="60" fillId="0" borderId="47" xfId="0" applyFont="1" applyBorder="1" applyAlignment="1">
      <alignment vertical="center" wrapText="1"/>
    </xf>
    <xf numFmtId="0" fontId="60" fillId="0" borderId="49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 indent="1"/>
    </xf>
    <xf numFmtId="167" fontId="8" fillId="0" borderId="0" xfId="0" applyNumberFormat="1" applyFont="1" applyAlignment="1" applyProtection="1">
      <alignment vertical="top" wrapText="1"/>
      <protection locked="0"/>
    </xf>
    <xf numFmtId="4" fontId="1" fillId="0" borderId="19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center" vertical="center"/>
    </xf>
    <xf numFmtId="3" fontId="1" fillId="0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" fontId="60" fillId="4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49" fontId="60" fillId="0" borderId="31" xfId="0" applyNumberFormat="1" applyFont="1" applyBorder="1" applyAlignment="1">
      <alignment horizontal="center" vertical="center"/>
    </xf>
    <xf numFmtId="49" fontId="60" fillId="0" borderId="27" xfId="0" applyNumberFormat="1" applyFont="1" applyBorder="1" applyAlignment="1">
      <alignment horizontal="center" vertical="center"/>
    </xf>
    <xf numFmtId="4" fontId="60" fillId="0" borderId="27" xfId="0" applyNumberFormat="1" applyFont="1" applyBorder="1" applyAlignment="1">
      <alignment horizontal="center" vertical="center"/>
    </xf>
    <xf numFmtId="4" fontId="60" fillId="4" borderId="27" xfId="0" applyNumberFormat="1" applyFont="1" applyFill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4" fontId="60" fillId="0" borderId="21" xfId="0" applyNumberFormat="1" applyFont="1" applyBorder="1" applyAlignment="1">
      <alignment horizontal="center" vertical="center"/>
    </xf>
    <xf numFmtId="0" fontId="60" fillId="0" borderId="21" xfId="0" applyFont="1" applyFill="1" applyBorder="1" applyAlignment="1" applyProtection="1">
      <alignment horizontal="left" vertical="top" wrapText="1"/>
    </xf>
    <xf numFmtId="0" fontId="60" fillId="0" borderId="27" xfId="0" applyFont="1" applyBorder="1" applyAlignment="1" applyProtection="1">
      <alignment horizontal="left" vertical="top" wrapText="1"/>
    </xf>
    <xf numFmtId="0" fontId="60" fillId="0" borderId="27" xfId="0" applyFont="1" applyBorder="1" applyAlignment="1" applyProtection="1">
      <alignment horizontal="left" vertical="center" wrapText="1"/>
    </xf>
    <xf numFmtId="0" fontId="60" fillId="0" borderId="19" xfId="0" applyFont="1" applyFill="1" applyBorder="1" applyAlignment="1" applyProtection="1">
      <alignment horizontal="left" vertical="center" wrapText="1"/>
    </xf>
    <xf numFmtId="0" fontId="60" fillId="0" borderId="6" xfId="0" applyFont="1" applyFill="1" applyBorder="1" applyAlignment="1" applyProtection="1">
      <alignment horizontal="left" vertical="center" wrapText="1"/>
    </xf>
    <xf numFmtId="0" fontId="60" fillId="0" borderId="5" xfId="0" applyFont="1" applyBorder="1" applyAlignment="1" applyProtection="1">
      <alignment horizontal="left" vertical="center" wrapText="1"/>
    </xf>
    <xf numFmtId="0" fontId="60" fillId="0" borderId="21" xfId="0" applyFont="1" applyBorder="1" applyAlignment="1" applyProtection="1">
      <alignment horizontal="left" vertical="top" wrapText="1"/>
    </xf>
    <xf numFmtId="0" fontId="60" fillId="0" borderId="19" xfId="0" applyFont="1" applyFill="1" applyBorder="1" applyAlignment="1" applyProtection="1">
      <alignment horizontal="left" vertical="top" wrapText="1"/>
    </xf>
    <xf numFmtId="0" fontId="60" fillId="0" borderId="6" xfId="0" applyFont="1" applyFill="1" applyBorder="1" applyAlignment="1" applyProtection="1">
      <alignment horizontal="left" vertical="top" wrapText="1"/>
    </xf>
    <xf numFmtId="0" fontId="60" fillId="0" borderId="5" xfId="0" applyFont="1" applyBorder="1" applyAlignment="1" applyProtection="1">
      <alignment horizontal="left" vertical="top" wrapText="1"/>
    </xf>
    <xf numFmtId="0" fontId="60" fillId="0" borderId="31" xfId="0" applyFont="1" applyFill="1" applyBorder="1" applyAlignment="1" applyProtection="1">
      <alignment horizontal="left" vertical="center" wrapText="1"/>
    </xf>
    <xf numFmtId="0" fontId="60" fillId="0" borderId="5" xfId="0" applyFont="1" applyFill="1" applyBorder="1" applyAlignment="1" applyProtection="1">
      <alignment horizontal="left" vertical="center" wrapText="1"/>
    </xf>
    <xf numFmtId="0" fontId="60" fillId="0" borderId="17" xfId="0" applyFont="1" applyBorder="1" applyAlignment="1" applyProtection="1">
      <alignment horizontal="left" vertical="center" wrapText="1"/>
    </xf>
    <xf numFmtId="0" fontId="60" fillId="0" borderId="18" xfId="0" applyFont="1" applyBorder="1" applyAlignment="1" applyProtection="1">
      <alignment horizontal="left" vertical="center" wrapText="1"/>
    </xf>
    <xf numFmtId="0" fontId="60" fillId="0" borderId="19" xfId="0" applyFont="1" applyFill="1" applyBorder="1" applyAlignment="1" applyProtection="1">
      <alignment horizontal="left" vertical="center"/>
    </xf>
    <xf numFmtId="0" fontId="60" fillId="0" borderId="31" xfId="0" applyFont="1" applyFill="1" applyBorder="1" applyAlignment="1" applyProtection="1">
      <alignment horizontal="left" vertical="center"/>
    </xf>
    <xf numFmtId="0" fontId="60" fillId="0" borderId="6" xfId="0" applyFont="1" applyFill="1" applyBorder="1" applyAlignment="1" applyProtection="1">
      <alignment horizontal="left" vertical="center"/>
    </xf>
    <xf numFmtId="0" fontId="60" fillId="4" borderId="27" xfId="0" applyFont="1" applyFill="1" applyBorder="1" applyAlignment="1" applyProtection="1">
      <alignment horizontal="left" vertical="top" wrapText="1"/>
    </xf>
    <xf numFmtId="0" fontId="60" fillId="4" borderId="21" xfId="0" applyFont="1" applyFill="1" applyBorder="1" applyAlignment="1" applyProtection="1">
      <alignment horizontal="left" vertical="center" wrapText="1"/>
    </xf>
    <xf numFmtId="0" fontId="60" fillId="0" borderId="21" xfId="0" applyFont="1" applyBorder="1" applyAlignment="1" applyProtection="1">
      <alignment horizontal="left" vertical="center" wrapText="1"/>
    </xf>
    <xf numFmtId="0" fontId="60" fillId="0" borderId="60" xfId="0" applyFont="1" applyFill="1" applyBorder="1" applyAlignment="1" applyProtection="1">
      <alignment horizontal="left" vertical="center"/>
    </xf>
    <xf numFmtId="0" fontId="60" fillId="0" borderId="35" xfId="0" applyFont="1" applyBorder="1" applyAlignment="1" applyProtection="1">
      <alignment horizontal="left" vertical="center" wrapText="1"/>
    </xf>
    <xf numFmtId="0" fontId="60" fillId="0" borderId="19" xfId="0" applyFont="1" applyFill="1" applyBorder="1" applyAlignment="1" applyProtection="1">
      <alignment horizontal="center" vertical="center"/>
    </xf>
    <xf numFmtId="0" fontId="60" fillId="0" borderId="31" xfId="0" applyFont="1" applyFill="1" applyBorder="1" applyAlignment="1" applyProtection="1">
      <alignment horizontal="center" vertical="center"/>
    </xf>
    <xf numFmtId="0" fontId="60" fillId="0" borderId="6" xfId="0" applyFont="1" applyFill="1" applyBorder="1" applyAlignment="1" applyProtection="1">
      <alignment horizontal="center" vertical="center"/>
    </xf>
    <xf numFmtId="0" fontId="60" fillId="0" borderId="51" xfId="0" applyFont="1" applyFill="1" applyBorder="1" applyAlignment="1" applyProtection="1">
      <alignment horizontal="left" vertical="center" wrapText="1"/>
    </xf>
    <xf numFmtId="0" fontId="60" fillId="0" borderId="52" xfId="0" applyFont="1" applyFill="1" applyBorder="1" applyAlignment="1" applyProtection="1">
      <alignment horizontal="left" vertical="center" wrapText="1"/>
    </xf>
    <xf numFmtId="0" fontId="60" fillId="0" borderId="56" xfId="0" applyFont="1" applyBorder="1" applyAlignment="1" applyProtection="1">
      <alignment horizontal="left" vertical="center" wrapText="1"/>
    </xf>
    <xf numFmtId="0" fontId="60" fillId="0" borderId="57" xfId="0" applyFont="1" applyBorder="1" applyAlignment="1" applyProtection="1">
      <alignment horizontal="left" vertical="center" wrapText="1"/>
    </xf>
    <xf numFmtId="0" fontId="60" fillId="4" borderId="46" xfId="0" applyFont="1" applyFill="1" applyBorder="1" applyAlignment="1" applyProtection="1">
      <alignment horizontal="left" vertical="center" wrapText="1"/>
    </xf>
    <xf numFmtId="0" fontId="60" fillId="4" borderId="36" xfId="0" applyFont="1" applyFill="1" applyBorder="1" applyAlignment="1" applyProtection="1">
      <alignment horizontal="left" vertical="center" wrapText="1"/>
    </xf>
    <xf numFmtId="0" fontId="60" fillId="4" borderId="45" xfId="0" applyFont="1" applyFill="1" applyBorder="1" applyAlignment="1" applyProtection="1">
      <alignment horizontal="left" vertical="center" wrapText="1"/>
    </xf>
    <xf numFmtId="0" fontId="60" fillId="4" borderId="38" xfId="0" applyFont="1" applyFill="1" applyBorder="1" applyAlignment="1" applyProtection="1">
      <alignment horizontal="left" vertical="center" wrapText="1"/>
    </xf>
    <xf numFmtId="0" fontId="60" fillId="0" borderId="46" xfId="0" applyFont="1" applyBorder="1" applyAlignment="1" applyProtection="1">
      <alignment horizontal="left" vertical="top" wrapText="1"/>
    </xf>
    <xf numFmtId="0" fontId="60" fillId="0" borderId="36" xfId="0" applyFont="1" applyBorder="1" applyAlignment="1" applyProtection="1">
      <alignment horizontal="left" vertical="top" wrapText="1"/>
    </xf>
    <xf numFmtId="0" fontId="60" fillId="0" borderId="44" xfId="0" applyFont="1" applyBorder="1" applyAlignment="1" applyProtection="1">
      <alignment horizontal="left" vertical="top" wrapText="1"/>
    </xf>
    <xf numFmtId="0" fontId="60" fillId="0" borderId="37" xfId="0" applyFont="1" applyBorder="1" applyAlignment="1" applyProtection="1">
      <alignment horizontal="left" vertical="top" wrapText="1"/>
    </xf>
    <xf numFmtId="0" fontId="60" fillId="0" borderId="44" xfId="0" applyFont="1" applyBorder="1" applyAlignment="1" applyProtection="1">
      <alignment horizontal="left" vertical="center" wrapText="1"/>
    </xf>
    <xf numFmtId="0" fontId="60" fillId="0" borderId="37" xfId="0" applyFont="1" applyBorder="1" applyAlignment="1" applyProtection="1">
      <alignment horizontal="left" vertical="center" wrapText="1"/>
    </xf>
    <xf numFmtId="0" fontId="60" fillId="0" borderId="45" xfId="0" applyFont="1" applyBorder="1" applyAlignment="1" applyProtection="1">
      <alignment horizontal="left" vertical="top" wrapText="1"/>
    </xf>
    <xf numFmtId="0" fontId="60" fillId="0" borderId="38" xfId="0" applyFont="1" applyBorder="1" applyAlignment="1" applyProtection="1">
      <alignment horizontal="left" vertical="top" wrapText="1"/>
    </xf>
    <xf numFmtId="0" fontId="60" fillId="0" borderId="45" xfId="0" applyFont="1" applyBorder="1" applyAlignment="1" applyProtection="1">
      <alignment horizontal="left" vertical="center" wrapText="1"/>
    </xf>
    <xf numFmtId="0" fontId="60" fillId="0" borderId="38" xfId="0" applyFont="1" applyBorder="1" applyAlignment="1" applyProtection="1">
      <alignment horizontal="left" vertical="center" wrapText="1"/>
    </xf>
    <xf numFmtId="0" fontId="60" fillId="0" borderId="2" xfId="0" applyFont="1" applyFill="1" applyBorder="1" applyAlignment="1" applyProtection="1">
      <alignment horizontal="left" vertical="center" wrapText="1"/>
    </xf>
    <xf numFmtId="4" fontId="66" fillId="5" borderId="39" xfId="0" applyNumberFormat="1" applyFont="1" applyFill="1" applyBorder="1" applyAlignment="1" applyProtection="1">
      <alignment horizontal="center" vertical="center"/>
    </xf>
    <xf numFmtId="4" fontId="66" fillId="5" borderId="24" xfId="0" applyNumberFormat="1" applyFont="1" applyFill="1" applyBorder="1" applyAlignment="1" applyProtection="1">
      <alignment horizontal="center" vertical="center"/>
    </xf>
    <xf numFmtId="0" fontId="66" fillId="5" borderId="8" xfId="0" applyFont="1" applyFill="1" applyBorder="1" applyAlignment="1" applyProtection="1">
      <alignment horizontal="center" vertical="center"/>
    </xf>
    <xf numFmtId="0" fontId="66" fillId="5" borderId="2" xfId="0" applyFont="1" applyFill="1" applyBorder="1" applyAlignment="1" applyProtection="1">
      <alignment horizontal="center" vertical="center"/>
    </xf>
    <xf numFmtId="0" fontId="66" fillId="5" borderId="10" xfId="0" applyFont="1" applyFill="1" applyBorder="1" applyAlignment="1" applyProtection="1">
      <alignment horizontal="center" vertical="center"/>
    </xf>
    <xf numFmtId="0" fontId="66" fillId="5" borderId="20" xfId="0" applyFont="1" applyFill="1" applyBorder="1" applyAlignment="1" applyProtection="1">
      <alignment horizontal="center" vertical="center"/>
    </xf>
    <xf numFmtId="0" fontId="66" fillId="5" borderId="3" xfId="0" applyFont="1" applyFill="1" applyBorder="1" applyAlignment="1" applyProtection="1">
      <alignment horizontal="center" vertical="center"/>
    </xf>
    <xf numFmtId="0" fontId="66" fillId="5" borderId="1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66" fillId="5" borderId="5" xfId="0" quotePrefix="1" applyFont="1" applyFill="1" applyBorder="1" applyAlignment="1" applyProtection="1">
      <alignment horizontal="center" vertical="center"/>
    </xf>
    <xf numFmtId="0" fontId="66" fillId="5" borderId="35" xfId="0" quotePrefix="1" applyFont="1" applyFill="1" applyBorder="1" applyAlignment="1" applyProtection="1">
      <alignment horizontal="center" vertical="center"/>
    </xf>
    <xf numFmtId="167" fontId="66" fillId="5" borderId="13" xfId="0" applyNumberFormat="1" applyFont="1" applyFill="1" applyBorder="1" applyAlignment="1" applyProtection="1">
      <alignment horizontal="center" vertical="center"/>
    </xf>
    <xf numFmtId="167" fontId="66" fillId="5" borderId="14" xfId="0" applyNumberFormat="1" applyFont="1" applyFill="1" applyBorder="1" applyAlignment="1" applyProtection="1">
      <alignment horizontal="center" vertical="center"/>
    </xf>
    <xf numFmtId="0" fontId="60" fillId="0" borderId="27" xfId="0" applyFont="1" applyBorder="1" applyAlignment="1">
      <alignment horizontal="left" vertical="center" wrapText="1"/>
    </xf>
    <xf numFmtId="0" fontId="60" fillId="0" borderId="17" xfId="0" applyFont="1" applyBorder="1" applyAlignment="1">
      <alignment horizontal="left" vertical="center" wrapText="1"/>
    </xf>
    <xf numFmtId="0" fontId="60" fillId="0" borderId="18" xfId="0" applyFont="1" applyBorder="1" applyAlignment="1">
      <alignment horizontal="left" vertical="center" wrapText="1"/>
    </xf>
    <xf numFmtId="0" fontId="60" fillId="0" borderId="33" xfId="0" applyFont="1" applyFill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wrapText="1"/>
    </xf>
    <xf numFmtId="0" fontId="60" fillId="0" borderId="25" xfId="0" applyFont="1" applyFill="1" applyBorder="1" applyAlignment="1">
      <alignment horizontal="center" vertical="center" wrapText="1"/>
    </xf>
    <xf numFmtId="0" fontId="60" fillId="0" borderId="50" xfId="0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left" vertical="top" wrapText="1"/>
    </xf>
    <xf numFmtId="0" fontId="60" fillId="0" borderId="35" xfId="0" applyFont="1" applyBorder="1" applyAlignment="1">
      <alignment horizontal="left" vertical="center" wrapText="1"/>
    </xf>
    <xf numFmtId="0" fontId="60" fillId="0" borderId="21" xfId="0" applyFont="1" applyBorder="1" applyAlignment="1">
      <alignment horizontal="left" vertical="center" wrapText="1"/>
    </xf>
    <xf numFmtId="0" fontId="60" fillId="4" borderId="27" xfId="0" applyFont="1" applyFill="1" applyBorder="1" applyAlignment="1">
      <alignment horizontal="left" vertical="top" wrapText="1"/>
    </xf>
    <xf numFmtId="0" fontId="60" fillId="0" borderId="27" xfId="0" applyFont="1" applyBorder="1" applyAlignment="1">
      <alignment horizontal="left" vertical="top" wrapText="1"/>
    </xf>
    <xf numFmtId="0" fontId="60" fillId="4" borderId="21" xfId="0" applyFont="1" applyFill="1" applyBorder="1" applyAlignment="1">
      <alignment horizontal="left" vertical="center" wrapText="1"/>
    </xf>
    <xf numFmtId="0" fontId="60" fillId="0" borderId="21" xfId="0" applyFont="1" applyFill="1" applyBorder="1" applyAlignment="1">
      <alignment horizontal="left" vertical="top" wrapText="1"/>
    </xf>
    <xf numFmtId="0" fontId="60" fillId="0" borderId="21" xfId="0" applyFont="1" applyBorder="1" applyAlignment="1">
      <alignment horizontal="left" vertical="top" wrapText="1"/>
    </xf>
    <xf numFmtId="0" fontId="60" fillId="0" borderId="44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5" xfId="0" applyFont="1" applyFill="1" applyBorder="1" applyAlignment="1">
      <alignment horizontal="left" vertical="center" wrapText="1"/>
    </xf>
    <xf numFmtId="0" fontId="60" fillId="0" borderId="44" xfId="0" applyFont="1" applyBorder="1" applyAlignment="1">
      <alignment horizontal="left" vertical="top" wrapText="1"/>
    </xf>
    <xf numFmtId="0" fontId="60" fillId="0" borderId="37" xfId="0" applyFont="1" applyBorder="1" applyAlignment="1">
      <alignment horizontal="left" vertical="top" wrapText="1"/>
    </xf>
    <xf numFmtId="0" fontId="60" fillId="0" borderId="45" xfId="0" applyFont="1" applyBorder="1" applyAlignment="1">
      <alignment horizontal="left" vertical="top" wrapText="1"/>
    </xf>
    <xf numFmtId="0" fontId="60" fillId="0" borderId="38" xfId="0" applyFont="1" applyBorder="1" applyAlignment="1">
      <alignment horizontal="left" vertical="top" wrapText="1"/>
    </xf>
    <xf numFmtId="0" fontId="60" fillId="0" borderId="56" xfId="0" applyFont="1" applyBorder="1" applyAlignment="1">
      <alignment horizontal="left" vertical="center" wrapText="1"/>
    </xf>
    <xf numFmtId="0" fontId="60" fillId="0" borderId="57" xfId="0" applyFont="1" applyBorder="1" applyAlignment="1">
      <alignment horizontal="left" vertical="center" wrapText="1"/>
    </xf>
    <xf numFmtId="0" fontId="60" fillId="4" borderId="46" xfId="0" applyFont="1" applyFill="1" applyBorder="1" applyAlignment="1">
      <alignment horizontal="left" vertical="center" wrapText="1"/>
    </xf>
    <xf numFmtId="0" fontId="60" fillId="4" borderId="36" xfId="0" applyFont="1" applyFill="1" applyBorder="1" applyAlignment="1">
      <alignment horizontal="left" vertical="center" wrapText="1"/>
    </xf>
    <xf numFmtId="0" fontId="60" fillId="4" borderId="45" xfId="0" applyFont="1" applyFill="1" applyBorder="1" applyAlignment="1">
      <alignment horizontal="left" vertical="center" wrapText="1"/>
    </xf>
    <xf numFmtId="0" fontId="60" fillId="4" borderId="38" xfId="0" applyFont="1" applyFill="1" applyBorder="1" applyAlignment="1">
      <alignment horizontal="left" vertical="center" wrapText="1"/>
    </xf>
    <xf numFmtId="0" fontId="60" fillId="0" borderId="46" xfId="0" applyFont="1" applyBorder="1" applyAlignment="1">
      <alignment horizontal="left" vertical="top" wrapText="1"/>
    </xf>
    <xf numFmtId="0" fontId="60" fillId="0" borderId="36" xfId="0" applyFont="1" applyBorder="1" applyAlignment="1">
      <alignment horizontal="left" vertical="top" wrapText="1"/>
    </xf>
    <xf numFmtId="168" fontId="66" fillId="5" borderId="39" xfId="0" applyNumberFormat="1" applyFont="1" applyFill="1" applyBorder="1" applyAlignment="1">
      <alignment horizontal="center" vertical="center"/>
    </xf>
    <xf numFmtId="168" fontId="66" fillId="5" borderId="24" xfId="0" applyNumberFormat="1" applyFont="1" applyFill="1" applyBorder="1" applyAlignment="1">
      <alignment horizontal="center" vertical="center"/>
    </xf>
    <xf numFmtId="0" fontId="60" fillId="0" borderId="45" xfId="0" applyFont="1" applyBorder="1" applyAlignment="1">
      <alignment horizontal="left" vertical="center" wrapText="1"/>
    </xf>
    <xf numFmtId="0" fontId="60" fillId="0" borderId="38" xfId="0" applyFont="1" applyBorder="1" applyAlignment="1">
      <alignment horizontal="left" vertical="center" wrapText="1"/>
    </xf>
    <xf numFmtId="0" fontId="66" fillId="5" borderId="33" xfId="0" applyFont="1" applyFill="1" applyBorder="1" applyAlignment="1">
      <alignment horizontal="center" vertical="center"/>
    </xf>
    <xf numFmtId="0" fontId="66" fillId="5" borderId="34" xfId="0" applyFont="1" applyFill="1" applyBorder="1" applyAlignment="1">
      <alignment horizontal="center" vertical="center"/>
    </xf>
    <xf numFmtId="0" fontId="60" fillId="0" borderId="35" xfId="0" applyFont="1" applyBorder="1" applyAlignment="1">
      <alignment horizontal="left" vertical="top" wrapText="1"/>
    </xf>
    <xf numFmtId="0" fontId="66" fillId="5" borderId="8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horizontal="center" vertical="center"/>
    </xf>
    <xf numFmtId="0" fontId="66" fillId="5" borderId="10" xfId="0" applyFont="1" applyFill="1" applyBorder="1" applyAlignment="1">
      <alignment horizontal="center" vertical="center"/>
    </xf>
    <xf numFmtId="0" fontId="66" fillId="5" borderId="20" xfId="0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horizontal="center" vertical="center"/>
    </xf>
    <xf numFmtId="0" fontId="66" fillId="5" borderId="12" xfId="0" applyFont="1" applyFill="1" applyBorder="1" applyAlignment="1">
      <alignment horizontal="center" vertical="center"/>
    </xf>
    <xf numFmtId="0" fontId="66" fillId="5" borderId="5" xfId="0" quotePrefix="1" applyFont="1" applyFill="1" applyBorder="1" applyAlignment="1">
      <alignment horizontal="center" vertical="center"/>
    </xf>
    <xf numFmtId="0" fontId="66" fillId="5" borderId="35" xfId="0" quotePrefix="1" applyFont="1" applyFill="1" applyBorder="1" applyAlignment="1">
      <alignment horizontal="center" vertical="center"/>
    </xf>
    <xf numFmtId="167" fontId="66" fillId="5" borderId="13" xfId="0" applyNumberFormat="1" applyFont="1" applyFill="1" applyBorder="1" applyAlignment="1">
      <alignment horizontal="center" vertical="center"/>
    </xf>
    <xf numFmtId="167" fontId="66" fillId="5" borderId="1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5" xfId="0" quotePrefix="1" applyFont="1" applyFill="1" applyBorder="1" applyAlignment="1" applyProtection="1">
      <alignment horizontal="center" vertical="center"/>
    </xf>
    <xf numFmtId="0" fontId="1" fillId="0" borderId="21" xfId="0" quotePrefix="1" applyFont="1" applyFill="1" applyBorder="1" applyAlignment="1" applyProtection="1">
      <alignment horizontal="center" vertical="center"/>
    </xf>
    <xf numFmtId="167" fontId="1" fillId="0" borderId="13" xfId="0" applyNumberFormat="1" applyFont="1" applyFill="1" applyBorder="1" applyAlignment="1" applyProtection="1">
      <alignment horizontal="center" vertical="center"/>
    </xf>
    <xf numFmtId="167" fontId="1" fillId="0" borderId="29" xfId="0" applyNumberFormat="1" applyFont="1" applyFill="1" applyBorder="1" applyAlignment="1" applyProtection="1">
      <alignment horizontal="center" vertical="center"/>
    </xf>
  </cellXfs>
  <cellStyles count="6">
    <cellStyle name="Normálna" xfId="0" builtinId="0"/>
    <cellStyle name="Normálna 2" xfId="1" xr:uid="{00000000-0005-0000-0000-000000000000}"/>
    <cellStyle name="Normálna 2 2" xfId="4" xr:uid="{00000000-0005-0000-0000-000001000000}"/>
    <cellStyle name="Normálna 3" xfId="5" xr:uid="{00000000-0005-0000-0000-000002000000}"/>
    <cellStyle name="normálne 2" xfId="2" xr:uid="{00000000-0005-0000-0000-000004000000}"/>
    <cellStyle name="normálne 3" xfId="3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P578"/>
  <sheetViews>
    <sheetView zoomScale="80" zoomScaleNormal="80" workbookViewId="0">
      <pane ySplit="4" topLeftCell="A370" activePane="bottomLeft" state="frozen"/>
      <selection pane="bottomLeft" activeCell="E414" sqref="E414"/>
    </sheetView>
  </sheetViews>
  <sheetFormatPr defaultRowHeight="12.75" x14ac:dyDescent="0.2"/>
  <cols>
    <col min="1" max="1" width="4.7109375" style="8" customWidth="1"/>
    <col min="2" max="2" width="9.85546875" style="8" customWidth="1"/>
    <col min="3" max="3" width="9.85546875" style="128" customWidth="1"/>
    <col min="4" max="4" width="13.140625" style="128" customWidth="1"/>
    <col min="5" max="5" width="52.7109375" style="128" customWidth="1"/>
    <col min="6" max="6" width="9.85546875" style="242" customWidth="1"/>
    <col min="7" max="7" width="5.7109375" style="128" customWidth="1"/>
    <col min="8" max="8" width="10.140625" style="330" customWidth="1"/>
    <col min="9" max="9" width="14.85546875" style="39" customWidth="1"/>
    <col min="10" max="10" width="15.28515625" style="159" customWidth="1"/>
    <col min="11" max="11" width="6.28515625" style="40" customWidth="1"/>
    <col min="12" max="16384" width="9.140625" style="40"/>
  </cols>
  <sheetData>
    <row r="1" spans="1:16" x14ac:dyDescent="0.2">
      <c r="A1" s="33" t="s">
        <v>149</v>
      </c>
      <c r="B1" s="33"/>
      <c r="C1" s="34"/>
      <c r="D1" s="35"/>
      <c r="E1" s="36" t="s">
        <v>459</v>
      </c>
      <c r="F1" s="201"/>
      <c r="G1" s="37"/>
      <c r="H1" s="38"/>
    </row>
    <row r="2" spans="1:16" ht="13.5" thickBot="1" x14ac:dyDescent="0.25">
      <c r="A2" s="41" t="s">
        <v>150</v>
      </c>
      <c r="B2" s="33"/>
      <c r="C2" s="34"/>
      <c r="D2" s="35"/>
      <c r="E2" s="42">
        <v>2141</v>
      </c>
      <c r="F2" s="201"/>
      <c r="G2" s="43"/>
      <c r="H2" s="38"/>
    </row>
    <row r="3" spans="1:16" x14ac:dyDescent="0.2">
      <c r="A3" s="957" t="s">
        <v>151</v>
      </c>
      <c r="B3" s="958"/>
      <c r="C3" s="958"/>
      <c r="D3" s="44"/>
      <c r="E3" s="959" t="s">
        <v>152</v>
      </c>
      <c r="F3" s="960"/>
      <c r="G3" s="963" t="s">
        <v>153</v>
      </c>
      <c r="H3" s="965" t="s">
        <v>154</v>
      </c>
    </row>
    <row r="4" spans="1:16" ht="13.5" thickBot="1" x14ac:dyDescent="0.25">
      <c r="A4" s="45" t="s">
        <v>155</v>
      </c>
      <c r="B4" s="46" t="s">
        <v>285</v>
      </c>
      <c r="C4" s="46" t="s">
        <v>286</v>
      </c>
      <c r="D4" s="46" t="s">
        <v>287</v>
      </c>
      <c r="E4" s="961"/>
      <c r="F4" s="962"/>
      <c r="G4" s="964"/>
      <c r="H4" s="966"/>
    </row>
    <row r="5" spans="1:16" x14ac:dyDescent="0.2">
      <c r="A5" s="47"/>
      <c r="B5" s="48"/>
      <c r="C5" s="48"/>
      <c r="D5" s="49"/>
      <c r="E5" s="50"/>
      <c r="F5" s="202"/>
      <c r="G5" s="51"/>
      <c r="H5" s="52"/>
    </row>
    <row r="6" spans="1:16" ht="15.75" x14ac:dyDescent="0.2">
      <c r="A6" s="53"/>
      <c r="B6" s="54" t="s">
        <v>288</v>
      </c>
      <c r="C6" s="55"/>
      <c r="D6" s="56"/>
      <c r="E6" s="21" t="s">
        <v>289</v>
      </c>
      <c r="F6" s="203"/>
      <c r="G6" s="57"/>
      <c r="H6" s="58"/>
    </row>
    <row r="7" spans="1:16" x14ac:dyDescent="0.2">
      <c r="A7" s="53"/>
      <c r="B7" s="59"/>
      <c r="C7" s="59"/>
      <c r="D7" s="60"/>
      <c r="E7" s="61"/>
      <c r="F7" s="203"/>
      <c r="G7" s="57"/>
      <c r="H7" s="58"/>
    </row>
    <row r="8" spans="1:16" ht="25.5" x14ac:dyDescent="0.2">
      <c r="A8" s="162">
        <f>MAX(A$2:A6)+1</f>
        <v>1</v>
      </c>
      <c r="B8" s="163"/>
      <c r="C8" s="164" t="s">
        <v>290</v>
      </c>
      <c r="D8" s="165"/>
      <c r="E8" s="166" t="s">
        <v>291</v>
      </c>
      <c r="F8" s="204"/>
      <c r="G8" s="167" t="s">
        <v>51</v>
      </c>
      <c r="H8" s="63">
        <f>F12</f>
        <v>11.25</v>
      </c>
      <c r="I8" s="39">
        <v>2.4</v>
      </c>
      <c r="J8" s="159">
        <f>H8*I8</f>
        <v>27</v>
      </c>
    </row>
    <row r="9" spans="1:16" s="8" customFormat="1" ht="13.5" customHeight="1" x14ac:dyDescent="0.2">
      <c r="A9" s="64"/>
      <c r="B9" s="65"/>
      <c r="C9" s="66"/>
      <c r="D9" s="25"/>
      <c r="E9" s="74" t="s">
        <v>469</v>
      </c>
      <c r="F9" s="67"/>
      <c r="G9" s="26"/>
      <c r="H9" s="68"/>
      <c r="J9" s="160"/>
      <c r="M9" s="8">
        <v>21</v>
      </c>
      <c r="N9" s="8">
        <v>0.25</v>
      </c>
      <c r="O9" s="40">
        <v>1.25</v>
      </c>
      <c r="P9" s="8">
        <f>M9*N9*O9</f>
        <v>6.5625</v>
      </c>
    </row>
    <row r="10" spans="1:16" s="8" customFormat="1" ht="13.5" customHeight="1" x14ac:dyDescent="0.2">
      <c r="A10" s="64"/>
      <c r="B10" s="65"/>
      <c r="C10" s="66"/>
      <c r="D10" s="25"/>
      <c r="E10" s="69" t="s">
        <v>471</v>
      </c>
      <c r="F10" s="70">
        <f>1.25*0.25*(11.9+8.92)</f>
        <v>6.5062499999999996</v>
      </c>
      <c r="G10" s="26"/>
      <c r="H10" s="68"/>
      <c r="I10" s="168" t="s">
        <v>470</v>
      </c>
      <c r="J10" s="160"/>
      <c r="M10" s="8">
        <v>25.5</v>
      </c>
      <c r="N10" s="8">
        <v>0.25</v>
      </c>
      <c r="O10" s="40">
        <v>0.75</v>
      </c>
      <c r="P10" s="8">
        <f>M10*N10*O10</f>
        <v>4.78125</v>
      </c>
    </row>
    <row r="11" spans="1:16" s="8" customFormat="1" ht="13.5" customHeight="1" x14ac:dyDescent="0.2">
      <c r="A11" s="64"/>
      <c r="B11" s="65"/>
      <c r="C11" s="66"/>
      <c r="D11" s="25"/>
      <c r="E11" s="69" t="s">
        <v>472</v>
      </c>
      <c r="F11" s="71">
        <f>0.75*0.25*(15.36+9.94)</f>
        <v>4.7437499999999995</v>
      </c>
      <c r="G11" s="26"/>
      <c r="H11" s="68"/>
      <c r="I11" s="168" t="s">
        <v>470</v>
      </c>
      <c r="J11" s="160"/>
    </row>
    <row r="12" spans="1:16" s="8" customFormat="1" ht="13.5" customHeight="1" x14ac:dyDescent="0.2">
      <c r="A12" s="64"/>
      <c r="B12" s="65"/>
      <c r="C12" s="66"/>
      <c r="D12" s="25"/>
      <c r="E12" s="72"/>
      <c r="F12" s="73">
        <f>SUM(F10:F11)</f>
        <v>11.25</v>
      </c>
      <c r="G12" s="26"/>
      <c r="H12" s="68"/>
      <c r="J12" s="160"/>
    </row>
    <row r="13" spans="1:16" ht="13.5" customHeight="1" x14ac:dyDescent="0.2">
      <c r="A13" s="53"/>
      <c r="B13" s="59"/>
      <c r="C13" s="59"/>
      <c r="D13" s="60"/>
      <c r="E13" s="61"/>
      <c r="F13" s="203"/>
      <c r="G13" s="57"/>
      <c r="H13" s="58"/>
    </row>
    <row r="14" spans="1:16" ht="25.5" customHeight="1" x14ac:dyDescent="0.2">
      <c r="A14" s="162">
        <f>MAX(A$2:A9)+1</f>
        <v>2</v>
      </c>
      <c r="B14" s="163"/>
      <c r="C14" s="164" t="s">
        <v>292</v>
      </c>
      <c r="D14" s="165"/>
      <c r="E14" s="166" t="s">
        <v>293</v>
      </c>
      <c r="F14" s="204"/>
      <c r="G14" s="167" t="s">
        <v>12</v>
      </c>
      <c r="H14" s="63">
        <f>F15</f>
        <v>70</v>
      </c>
      <c r="I14" s="39">
        <v>0.02</v>
      </c>
      <c r="J14" s="159">
        <f t="shared" ref="J14" si="0">H14*I14</f>
        <v>1.4000000000000001</v>
      </c>
    </row>
    <row r="15" spans="1:16" ht="13.5" customHeight="1" x14ac:dyDescent="0.2">
      <c r="A15" s="53"/>
      <c r="B15" s="59"/>
      <c r="C15" s="59"/>
      <c r="D15" s="60"/>
      <c r="E15" s="74" t="s">
        <v>475</v>
      </c>
      <c r="F15" s="205">
        <f>10*7</f>
        <v>70</v>
      </c>
      <c r="G15" s="57"/>
      <c r="H15" s="58"/>
    </row>
    <row r="16" spans="1:16" x14ac:dyDescent="0.2">
      <c r="A16" s="53"/>
      <c r="B16" s="59"/>
      <c r="C16" s="59"/>
      <c r="D16" s="60"/>
      <c r="E16" s="61"/>
      <c r="F16" s="203"/>
      <c r="G16" s="57"/>
      <c r="H16" s="58"/>
    </row>
    <row r="17" spans="1:10" ht="25.5" x14ac:dyDescent="0.2">
      <c r="A17" s="162">
        <f>MAX(A$2:A15)+1</f>
        <v>3</v>
      </c>
      <c r="B17" s="163"/>
      <c r="C17" s="164" t="s">
        <v>294</v>
      </c>
      <c r="D17" s="165"/>
      <c r="E17" s="166" t="s">
        <v>295</v>
      </c>
      <c r="F17" s="204"/>
      <c r="G17" s="167" t="s">
        <v>12</v>
      </c>
      <c r="H17" s="63">
        <f>F19</f>
        <v>80</v>
      </c>
      <c r="I17" s="39">
        <v>0.22</v>
      </c>
      <c r="J17" s="159">
        <f>H17*I17</f>
        <v>17.600000000000001</v>
      </c>
    </row>
    <row r="18" spans="1:10" ht="25.5" x14ac:dyDescent="0.2">
      <c r="A18" s="169"/>
      <c r="B18" s="163"/>
      <c r="C18" s="163"/>
      <c r="D18" s="195" t="s">
        <v>296</v>
      </c>
      <c r="E18" s="196" t="s">
        <v>297</v>
      </c>
      <c r="F18" s="206"/>
      <c r="G18" s="194" t="s">
        <v>12</v>
      </c>
      <c r="H18" s="58"/>
    </row>
    <row r="19" spans="1:10" ht="30" customHeight="1" x14ac:dyDescent="0.2">
      <c r="A19" s="53"/>
      <c r="B19" s="59"/>
      <c r="C19" s="59"/>
      <c r="D19" s="60"/>
      <c r="E19" s="74" t="s">
        <v>572</v>
      </c>
      <c r="F19" s="205">
        <f>8*(5+5)</f>
        <v>80</v>
      </c>
      <c r="G19" s="57"/>
      <c r="H19" s="58"/>
      <c r="I19" s="120" t="s">
        <v>477</v>
      </c>
    </row>
    <row r="20" spans="1:10" x14ac:dyDescent="0.2">
      <c r="A20" s="53"/>
      <c r="B20" s="59"/>
      <c r="C20" s="59"/>
      <c r="D20" s="60"/>
      <c r="E20" s="61"/>
      <c r="F20" s="203"/>
      <c r="G20" s="57"/>
      <c r="H20" s="58"/>
    </row>
    <row r="21" spans="1:10" ht="25.5" customHeight="1" x14ac:dyDescent="0.2">
      <c r="A21" s="162">
        <f>MAX(A$2:A20)+1</f>
        <v>4</v>
      </c>
      <c r="B21" s="163"/>
      <c r="C21" s="164" t="s">
        <v>299</v>
      </c>
      <c r="D21" s="165"/>
      <c r="E21" s="166" t="s">
        <v>300</v>
      </c>
      <c r="F21" s="204"/>
      <c r="G21" s="167" t="s">
        <v>12</v>
      </c>
      <c r="H21" s="63">
        <f>H22+H24</f>
        <v>178.4</v>
      </c>
    </row>
    <row r="22" spans="1:10" ht="38.25" customHeight="1" x14ac:dyDescent="0.2">
      <c r="A22" s="162"/>
      <c r="B22" s="163"/>
      <c r="C22" s="164"/>
      <c r="D22" s="171" t="s">
        <v>460</v>
      </c>
      <c r="E22" s="172" t="s">
        <v>461</v>
      </c>
      <c r="F22" s="207"/>
      <c r="G22" s="173" t="s">
        <v>12</v>
      </c>
      <c r="H22" s="174">
        <f>F23</f>
        <v>130.4</v>
      </c>
      <c r="I22" s="39">
        <v>0.13</v>
      </c>
      <c r="J22" s="159">
        <f>H22*I22</f>
        <v>16.952000000000002</v>
      </c>
    </row>
    <row r="23" spans="1:10" ht="30.75" customHeight="1" x14ac:dyDescent="0.2">
      <c r="A23" s="162"/>
      <c r="B23" s="163"/>
      <c r="C23" s="164"/>
      <c r="D23" s="165"/>
      <c r="E23" s="177" t="s">
        <v>573</v>
      </c>
      <c r="F23" s="205">
        <f>8*(6.3+5+5)</f>
        <v>130.4</v>
      </c>
      <c r="G23" s="167"/>
      <c r="H23" s="63"/>
    </row>
    <row r="24" spans="1:10" ht="38.25" x14ac:dyDescent="0.2">
      <c r="A24" s="169"/>
      <c r="B24" s="163"/>
      <c r="C24" s="163"/>
      <c r="D24" s="171" t="s">
        <v>301</v>
      </c>
      <c r="E24" s="172" t="s">
        <v>302</v>
      </c>
      <c r="F24" s="205"/>
      <c r="G24" s="194" t="s">
        <v>12</v>
      </c>
      <c r="H24" s="174">
        <f>F25</f>
        <v>48</v>
      </c>
      <c r="I24" s="39">
        <v>0.4</v>
      </c>
      <c r="J24" s="159">
        <f>H24*I24</f>
        <v>19.200000000000003</v>
      </c>
    </row>
    <row r="25" spans="1:10" ht="25.5" x14ac:dyDescent="0.2">
      <c r="A25" s="169"/>
      <c r="B25" s="163"/>
      <c r="C25" s="163"/>
      <c r="D25" s="175"/>
      <c r="E25" s="177" t="s">
        <v>478</v>
      </c>
      <c r="F25" s="205">
        <f>8*3*2</f>
        <v>48</v>
      </c>
      <c r="G25" s="176"/>
      <c r="H25" s="174"/>
    </row>
    <row r="26" spans="1:10" x14ac:dyDescent="0.2">
      <c r="A26" s="53"/>
      <c r="B26" s="59"/>
      <c r="C26" s="59"/>
      <c r="D26" s="60"/>
      <c r="E26" s="61"/>
      <c r="F26" s="203"/>
      <c r="G26" s="57"/>
      <c r="H26" s="58"/>
    </row>
    <row r="27" spans="1:10" ht="25.5" customHeight="1" x14ac:dyDescent="0.2">
      <c r="A27" s="162">
        <f>MAX(A$2:A25)+1</f>
        <v>5</v>
      </c>
      <c r="B27" s="163"/>
      <c r="C27" s="164" t="s">
        <v>303</v>
      </c>
      <c r="D27" s="165"/>
      <c r="E27" s="166" t="s">
        <v>304</v>
      </c>
      <c r="F27" s="204"/>
      <c r="G27" s="167" t="s">
        <v>25</v>
      </c>
      <c r="H27" s="63">
        <f>F29</f>
        <v>46.12</v>
      </c>
      <c r="I27" s="311">
        <v>0.23</v>
      </c>
      <c r="J27" s="312">
        <f>H27*I27</f>
        <v>10.6076</v>
      </c>
    </row>
    <row r="28" spans="1:10" ht="25.5" x14ac:dyDescent="0.2">
      <c r="A28" s="169"/>
      <c r="B28" s="163"/>
      <c r="C28" s="170"/>
      <c r="D28" s="171" t="s">
        <v>305</v>
      </c>
      <c r="E28" s="172" t="s">
        <v>306</v>
      </c>
      <c r="F28" s="208"/>
      <c r="G28" s="173" t="s">
        <v>25</v>
      </c>
      <c r="H28" s="174"/>
    </row>
    <row r="29" spans="1:10" ht="24.75" customHeight="1" x14ac:dyDescent="0.2">
      <c r="A29" s="169"/>
      <c r="B29" s="163"/>
      <c r="C29" s="163"/>
      <c r="D29" s="175"/>
      <c r="E29" s="74" t="s">
        <v>474</v>
      </c>
      <c r="F29" s="205">
        <f>(11.9+8.92)+(15.36+9.94)</f>
        <v>46.12</v>
      </c>
      <c r="G29" s="176"/>
      <c r="H29" s="174"/>
    </row>
    <row r="30" spans="1:10" x14ac:dyDescent="0.2">
      <c r="A30" s="53"/>
      <c r="B30" s="59"/>
      <c r="C30" s="59"/>
      <c r="D30" s="60"/>
      <c r="E30" s="61"/>
      <c r="F30" s="203"/>
      <c r="G30" s="57"/>
      <c r="H30" s="58"/>
    </row>
    <row r="31" spans="1:10" ht="25.5" customHeight="1" x14ac:dyDescent="0.2">
      <c r="A31" s="162">
        <f>MAX(A$2:A29)+1</f>
        <v>6</v>
      </c>
      <c r="B31" s="163"/>
      <c r="C31" s="164" t="s">
        <v>307</v>
      </c>
      <c r="D31" s="165"/>
      <c r="E31" s="166" t="s">
        <v>308</v>
      </c>
      <c r="F31" s="204"/>
      <c r="G31" s="167" t="s">
        <v>25</v>
      </c>
      <c r="H31" s="63">
        <f>F32</f>
        <v>46.12</v>
      </c>
      <c r="I31" s="311">
        <v>0.03</v>
      </c>
      <c r="J31" s="312">
        <f>H31*I31</f>
        <v>1.3835999999999999</v>
      </c>
    </row>
    <row r="32" spans="1:10" ht="25.5" x14ac:dyDescent="0.2">
      <c r="A32" s="169"/>
      <c r="B32" s="163"/>
      <c r="C32" s="163"/>
      <c r="D32" s="175"/>
      <c r="E32" s="74" t="s">
        <v>473</v>
      </c>
      <c r="F32" s="205">
        <f>(11.9+8.92)+(15.36+9.94)</f>
        <v>46.12</v>
      </c>
      <c r="G32" s="176"/>
      <c r="H32" s="174"/>
    </row>
    <row r="33" spans="1:12" x14ac:dyDescent="0.2">
      <c r="A33" s="53"/>
      <c r="B33" s="59"/>
      <c r="C33" s="59"/>
      <c r="D33" s="60"/>
      <c r="E33" s="61"/>
      <c r="F33" s="203"/>
      <c r="G33" s="57"/>
      <c r="H33" s="58"/>
    </row>
    <row r="34" spans="1:12" ht="25.5" x14ac:dyDescent="0.2">
      <c r="A34" s="162">
        <f>MAX(A$2:A33)+1</f>
        <v>7</v>
      </c>
      <c r="B34" s="163"/>
      <c r="C34" s="164" t="s">
        <v>313</v>
      </c>
      <c r="D34" s="165"/>
      <c r="E34" s="166" t="s">
        <v>314</v>
      </c>
      <c r="F34" s="204"/>
      <c r="G34" s="167" t="s">
        <v>15</v>
      </c>
      <c r="H34" s="63">
        <v>10.6</v>
      </c>
      <c r="I34" s="311"/>
      <c r="J34" s="312"/>
    </row>
    <row r="35" spans="1:12" ht="25.5" x14ac:dyDescent="0.2">
      <c r="A35" s="169"/>
      <c r="B35" s="163"/>
      <c r="C35" s="170"/>
      <c r="D35" s="171" t="s">
        <v>315</v>
      </c>
      <c r="E35" s="172" t="s">
        <v>316</v>
      </c>
      <c r="F35" s="208"/>
      <c r="G35" s="173" t="s">
        <v>15</v>
      </c>
      <c r="H35" s="174"/>
    </row>
    <row r="36" spans="1:12" ht="38.25" x14ac:dyDescent="0.2">
      <c r="A36" s="169"/>
      <c r="B36" s="163"/>
      <c r="C36" s="163"/>
      <c r="D36" s="175"/>
      <c r="E36" s="178" t="s">
        <v>317</v>
      </c>
      <c r="F36" s="205"/>
      <c r="G36" s="176"/>
      <c r="H36" s="174"/>
    </row>
    <row r="37" spans="1:12" x14ac:dyDescent="0.2">
      <c r="A37" s="53"/>
      <c r="B37" s="59"/>
      <c r="C37" s="59"/>
      <c r="D37" s="60"/>
      <c r="E37" s="178" t="s">
        <v>479</v>
      </c>
      <c r="F37" s="205">
        <f>9.5*6.5</f>
        <v>61.75</v>
      </c>
      <c r="G37" s="57"/>
      <c r="H37" s="58"/>
    </row>
    <row r="38" spans="1:12" x14ac:dyDescent="0.2">
      <c r="A38" s="53"/>
      <c r="B38" s="59"/>
      <c r="C38" s="59"/>
      <c r="D38" s="60"/>
      <c r="E38" s="178" t="s">
        <v>598</v>
      </c>
      <c r="F38" s="205">
        <f>9.5*5</f>
        <v>47.5</v>
      </c>
      <c r="G38" s="57"/>
      <c r="H38" s="58"/>
    </row>
    <row r="39" spans="1:12" x14ac:dyDescent="0.2">
      <c r="A39" s="53"/>
      <c r="B39" s="59"/>
      <c r="C39" s="59"/>
      <c r="D39" s="60"/>
      <c r="E39" s="178" t="s">
        <v>574</v>
      </c>
      <c r="F39" s="205">
        <f>4*2.5</f>
        <v>10</v>
      </c>
      <c r="G39" s="57"/>
      <c r="H39" s="58"/>
    </row>
    <row r="40" spans="1:12" x14ac:dyDescent="0.2">
      <c r="A40" s="53"/>
      <c r="B40" s="59"/>
      <c r="C40" s="59"/>
      <c r="D40" s="60"/>
      <c r="E40" s="177" t="s">
        <v>603</v>
      </c>
      <c r="F40" s="332"/>
      <c r="G40" s="57"/>
      <c r="H40" s="58"/>
    </row>
    <row r="41" spans="1:12" x14ac:dyDescent="0.2">
      <c r="A41" s="53"/>
      <c r="B41" s="59"/>
      <c r="C41" s="59"/>
      <c r="D41" s="60"/>
      <c r="E41" s="177" t="s">
        <v>599</v>
      </c>
      <c r="F41" s="205">
        <f>6+5</f>
        <v>11</v>
      </c>
      <c r="G41" s="57"/>
      <c r="H41" s="58"/>
    </row>
    <row r="42" spans="1:12" x14ac:dyDescent="0.2">
      <c r="A42" s="53"/>
      <c r="B42" s="59"/>
      <c r="C42" s="59"/>
      <c r="D42" s="60"/>
      <c r="E42" s="177" t="s">
        <v>600</v>
      </c>
      <c r="F42" s="205">
        <f>0.6+4.4</f>
        <v>5</v>
      </c>
      <c r="G42" s="57"/>
      <c r="H42" s="58"/>
    </row>
    <row r="43" spans="1:12" x14ac:dyDescent="0.2">
      <c r="A43" s="53"/>
      <c r="B43" s="59"/>
      <c r="C43" s="59"/>
      <c r="D43" s="60"/>
      <c r="E43" s="177" t="s">
        <v>604</v>
      </c>
      <c r="F43" s="205"/>
      <c r="G43" s="57"/>
      <c r="H43" s="58"/>
    </row>
    <row r="44" spans="1:12" x14ac:dyDescent="0.2">
      <c r="A44" s="53"/>
      <c r="B44" s="59"/>
      <c r="C44" s="59"/>
      <c r="D44" s="60"/>
      <c r="E44" s="177" t="s">
        <v>601</v>
      </c>
      <c r="F44" s="205">
        <v>11.9</v>
      </c>
      <c r="G44" s="57"/>
      <c r="H44" s="58"/>
    </row>
    <row r="45" spans="1:12" x14ac:dyDescent="0.2">
      <c r="A45" s="53"/>
      <c r="B45" s="59"/>
      <c r="C45" s="59"/>
      <c r="D45" s="60"/>
      <c r="E45" s="177" t="s">
        <v>602</v>
      </c>
      <c r="F45" s="205">
        <v>9</v>
      </c>
      <c r="G45" s="57"/>
      <c r="H45" s="58"/>
    </row>
    <row r="46" spans="1:12" x14ac:dyDescent="0.2">
      <c r="A46" s="53"/>
      <c r="B46" s="59"/>
      <c r="C46" s="59"/>
      <c r="D46" s="60"/>
      <c r="E46" s="177" t="s">
        <v>575</v>
      </c>
      <c r="F46" s="205">
        <f>2.7*10</f>
        <v>27</v>
      </c>
      <c r="G46" s="57"/>
      <c r="H46" s="58"/>
    </row>
    <row r="47" spans="1:12" x14ac:dyDescent="0.2">
      <c r="A47" s="53"/>
      <c r="B47" s="59"/>
      <c r="C47" s="59"/>
      <c r="D47" s="60"/>
      <c r="E47" s="177" t="s">
        <v>576</v>
      </c>
      <c r="F47" s="205">
        <f>2.7*10</f>
        <v>27</v>
      </c>
      <c r="G47" s="57"/>
      <c r="H47" s="58"/>
      <c r="J47" s="159">
        <f>F48</f>
        <v>210.15</v>
      </c>
      <c r="K47" s="40">
        <v>20</v>
      </c>
      <c r="L47" s="40">
        <f>J47/K47</f>
        <v>10.5075</v>
      </c>
    </row>
    <row r="48" spans="1:12" x14ac:dyDescent="0.2">
      <c r="A48" s="53"/>
      <c r="B48" s="59"/>
      <c r="C48" s="59"/>
      <c r="D48" s="60"/>
      <c r="E48" s="197" t="s">
        <v>298</v>
      </c>
      <c r="F48" s="205">
        <f>SUM(F37:F47)</f>
        <v>210.15</v>
      </c>
      <c r="G48" s="57"/>
      <c r="H48" s="58"/>
    </row>
    <row r="49" spans="1:10" ht="27" customHeight="1" x14ac:dyDescent="0.2">
      <c r="A49" s="53"/>
      <c r="B49" s="59"/>
      <c r="C49" s="59"/>
      <c r="D49" s="60"/>
      <c r="E49" s="178" t="s">
        <v>605</v>
      </c>
      <c r="F49" s="203"/>
      <c r="G49" s="57"/>
      <c r="H49" s="58"/>
    </row>
    <row r="50" spans="1:10" x14ac:dyDescent="0.2">
      <c r="A50" s="53"/>
      <c r="B50" s="59"/>
      <c r="C50" s="59"/>
      <c r="D50" s="60"/>
      <c r="E50" s="76"/>
      <c r="F50" s="203"/>
      <c r="G50" s="57"/>
      <c r="H50" s="58"/>
    </row>
    <row r="51" spans="1:10" ht="25.5" x14ac:dyDescent="0.2">
      <c r="A51" s="162">
        <f>MAX(A$2:A49)+1</f>
        <v>8</v>
      </c>
      <c r="B51" s="163"/>
      <c r="C51" s="164" t="s">
        <v>318</v>
      </c>
      <c r="D51" s="165"/>
      <c r="E51" s="166" t="s">
        <v>319</v>
      </c>
      <c r="F51" s="204"/>
      <c r="G51" s="167" t="s">
        <v>12</v>
      </c>
      <c r="H51" s="63">
        <f>H52</f>
        <v>50</v>
      </c>
    </row>
    <row r="52" spans="1:10" ht="25.5" x14ac:dyDescent="0.2">
      <c r="A52" s="53"/>
      <c r="B52" s="59"/>
      <c r="C52" s="163"/>
      <c r="D52" s="171" t="s">
        <v>320</v>
      </c>
      <c r="E52" s="172" t="s">
        <v>321</v>
      </c>
      <c r="F52" s="208"/>
      <c r="G52" s="173" t="s">
        <v>12</v>
      </c>
      <c r="H52" s="174">
        <f>F53</f>
        <v>50</v>
      </c>
      <c r="I52" s="39">
        <v>0.10199999999999999</v>
      </c>
      <c r="J52" s="159">
        <f>H52*I52</f>
        <v>5.0999999999999996</v>
      </c>
    </row>
    <row r="53" spans="1:10" x14ac:dyDescent="0.2">
      <c r="A53" s="53"/>
      <c r="B53" s="59"/>
      <c r="C53" s="163"/>
      <c r="D53" s="175"/>
      <c r="E53" s="74" t="s">
        <v>468</v>
      </c>
      <c r="F53" s="205">
        <v>50</v>
      </c>
      <c r="G53" s="176"/>
      <c r="H53" s="174"/>
      <c r="I53" s="120" t="s">
        <v>476</v>
      </c>
    </row>
    <row r="54" spans="1:10" x14ac:dyDescent="0.2">
      <c r="A54" s="53"/>
      <c r="B54" s="59"/>
      <c r="C54" s="163"/>
      <c r="D54" s="175"/>
      <c r="E54" s="74"/>
      <c r="F54" s="205"/>
      <c r="G54" s="176"/>
      <c r="H54" s="174"/>
      <c r="I54" s="120"/>
    </row>
    <row r="55" spans="1:10" x14ac:dyDescent="0.2">
      <c r="A55" s="162">
        <f>MAX(A$2:A53)+1</f>
        <v>9</v>
      </c>
      <c r="B55" s="163"/>
      <c r="C55" s="315" t="s">
        <v>546</v>
      </c>
      <c r="D55" s="316"/>
      <c r="E55" s="166" t="s">
        <v>547</v>
      </c>
      <c r="F55" s="166"/>
      <c r="G55" s="167" t="s">
        <v>548</v>
      </c>
      <c r="H55" s="63">
        <f>F58</f>
        <v>10510.000000000002</v>
      </c>
      <c r="I55" s="120"/>
    </row>
    <row r="56" spans="1:10" x14ac:dyDescent="0.2">
      <c r="A56" s="53"/>
      <c r="B56" s="59"/>
      <c r="C56" s="163"/>
      <c r="D56" s="175"/>
      <c r="E56" s="74" t="s">
        <v>611</v>
      </c>
      <c r="F56" s="205">
        <f>71.4*100</f>
        <v>7140.0000000000009</v>
      </c>
      <c r="G56" s="176"/>
      <c r="H56" s="174"/>
      <c r="I56" s="120"/>
    </row>
    <row r="57" spans="1:10" x14ac:dyDescent="0.2">
      <c r="A57" s="53"/>
      <c r="B57" s="59"/>
      <c r="C57" s="163"/>
      <c r="D57" s="175"/>
      <c r="E57" s="74" t="s">
        <v>580</v>
      </c>
      <c r="F57" s="205">
        <f>33.7*100</f>
        <v>3370.0000000000005</v>
      </c>
      <c r="G57" s="176"/>
      <c r="H57" s="174"/>
      <c r="I57" s="120"/>
    </row>
    <row r="58" spans="1:10" x14ac:dyDescent="0.2">
      <c r="A58" s="53"/>
      <c r="B58" s="59"/>
      <c r="C58" s="163"/>
      <c r="D58" s="175"/>
      <c r="E58" s="74"/>
      <c r="F58" s="205">
        <f>SUM(F56:F57)</f>
        <v>10510.000000000002</v>
      </c>
      <c r="G58" s="176"/>
      <c r="H58" s="174"/>
      <c r="I58" s="120"/>
    </row>
    <row r="59" spans="1:10" x14ac:dyDescent="0.2">
      <c r="A59" s="53"/>
      <c r="B59" s="59"/>
      <c r="C59" s="163"/>
      <c r="D59" s="175"/>
      <c r="E59" s="74"/>
      <c r="F59" s="205"/>
      <c r="G59" s="176"/>
      <c r="H59" s="174"/>
      <c r="I59" s="120"/>
    </row>
    <row r="60" spans="1:10" x14ac:dyDescent="0.2">
      <c r="A60" s="162">
        <f>MAX(A$2:A56)+1</f>
        <v>10</v>
      </c>
      <c r="B60" s="163"/>
      <c r="C60" s="164" t="s">
        <v>309</v>
      </c>
      <c r="D60" s="165"/>
      <c r="E60" s="166" t="s">
        <v>310</v>
      </c>
      <c r="F60" s="204"/>
      <c r="G60" s="167" t="s">
        <v>5</v>
      </c>
      <c r="H60" s="63">
        <f>F62</f>
        <v>309.39320000000004</v>
      </c>
    </row>
    <row r="61" spans="1:10" x14ac:dyDescent="0.2">
      <c r="A61" s="169"/>
      <c r="B61" s="163"/>
      <c r="C61" s="170"/>
      <c r="D61" s="171" t="s">
        <v>311</v>
      </c>
      <c r="E61" s="172" t="s">
        <v>312</v>
      </c>
      <c r="F61" s="208"/>
      <c r="G61" s="173" t="s">
        <v>5</v>
      </c>
      <c r="H61" s="174"/>
    </row>
    <row r="62" spans="1:10" ht="25.5" x14ac:dyDescent="0.2">
      <c r="A62" s="169"/>
      <c r="B62" s="163"/>
      <c r="C62" s="163"/>
      <c r="D62" s="175"/>
      <c r="E62" s="178" t="s">
        <v>467</v>
      </c>
      <c r="F62" s="205">
        <f>J62</f>
        <v>309.39320000000004</v>
      </c>
      <c r="G62" s="176"/>
      <c r="H62" s="174"/>
      <c r="J62" s="159">
        <f>SUM(J6:J61)</f>
        <v>309.39320000000004</v>
      </c>
    </row>
    <row r="63" spans="1:10" x14ac:dyDescent="0.2">
      <c r="A63" s="53"/>
      <c r="B63" s="59"/>
      <c r="C63" s="59"/>
      <c r="D63" s="60"/>
      <c r="E63" s="72"/>
      <c r="F63" s="203"/>
      <c r="G63" s="57"/>
      <c r="H63" s="58"/>
    </row>
    <row r="64" spans="1:10" x14ac:dyDescent="0.2">
      <c r="A64" s="53"/>
      <c r="B64" s="13" t="s">
        <v>322</v>
      </c>
      <c r="C64" s="14"/>
      <c r="D64" s="15"/>
      <c r="E64" s="16" t="s">
        <v>323</v>
      </c>
      <c r="F64" s="203"/>
      <c r="G64" s="57"/>
      <c r="H64" s="58"/>
    </row>
    <row r="65" spans="1:8" x14ac:dyDescent="0.2">
      <c r="A65" s="53"/>
      <c r="B65" s="59"/>
      <c r="C65" s="59"/>
      <c r="D65" s="60"/>
      <c r="E65" s="76"/>
      <c r="F65" s="203"/>
      <c r="G65" s="57"/>
      <c r="H65" s="58"/>
    </row>
    <row r="66" spans="1:8" x14ac:dyDescent="0.2">
      <c r="A66" s="162">
        <f>MAX(A$2:A64)+1</f>
        <v>11</v>
      </c>
      <c r="B66" s="163"/>
      <c r="C66" s="183" t="s">
        <v>324</v>
      </c>
      <c r="D66" s="184"/>
      <c r="E66" s="185" t="s">
        <v>325</v>
      </c>
      <c r="F66" s="211"/>
      <c r="G66" s="186" t="s">
        <v>12</v>
      </c>
      <c r="H66" s="179">
        <f>F68</f>
        <v>100</v>
      </c>
    </row>
    <row r="67" spans="1:8" x14ac:dyDescent="0.2">
      <c r="A67" s="169"/>
      <c r="B67" s="163"/>
      <c r="C67" s="187"/>
      <c r="D67" s="188" t="s">
        <v>326</v>
      </c>
      <c r="E67" s="189" t="s">
        <v>327</v>
      </c>
      <c r="F67" s="212"/>
      <c r="G67" s="190" t="s">
        <v>12</v>
      </c>
      <c r="H67" s="180"/>
    </row>
    <row r="68" spans="1:8" x14ac:dyDescent="0.2">
      <c r="A68" s="169"/>
      <c r="B68" s="163"/>
      <c r="C68" s="187"/>
      <c r="D68" s="191"/>
      <c r="E68" s="192" t="s">
        <v>328</v>
      </c>
      <c r="F68" s="213">
        <v>100</v>
      </c>
      <c r="G68" s="193"/>
      <c r="H68" s="180"/>
    </row>
    <row r="69" spans="1:8" x14ac:dyDescent="0.2">
      <c r="A69" s="169"/>
      <c r="B69" s="163"/>
      <c r="C69" s="187"/>
      <c r="D69" s="191"/>
      <c r="E69" s="192"/>
      <c r="F69" s="213"/>
      <c r="G69" s="193"/>
      <c r="H69" s="180"/>
    </row>
    <row r="70" spans="1:8" x14ac:dyDescent="0.2">
      <c r="A70" s="162">
        <f>MAX(A$2:A68)+1</f>
        <v>12</v>
      </c>
      <c r="B70" s="163"/>
      <c r="C70" s="183" t="s">
        <v>329</v>
      </c>
      <c r="D70" s="184"/>
      <c r="E70" s="185" t="s">
        <v>330</v>
      </c>
      <c r="F70" s="211"/>
      <c r="G70" s="186" t="s">
        <v>12</v>
      </c>
      <c r="H70" s="179">
        <f>F72</f>
        <v>50</v>
      </c>
    </row>
    <row r="71" spans="1:8" x14ac:dyDescent="0.2">
      <c r="A71" s="169"/>
      <c r="B71" s="163"/>
      <c r="C71" s="187"/>
      <c r="D71" s="188" t="s">
        <v>331</v>
      </c>
      <c r="E71" s="189" t="s">
        <v>332</v>
      </c>
      <c r="F71" s="212"/>
      <c r="G71" s="190" t="s">
        <v>12</v>
      </c>
      <c r="H71" s="180"/>
    </row>
    <row r="72" spans="1:8" x14ac:dyDescent="0.2">
      <c r="A72" s="169"/>
      <c r="B72" s="163"/>
      <c r="C72" s="187"/>
      <c r="D72" s="191"/>
      <c r="E72" s="192" t="s">
        <v>328</v>
      </c>
      <c r="F72" s="213">
        <v>50</v>
      </c>
      <c r="G72" s="193"/>
      <c r="H72" s="180"/>
    </row>
    <row r="73" spans="1:8" x14ac:dyDescent="0.2">
      <c r="A73" s="53"/>
      <c r="B73" s="59"/>
      <c r="C73" s="59"/>
      <c r="D73" s="60"/>
      <c r="E73" s="76"/>
      <c r="F73" s="203"/>
      <c r="G73" s="57"/>
      <c r="H73" s="58"/>
    </row>
    <row r="74" spans="1:8" x14ac:dyDescent="0.2">
      <c r="A74" s="53"/>
      <c r="B74" s="13" t="s">
        <v>333</v>
      </c>
      <c r="C74" s="14"/>
      <c r="D74" s="15"/>
      <c r="E74" s="21" t="s">
        <v>177</v>
      </c>
      <c r="F74" s="203"/>
      <c r="G74" s="57"/>
      <c r="H74" s="58"/>
    </row>
    <row r="75" spans="1:8" x14ac:dyDescent="0.2">
      <c r="A75" s="53"/>
      <c r="B75" s="13"/>
      <c r="C75" s="14"/>
      <c r="D75" s="15"/>
      <c r="E75" s="21"/>
      <c r="F75" s="203"/>
      <c r="G75" s="57"/>
      <c r="H75" s="58"/>
    </row>
    <row r="76" spans="1:8" x14ac:dyDescent="0.2">
      <c r="A76" s="162">
        <f>MAX(A$2:A74)+1</f>
        <v>13</v>
      </c>
      <c r="B76" s="13"/>
      <c r="C76" s="164" t="s">
        <v>557</v>
      </c>
      <c r="D76" s="165"/>
      <c r="E76" s="166" t="s">
        <v>558</v>
      </c>
      <c r="F76" s="321"/>
      <c r="G76" s="254" t="s">
        <v>51</v>
      </c>
      <c r="H76" s="63">
        <f>F77</f>
        <v>15</v>
      </c>
    </row>
    <row r="77" spans="1:8" x14ac:dyDescent="0.2">
      <c r="A77" s="53"/>
      <c r="B77" s="13"/>
      <c r="C77" s="14"/>
      <c r="D77" s="15"/>
      <c r="E77" s="192" t="s">
        <v>559</v>
      </c>
      <c r="F77" s="205">
        <f>15*5*0.2</f>
        <v>15</v>
      </c>
      <c r="G77" s="176"/>
      <c r="H77" s="174"/>
    </row>
    <row r="78" spans="1:8" x14ac:dyDescent="0.2">
      <c r="A78" s="53"/>
      <c r="B78" s="13"/>
      <c r="C78" s="14"/>
      <c r="D78" s="15"/>
      <c r="E78" s="192" t="s">
        <v>560</v>
      </c>
      <c r="F78" s="203"/>
      <c r="G78" s="57"/>
      <c r="H78" s="58"/>
    </row>
    <row r="79" spans="1:8" x14ac:dyDescent="0.2">
      <c r="A79" s="53"/>
      <c r="B79" s="59"/>
      <c r="C79" s="59"/>
      <c r="D79" s="60"/>
      <c r="E79" s="76"/>
      <c r="F79" s="203"/>
      <c r="G79" s="57"/>
      <c r="H79" s="58"/>
    </row>
    <row r="80" spans="1:8" x14ac:dyDescent="0.2">
      <c r="A80" s="162">
        <f>MAX(A$2:A74)+1</f>
        <v>13</v>
      </c>
      <c r="B80" s="163"/>
      <c r="C80" s="164" t="s">
        <v>165</v>
      </c>
      <c r="D80" s="165"/>
      <c r="E80" s="166" t="s">
        <v>166</v>
      </c>
      <c r="F80" s="204"/>
      <c r="G80" s="167" t="s">
        <v>51</v>
      </c>
      <c r="H80" s="179">
        <f>F83</f>
        <v>22.72</v>
      </c>
    </row>
    <row r="81" spans="1:8" x14ac:dyDescent="0.2">
      <c r="A81" s="169"/>
      <c r="B81" s="163"/>
      <c r="C81" s="163"/>
      <c r="D81" s="171" t="s">
        <v>167</v>
      </c>
      <c r="E81" s="172" t="s">
        <v>168</v>
      </c>
      <c r="F81" s="208"/>
      <c r="G81" s="173" t="s">
        <v>51</v>
      </c>
      <c r="H81" s="180"/>
    </row>
    <row r="82" spans="1:8" x14ac:dyDescent="0.2">
      <c r="A82" s="169"/>
      <c r="B82" s="163"/>
      <c r="C82" s="163"/>
      <c r="D82" s="175"/>
      <c r="E82" s="74" t="s">
        <v>334</v>
      </c>
      <c r="F82" s="205"/>
      <c r="G82" s="176"/>
      <c r="H82" s="180"/>
    </row>
    <row r="83" spans="1:8" x14ac:dyDescent="0.2">
      <c r="A83" s="169"/>
      <c r="B83" s="163"/>
      <c r="C83" s="163"/>
      <c r="D83" s="175"/>
      <c r="E83" s="178" t="s">
        <v>577</v>
      </c>
      <c r="F83" s="205">
        <f>1.42*8*2</f>
        <v>22.72</v>
      </c>
      <c r="G83" s="176"/>
      <c r="H83" s="180"/>
    </row>
    <row r="84" spans="1:8" x14ac:dyDescent="0.2">
      <c r="A84" s="53"/>
      <c r="B84" s="59"/>
      <c r="C84" s="59"/>
      <c r="D84" s="60"/>
      <c r="E84" s="76"/>
      <c r="F84" s="203"/>
      <c r="G84" s="57"/>
      <c r="H84" s="181"/>
    </row>
    <row r="85" spans="1:8" x14ac:dyDescent="0.2">
      <c r="A85" s="62">
        <f>MAX(A$2:A83)+1</f>
        <v>14</v>
      </c>
      <c r="B85" s="59"/>
      <c r="C85" s="1" t="s">
        <v>462</v>
      </c>
      <c r="D85" s="2"/>
      <c r="E85" s="3" t="s">
        <v>463</v>
      </c>
      <c r="F85" s="214"/>
      <c r="G85" s="4" t="s">
        <v>51</v>
      </c>
      <c r="H85" s="58"/>
    </row>
    <row r="86" spans="1:8" x14ac:dyDescent="0.2">
      <c r="A86" s="53"/>
      <c r="B86" s="59"/>
      <c r="C86" s="59"/>
      <c r="D86" s="5" t="s">
        <v>464</v>
      </c>
      <c r="E86" s="6" t="s">
        <v>465</v>
      </c>
      <c r="F86" s="215"/>
      <c r="G86" s="7" t="s">
        <v>51</v>
      </c>
      <c r="H86" s="84"/>
    </row>
    <row r="87" spans="1:8" x14ac:dyDescent="0.2">
      <c r="A87" s="53"/>
      <c r="B87" s="59"/>
      <c r="C87" s="59"/>
      <c r="D87" s="60"/>
      <c r="E87" s="72" t="s">
        <v>466</v>
      </c>
      <c r="F87" s="203"/>
      <c r="G87" s="57"/>
      <c r="H87" s="84"/>
    </row>
    <row r="88" spans="1:8" x14ac:dyDescent="0.2">
      <c r="A88" s="53"/>
      <c r="B88" s="59"/>
      <c r="C88" s="59"/>
      <c r="D88" s="60"/>
      <c r="E88" s="76"/>
      <c r="F88" s="203"/>
      <c r="G88" s="57"/>
      <c r="H88" s="84"/>
    </row>
    <row r="89" spans="1:8" x14ac:dyDescent="0.2">
      <c r="A89" s="53"/>
      <c r="B89" s="59"/>
      <c r="C89" s="59"/>
      <c r="D89" s="60"/>
      <c r="E89" s="76"/>
      <c r="F89" s="203"/>
      <c r="G89" s="57"/>
      <c r="H89" s="84"/>
    </row>
    <row r="90" spans="1:8" x14ac:dyDescent="0.2">
      <c r="A90" s="62">
        <f>MAX(A$2:A88)+1</f>
        <v>15</v>
      </c>
      <c r="B90" s="59"/>
      <c r="C90" s="27" t="s">
        <v>169</v>
      </c>
      <c r="D90" s="28"/>
      <c r="E90" s="29" t="s">
        <v>170</v>
      </c>
      <c r="F90" s="216"/>
      <c r="G90" s="30" t="s">
        <v>51</v>
      </c>
      <c r="H90" s="78"/>
    </row>
    <row r="91" spans="1:8" x14ac:dyDescent="0.2">
      <c r="A91" s="53"/>
      <c r="B91" s="59"/>
      <c r="C91" s="79"/>
      <c r="D91" s="10" t="s">
        <v>171</v>
      </c>
      <c r="E91" s="11" t="s">
        <v>172</v>
      </c>
      <c r="F91" s="217"/>
      <c r="G91" s="12" t="s">
        <v>51</v>
      </c>
      <c r="H91" s="80"/>
    </row>
    <row r="92" spans="1:8" x14ac:dyDescent="0.2">
      <c r="A92" s="53"/>
      <c r="B92" s="59"/>
      <c r="C92" s="79"/>
      <c r="D92" s="81"/>
      <c r="E92" s="85" t="s">
        <v>335</v>
      </c>
      <c r="F92" s="218"/>
      <c r="G92" s="82"/>
      <c r="H92" s="80"/>
    </row>
    <row r="93" spans="1:8" x14ac:dyDescent="0.2">
      <c r="A93" s="86"/>
      <c r="B93" s="87"/>
      <c r="C93" s="88"/>
      <c r="D93" s="89"/>
      <c r="E93" s="90" t="s">
        <v>336</v>
      </c>
      <c r="F93" s="91"/>
      <c r="G93" s="81"/>
      <c r="H93" s="80"/>
    </row>
    <row r="94" spans="1:8" x14ac:dyDescent="0.2">
      <c r="A94" s="86"/>
      <c r="B94" s="87"/>
      <c r="C94" s="88"/>
      <c r="D94" s="89"/>
      <c r="E94" s="85" t="s">
        <v>367</v>
      </c>
      <c r="F94" s="91"/>
      <c r="G94" s="81"/>
      <c r="H94" s="80"/>
    </row>
    <row r="95" spans="1:8" x14ac:dyDescent="0.2">
      <c r="A95" s="86"/>
      <c r="B95" s="92"/>
      <c r="C95" s="93"/>
      <c r="D95" s="31"/>
      <c r="E95" s="90" t="s">
        <v>336</v>
      </c>
      <c r="F95" s="94"/>
      <c r="G95" s="32"/>
      <c r="H95" s="95"/>
    </row>
    <row r="96" spans="1:8" x14ac:dyDescent="0.2">
      <c r="A96" s="86"/>
      <c r="B96" s="92"/>
      <c r="C96" s="93"/>
      <c r="D96" s="31"/>
      <c r="E96" s="96" t="s">
        <v>298</v>
      </c>
      <c r="F96" s="97">
        <f>F93+F95</f>
        <v>0</v>
      </c>
      <c r="G96" s="32"/>
      <c r="H96" s="95"/>
    </row>
    <row r="97" spans="1:10" s="313" customFormat="1" x14ac:dyDescent="0.2">
      <c r="A97" s="285"/>
      <c r="B97" s="304"/>
      <c r="C97" s="305"/>
      <c r="D97" s="306"/>
      <c r="E97" s="307"/>
      <c r="F97" s="308"/>
      <c r="G97" s="309"/>
      <c r="H97" s="310"/>
      <c r="I97" s="311"/>
      <c r="J97" s="312"/>
    </row>
    <row r="98" spans="1:10" s="313" customFormat="1" x14ac:dyDescent="0.2">
      <c r="A98" s="162">
        <f>MAX(A$2:A96)+1</f>
        <v>16</v>
      </c>
      <c r="B98" s="314"/>
      <c r="C98" s="315" t="s">
        <v>542</v>
      </c>
      <c r="D98" s="316"/>
      <c r="E98" s="185" t="s">
        <v>578</v>
      </c>
      <c r="F98" s="166"/>
      <c r="G98" s="167" t="s">
        <v>543</v>
      </c>
      <c r="H98" s="179">
        <v>2</v>
      </c>
      <c r="I98" s="311"/>
      <c r="J98" s="312"/>
    </row>
    <row r="99" spans="1:10" s="313" customFormat="1" ht="25.5" x14ac:dyDescent="0.2">
      <c r="A99" s="276"/>
      <c r="B99" s="314"/>
      <c r="C99" s="277"/>
      <c r="D99" s="188"/>
      <c r="E99" s="318" t="s">
        <v>545</v>
      </c>
      <c r="F99" s="317"/>
      <c r="G99" s="190"/>
      <c r="H99" s="180"/>
      <c r="I99" s="311"/>
      <c r="J99" s="312"/>
    </row>
    <row r="100" spans="1:10" s="313" customFormat="1" x14ac:dyDescent="0.2">
      <c r="A100" s="276"/>
      <c r="B100" s="314"/>
      <c r="C100" s="277"/>
      <c r="D100" s="188"/>
      <c r="E100" s="318" t="s">
        <v>544</v>
      </c>
      <c r="F100" s="317">
        <v>2</v>
      </c>
      <c r="G100" s="190"/>
      <c r="H100" s="180"/>
      <c r="I100" s="311"/>
      <c r="J100" s="312"/>
    </row>
    <row r="101" spans="1:10" x14ac:dyDescent="0.2">
      <c r="A101" s="86"/>
      <c r="B101" s="87"/>
      <c r="C101" s="66"/>
      <c r="D101" s="25"/>
      <c r="E101" s="75"/>
      <c r="F101" s="219"/>
      <c r="G101" s="26"/>
      <c r="H101" s="58"/>
    </row>
    <row r="102" spans="1:10" x14ac:dyDescent="0.2">
      <c r="A102" s="86"/>
      <c r="B102" s="13" t="s">
        <v>178</v>
      </c>
      <c r="C102" s="14"/>
      <c r="D102" s="15"/>
      <c r="E102" s="16" t="s">
        <v>179</v>
      </c>
      <c r="F102" s="220"/>
      <c r="G102" s="22"/>
      <c r="H102" s="58"/>
    </row>
    <row r="103" spans="1:10" x14ac:dyDescent="0.2">
      <c r="A103" s="86"/>
      <c r="B103" s="87"/>
      <c r="C103" s="66"/>
      <c r="D103" s="25"/>
      <c r="E103" s="75"/>
      <c r="F103" s="219"/>
      <c r="G103" s="26"/>
      <c r="H103" s="58"/>
    </row>
    <row r="104" spans="1:10" x14ac:dyDescent="0.2">
      <c r="A104" s="162">
        <f>MAX(A$2:A102)+1</f>
        <v>17</v>
      </c>
      <c r="B104" s="198"/>
      <c r="C104" s="164" t="s">
        <v>157</v>
      </c>
      <c r="D104" s="165"/>
      <c r="E104" s="166" t="s">
        <v>158</v>
      </c>
      <c r="F104" s="204"/>
      <c r="G104" s="167" t="s">
        <v>51</v>
      </c>
      <c r="H104" s="179">
        <f>F106</f>
        <v>22.72</v>
      </c>
    </row>
    <row r="105" spans="1:10" x14ac:dyDescent="0.2">
      <c r="A105" s="199"/>
      <c r="B105" s="198"/>
      <c r="C105" s="200"/>
      <c r="D105" s="171" t="s">
        <v>159</v>
      </c>
      <c r="E105" s="172" t="s">
        <v>160</v>
      </c>
      <c r="F105" s="208"/>
      <c r="G105" s="173" t="s">
        <v>51</v>
      </c>
      <c r="H105" s="180"/>
    </row>
    <row r="106" spans="1:10" x14ac:dyDescent="0.2">
      <c r="A106" s="199"/>
      <c r="B106" s="198"/>
      <c r="C106" s="200"/>
      <c r="D106" s="195"/>
      <c r="E106" s="177" t="s">
        <v>480</v>
      </c>
      <c r="F106" s="221">
        <f>F83</f>
        <v>22.72</v>
      </c>
      <c r="G106" s="194"/>
      <c r="H106" s="180"/>
    </row>
    <row r="107" spans="1:10" x14ac:dyDescent="0.2">
      <c r="A107" s="86"/>
      <c r="B107" s="87"/>
      <c r="C107" s="98"/>
      <c r="D107" s="99"/>
      <c r="E107" s="75"/>
      <c r="F107" s="222"/>
      <c r="G107" s="60"/>
      <c r="H107" s="181"/>
    </row>
    <row r="108" spans="1:10" ht="32.25" customHeight="1" x14ac:dyDescent="0.2">
      <c r="A108" s="62">
        <f>MAX(A$2:A107)+1</f>
        <v>18</v>
      </c>
      <c r="B108" s="87"/>
      <c r="C108" s="27" t="s">
        <v>26</v>
      </c>
      <c r="D108" s="28"/>
      <c r="E108" s="100" t="s">
        <v>23</v>
      </c>
      <c r="F108" s="216"/>
      <c r="G108" s="30" t="s">
        <v>51</v>
      </c>
      <c r="H108" s="80"/>
      <c r="I108" s="967" t="s">
        <v>338</v>
      </c>
      <c r="J108" s="968"/>
    </row>
    <row r="109" spans="1:10" ht="20.25" customHeight="1" x14ac:dyDescent="0.2">
      <c r="A109" s="86"/>
      <c r="B109" s="87"/>
      <c r="C109" s="101"/>
      <c r="D109" s="10" t="s">
        <v>20</v>
      </c>
      <c r="E109" s="90" t="s">
        <v>13</v>
      </c>
      <c r="F109" s="217"/>
      <c r="G109" s="12" t="s">
        <v>51</v>
      </c>
      <c r="H109" s="80"/>
      <c r="I109" s="967"/>
      <c r="J109" s="968"/>
    </row>
    <row r="110" spans="1:10" ht="25.5" x14ac:dyDescent="0.2">
      <c r="A110" s="86"/>
      <c r="B110" s="87"/>
      <c r="C110" s="88"/>
      <c r="D110" s="89"/>
      <c r="E110" s="102" t="s">
        <v>259</v>
      </c>
      <c r="F110" s="91"/>
      <c r="G110" s="81"/>
      <c r="H110" s="80"/>
    </row>
    <row r="111" spans="1:10" x14ac:dyDescent="0.2">
      <c r="A111" s="86"/>
      <c r="B111" s="87"/>
      <c r="C111" s="88"/>
      <c r="D111" s="89"/>
      <c r="E111" s="102"/>
      <c r="F111" s="223">
        <v>0</v>
      </c>
      <c r="G111" s="81"/>
      <c r="H111" s="80"/>
    </row>
    <row r="112" spans="1:10" ht="25.5" x14ac:dyDescent="0.2">
      <c r="A112" s="86"/>
      <c r="B112" s="87"/>
      <c r="C112" s="88"/>
      <c r="D112" s="89"/>
      <c r="E112" s="102" t="s">
        <v>260</v>
      </c>
      <c r="F112" s="91"/>
      <c r="G112" s="81"/>
      <c r="H112" s="80"/>
    </row>
    <row r="113" spans="1:10" x14ac:dyDescent="0.2">
      <c r="A113" s="86"/>
      <c r="B113" s="87"/>
      <c r="C113" s="88"/>
      <c r="D113" s="89"/>
      <c r="E113" s="90"/>
      <c r="F113" s="224">
        <v>0</v>
      </c>
      <c r="G113" s="81"/>
      <c r="H113" s="80"/>
    </row>
    <row r="114" spans="1:10" x14ac:dyDescent="0.2">
      <c r="A114" s="86"/>
      <c r="B114" s="87"/>
      <c r="C114" s="88"/>
      <c r="D114" s="89"/>
      <c r="E114" s="102" t="s">
        <v>250</v>
      </c>
      <c r="F114" s="97">
        <f>SUM(F111:F113)</f>
        <v>0</v>
      </c>
      <c r="G114" s="81"/>
      <c r="H114" s="80"/>
    </row>
    <row r="115" spans="1:10" x14ac:dyDescent="0.2">
      <c r="A115" s="86"/>
      <c r="B115" s="87"/>
      <c r="C115" s="98"/>
      <c r="D115" s="99"/>
      <c r="E115" s="75"/>
      <c r="F115" s="225"/>
      <c r="G115" s="60"/>
      <c r="H115" s="58"/>
    </row>
    <row r="116" spans="1:10" s="105" customFormat="1" x14ac:dyDescent="0.2">
      <c r="A116" s="62">
        <f>MAX(A$2:A114)+1</f>
        <v>19</v>
      </c>
      <c r="B116" s="87"/>
      <c r="C116" s="17" t="s">
        <v>21</v>
      </c>
      <c r="D116" s="18"/>
      <c r="E116" s="103" t="s">
        <v>14</v>
      </c>
      <c r="F116" s="226"/>
      <c r="G116" s="20" t="s">
        <v>51</v>
      </c>
      <c r="H116" s="182"/>
      <c r="I116" s="104"/>
      <c r="J116" s="161"/>
    </row>
    <row r="117" spans="1:10" s="105" customFormat="1" x14ac:dyDescent="0.2">
      <c r="A117" s="86"/>
      <c r="B117" s="87"/>
      <c r="C117" s="66"/>
      <c r="D117" s="25" t="s">
        <v>22</v>
      </c>
      <c r="E117" s="106" t="s">
        <v>2</v>
      </c>
      <c r="F117" s="227"/>
      <c r="G117" s="26" t="s">
        <v>51</v>
      </c>
      <c r="H117" s="181"/>
      <c r="I117" s="104"/>
      <c r="J117" s="161"/>
    </row>
    <row r="118" spans="1:10" s="105" customFormat="1" x14ac:dyDescent="0.2">
      <c r="A118" s="86"/>
      <c r="B118" s="87"/>
      <c r="C118" s="98"/>
      <c r="D118" s="99"/>
      <c r="E118" s="23" t="s">
        <v>337</v>
      </c>
      <c r="F118" s="210"/>
      <c r="G118" s="60"/>
      <c r="H118" s="181"/>
      <c r="I118" s="104"/>
      <c r="J118" s="161"/>
    </row>
    <row r="119" spans="1:10" s="105" customFormat="1" x14ac:dyDescent="0.2">
      <c r="A119" s="86"/>
      <c r="B119" s="87"/>
      <c r="C119" s="98"/>
      <c r="D119" s="99"/>
      <c r="E119" s="23"/>
      <c r="F119" s="210"/>
      <c r="G119" s="60"/>
      <c r="H119" s="181"/>
      <c r="I119" s="104"/>
      <c r="J119" s="161"/>
    </row>
    <row r="120" spans="1:10" s="105" customFormat="1" x14ac:dyDescent="0.2">
      <c r="A120" s="162">
        <f>MAX(A$2:A118)+1</f>
        <v>20</v>
      </c>
      <c r="B120" s="198"/>
      <c r="C120" s="164" t="s">
        <v>161</v>
      </c>
      <c r="D120" s="165"/>
      <c r="E120" s="166" t="s">
        <v>162</v>
      </c>
      <c r="F120" s="204"/>
      <c r="G120" s="167" t="s">
        <v>51</v>
      </c>
      <c r="H120" s="179">
        <f>F122</f>
        <v>22.72</v>
      </c>
      <c r="I120" s="104"/>
      <c r="J120" s="161"/>
    </row>
    <row r="121" spans="1:10" s="105" customFormat="1" ht="25.5" x14ac:dyDescent="0.2">
      <c r="A121" s="199"/>
      <c r="B121" s="198"/>
      <c r="C121" s="243"/>
      <c r="D121" s="171" t="s">
        <v>163</v>
      </c>
      <c r="E121" s="172" t="s">
        <v>164</v>
      </c>
      <c r="F121" s="208"/>
      <c r="G121" s="173" t="s">
        <v>51</v>
      </c>
      <c r="H121" s="180"/>
      <c r="I121" s="104"/>
      <c r="J121" s="161"/>
    </row>
    <row r="122" spans="1:10" s="105" customFormat="1" x14ac:dyDescent="0.2">
      <c r="A122" s="199"/>
      <c r="B122" s="198"/>
      <c r="C122" s="243"/>
      <c r="D122" s="244"/>
      <c r="E122" s="177" t="s">
        <v>339</v>
      </c>
      <c r="F122" s="245">
        <f>F106</f>
        <v>22.72</v>
      </c>
      <c r="G122" s="175"/>
      <c r="H122" s="180"/>
      <c r="I122" s="39"/>
      <c r="J122" s="161"/>
    </row>
    <row r="123" spans="1:10" s="105" customFormat="1" x14ac:dyDescent="0.2">
      <c r="A123" s="86"/>
      <c r="B123" s="87"/>
      <c r="C123" s="98"/>
      <c r="D123" s="99"/>
      <c r="E123" s="75"/>
      <c r="F123" s="210"/>
      <c r="G123" s="60"/>
      <c r="H123" s="58"/>
      <c r="I123" s="39"/>
      <c r="J123" s="161"/>
    </row>
    <row r="124" spans="1:10" x14ac:dyDescent="0.2">
      <c r="A124" s="62">
        <f>MAX(A$2:A122)+1</f>
        <v>21</v>
      </c>
      <c r="B124" s="87"/>
      <c r="C124" s="27" t="s">
        <v>173</v>
      </c>
      <c r="D124" s="28"/>
      <c r="E124" s="100" t="s">
        <v>174</v>
      </c>
      <c r="F124" s="216"/>
      <c r="G124" s="30" t="s">
        <v>12</v>
      </c>
      <c r="H124" s="80"/>
    </row>
    <row r="125" spans="1:10" ht="25.5" x14ac:dyDescent="0.2">
      <c r="A125" s="86"/>
      <c r="B125" s="87"/>
      <c r="C125" s="101"/>
      <c r="D125" s="10" t="s">
        <v>175</v>
      </c>
      <c r="E125" s="90" t="s">
        <v>176</v>
      </c>
      <c r="F125" s="217"/>
      <c r="G125" s="12" t="s">
        <v>12</v>
      </c>
      <c r="H125" s="80"/>
    </row>
    <row r="126" spans="1:10" x14ac:dyDescent="0.2">
      <c r="A126" s="86"/>
      <c r="B126" s="87"/>
      <c r="C126" s="88"/>
      <c r="D126" s="89"/>
      <c r="E126" s="102" t="s">
        <v>254</v>
      </c>
      <c r="F126" s="91"/>
      <c r="G126" s="81"/>
      <c r="H126" s="80"/>
    </row>
    <row r="127" spans="1:10" x14ac:dyDescent="0.2">
      <c r="A127" s="86"/>
      <c r="B127" s="87"/>
      <c r="C127" s="88"/>
      <c r="D127" s="89"/>
      <c r="E127" s="102" t="s">
        <v>256</v>
      </c>
      <c r="F127" s="91"/>
      <c r="G127" s="81"/>
      <c r="H127" s="80"/>
    </row>
    <row r="128" spans="1:10" x14ac:dyDescent="0.2">
      <c r="A128" s="86"/>
      <c r="B128" s="87"/>
      <c r="C128" s="88"/>
      <c r="D128" s="89"/>
      <c r="E128" s="90"/>
      <c r="F128" s="223">
        <v>0</v>
      </c>
      <c r="G128" s="81"/>
      <c r="H128" s="80"/>
    </row>
    <row r="129" spans="1:10" x14ac:dyDescent="0.2">
      <c r="A129" s="86"/>
      <c r="B129" s="87"/>
      <c r="C129" s="88"/>
      <c r="D129" s="89"/>
      <c r="E129" s="102" t="s">
        <v>257</v>
      </c>
      <c r="F129" s="91"/>
      <c r="G129" s="81"/>
      <c r="H129" s="80"/>
    </row>
    <row r="130" spans="1:10" x14ac:dyDescent="0.2">
      <c r="A130" s="86"/>
      <c r="B130" s="87"/>
      <c r="C130" s="88"/>
      <c r="D130" s="89"/>
      <c r="E130" s="90"/>
      <c r="F130" s="224">
        <v>0</v>
      </c>
      <c r="G130" s="81"/>
      <c r="H130" s="80"/>
    </row>
    <row r="131" spans="1:10" x14ac:dyDescent="0.2">
      <c r="A131" s="86"/>
      <c r="B131" s="87"/>
      <c r="C131" s="88"/>
      <c r="D131" s="89"/>
      <c r="E131" s="102" t="s">
        <v>250</v>
      </c>
      <c r="F131" s="91">
        <f>SUM(F128:F130)</f>
        <v>0</v>
      </c>
      <c r="G131" s="81"/>
      <c r="H131" s="80"/>
    </row>
    <row r="132" spans="1:10" s="105" customFormat="1" x14ac:dyDescent="0.2">
      <c r="A132" s="86"/>
      <c r="B132" s="87"/>
      <c r="C132" s="98"/>
      <c r="D132" s="99"/>
      <c r="E132" s="106"/>
      <c r="F132" s="107"/>
      <c r="G132" s="60"/>
      <c r="H132" s="58"/>
      <c r="I132" s="104"/>
      <c r="J132" s="161"/>
    </row>
    <row r="133" spans="1:10" s="105" customFormat="1" x14ac:dyDescent="0.2">
      <c r="A133" s="86"/>
      <c r="B133" s="108" t="s">
        <v>156</v>
      </c>
      <c r="C133" s="108"/>
      <c r="D133" s="15"/>
      <c r="E133" s="109" t="s">
        <v>180</v>
      </c>
      <c r="F133" s="228"/>
      <c r="G133" s="22"/>
      <c r="H133" s="58"/>
      <c r="I133" s="104"/>
      <c r="J133" s="161"/>
    </row>
    <row r="134" spans="1:10" s="105" customFormat="1" ht="15" x14ac:dyDescent="0.2">
      <c r="A134" s="86"/>
      <c r="B134" s="110"/>
      <c r="C134" s="111"/>
      <c r="D134" s="112"/>
      <c r="E134" s="72"/>
      <c r="F134" s="113"/>
      <c r="G134" s="60"/>
      <c r="H134" s="58"/>
      <c r="I134" s="104"/>
      <c r="J134" s="161"/>
    </row>
    <row r="135" spans="1:10" ht="25.5" x14ac:dyDescent="0.2">
      <c r="A135" s="162">
        <f>MAX(A$2:A133)+1</f>
        <v>22</v>
      </c>
      <c r="B135" s="249"/>
      <c r="C135" s="250" t="s">
        <v>94</v>
      </c>
      <c r="D135" s="251"/>
      <c r="E135" s="252" t="s">
        <v>95</v>
      </c>
      <c r="F135" s="253"/>
      <c r="G135" s="254" t="s">
        <v>51</v>
      </c>
      <c r="H135" s="63">
        <f>F144</f>
        <v>10.97412125</v>
      </c>
    </row>
    <row r="136" spans="1:10" ht="25.5" x14ac:dyDescent="0.2">
      <c r="A136" s="199"/>
      <c r="B136" s="249"/>
      <c r="C136" s="200"/>
      <c r="D136" s="255" t="s">
        <v>340</v>
      </c>
      <c r="E136" s="256" t="s">
        <v>341</v>
      </c>
      <c r="F136" s="257"/>
      <c r="G136" s="175" t="s">
        <v>51</v>
      </c>
      <c r="H136" s="174"/>
    </row>
    <row r="137" spans="1:10" ht="15" x14ac:dyDescent="0.2">
      <c r="A137" s="86"/>
      <c r="B137" s="110"/>
      <c r="C137" s="66"/>
      <c r="D137" s="114"/>
      <c r="E137" s="177" t="s">
        <v>485</v>
      </c>
      <c r="F137" s="246">
        <f>0.5*0.9*9.95</f>
        <v>4.4775</v>
      </c>
      <c r="G137" s="60"/>
      <c r="H137" s="58"/>
      <c r="I137" s="247"/>
    </row>
    <row r="138" spans="1:10" ht="25.5" x14ac:dyDescent="0.2">
      <c r="A138" s="86"/>
      <c r="B138" s="110"/>
      <c r="C138" s="66"/>
      <c r="D138" s="114"/>
      <c r="E138" s="177" t="s">
        <v>579</v>
      </c>
      <c r="F138" s="246">
        <f>0.6*0.1*9.95</f>
        <v>0.59699999999999998</v>
      </c>
      <c r="G138" s="60"/>
      <c r="H138" s="58"/>
      <c r="I138" s="247"/>
    </row>
    <row r="139" spans="1:10" ht="25.5" x14ac:dyDescent="0.2">
      <c r="A139" s="86"/>
      <c r="B139" s="110"/>
      <c r="C139" s="66"/>
      <c r="D139" s="114"/>
      <c r="E139" s="177" t="s">
        <v>482</v>
      </c>
      <c r="F139" s="73">
        <f>0.95*0.24*((2.915+3.22)/2)+0.55*0.1*((6.215+6.4)/2)</f>
        <v>1.0463024999999999</v>
      </c>
      <c r="G139" s="60"/>
      <c r="H139" s="58"/>
      <c r="I139" s="247"/>
    </row>
    <row r="140" spans="1:10" ht="33.75" customHeight="1" x14ac:dyDescent="0.2">
      <c r="A140" s="86"/>
      <c r="B140" s="110"/>
      <c r="C140" s="111"/>
      <c r="D140" s="112"/>
      <c r="E140" s="177" t="s">
        <v>483</v>
      </c>
      <c r="F140" s="73">
        <f>0.95*0.25*((2.515+2.22)/2)+0.55*0.25*((2.76+2.656)/2)</f>
        <v>0.93463125000000014</v>
      </c>
      <c r="G140" s="60"/>
      <c r="H140" s="58"/>
      <c r="I140" s="247"/>
    </row>
    <row r="141" spans="1:10" ht="25.5" x14ac:dyDescent="0.2">
      <c r="A141" s="86"/>
      <c r="B141" s="110"/>
      <c r="C141" s="111"/>
      <c r="D141" s="112"/>
      <c r="E141" s="177" t="s">
        <v>481</v>
      </c>
      <c r="F141" s="73">
        <f>0.95*0.25*((8.9+8.82)/2)</f>
        <v>2.10425</v>
      </c>
      <c r="G141" s="60"/>
      <c r="H141" s="58"/>
      <c r="I141" s="247"/>
    </row>
    <row r="142" spans="1:10" ht="25.5" x14ac:dyDescent="0.2">
      <c r="A142" s="86"/>
      <c r="B142" s="110"/>
      <c r="C142" s="111"/>
      <c r="D142" s="112"/>
      <c r="E142" s="177" t="s">
        <v>484</v>
      </c>
      <c r="F142" s="73">
        <f>0.65*0.25*9.935</f>
        <v>1.6144375000000002</v>
      </c>
      <c r="G142" s="60"/>
      <c r="H142" s="58"/>
      <c r="I142" s="247"/>
    </row>
    <row r="143" spans="1:10" ht="25.5" x14ac:dyDescent="0.2">
      <c r="A143" s="86"/>
      <c r="B143" s="110"/>
      <c r="C143" s="111"/>
      <c r="D143" s="112"/>
      <c r="E143" s="177" t="s">
        <v>492</v>
      </c>
      <c r="F143" s="248">
        <f>0.2*0.05*10*2</f>
        <v>0.20000000000000004</v>
      </c>
      <c r="G143" s="60"/>
      <c r="H143" s="58"/>
    </row>
    <row r="144" spans="1:10" ht="15" x14ac:dyDescent="0.2">
      <c r="A144" s="86"/>
      <c r="B144" s="110"/>
      <c r="C144" s="111"/>
      <c r="D144" s="112"/>
      <c r="E144" s="197" t="s">
        <v>298</v>
      </c>
      <c r="F144" s="73">
        <f>SUM(F137:F143)</f>
        <v>10.97412125</v>
      </c>
      <c r="G144" s="60"/>
      <c r="H144" s="58"/>
    </row>
    <row r="145" spans="1:8" ht="15" x14ac:dyDescent="0.2">
      <c r="A145" s="86"/>
      <c r="B145" s="110"/>
      <c r="C145" s="111"/>
      <c r="D145" s="112"/>
      <c r="E145" s="75"/>
      <c r="F145" s="113"/>
      <c r="G145" s="60"/>
      <c r="H145" s="58"/>
    </row>
    <row r="146" spans="1:8" ht="25.5" x14ac:dyDescent="0.2">
      <c r="A146" s="86"/>
      <c r="B146" s="110"/>
      <c r="C146" s="111"/>
      <c r="D146" s="112"/>
      <c r="E146" s="75" t="s">
        <v>342</v>
      </c>
      <c r="F146" s="113"/>
      <c r="G146" s="60"/>
      <c r="H146" s="58"/>
    </row>
    <row r="147" spans="1:8" ht="24" customHeight="1" x14ac:dyDescent="0.2">
      <c r="A147" s="86"/>
      <c r="B147" s="110"/>
      <c r="C147" s="111"/>
      <c r="D147" s="112"/>
      <c r="E147" s="75" t="s">
        <v>252</v>
      </c>
      <c r="F147" s="113"/>
      <c r="G147" s="60"/>
      <c r="H147" s="58"/>
    </row>
    <row r="148" spans="1:8" ht="15" x14ac:dyDescent="0.2">
      <c r="A148" s="86"/>
      <c r="B148" s="110"/>
      <c r="C148" s="111"/>
      <c r="D148" s="112"/>
      <c r="E148" s="75" t="s">
        <v>261</v>
      </c>
      <c r="F148" s="113"/>
      <c r="G148" s="60"/>
      <c r="H148" s="58"/>
    </row>
    <row r="149" spans="1:8" ht="15" x14ac:dyDescent="0.2">
      <c r="A149" s="86"/>
      <c r="B149" s="110"/>
      <c r="C149" s="111"/>
      <c r="D149" s="112"/>
      <c r="E149" s="118"/>
      <c r="F149" s="113"/>
      <c r="G149" s="60"/>
      <c r="H149" s="58"/>
    </row>
    <row r="150" spans="1:8" ht="25.5" x14ac:dyDescent="0.2">
      <c r="A150" s="162">
        <f>MAX(A$2:A148)+1</f>
        <v>23</v>
      </c>
      <c r="B150" s="249"/>
      <c r="C150" s="164" t="s">
        <v>96</v>
      </c>
      <c r="D150" s="165"/>
      <c r="E150" s="258" t="s">
        <v>97</v>
      </c>
      <c r="F150" s="204"/>
      <c r="G150" s="167" t="s">
        <v>12</v>
      </c>
      <c r="H150" s="63">
        <f>F158</f>
        <v>14.669150000000002</v>
      </c>
    </row>
    <row r="151" spans="1:8" ht="25.5" x14ac:dyDescent="0.2">
      <c r="A151" s="199"/>
      <c r="B151" s="249"/>
      <c r="C151" s="200"/>
      <c r="D151" s="171" t="s">
        <v>98</v>
      </c>
      <c r="E151" s="259" t="s">
        <v>99</v>
      </c>
      <c r="F151" s="208"/>
      <c r="G151" s="173" t="s">
        <v>12</v>
      </c>
      <c r="H151" s="174"/>
    </row>
    <row r="152" spans="1:8" ht="25.5" x14ac:dyDescent="0.2">
      <c r="A152" s="199"/>
      <c r="B152" s="249"/>
      <c r="C152" s="200"/>
      <c r="D152" s="171"/>
      <c r="E152" s="177" t="s">
        <v>487</v>
      </c>
      <c r="F152" s="246">
        <f>2*(0.9*9.95)+2*(0.9*0.5)</f>
        <v>18.809999999999999</v>
      </c>
      <c r="G152" s="173"/>
      <c r="H152" s="174"/>
    </row>
    <row r="153" spans="1:8" ht="25.5" x14ac:dyDescent="0.2">
      <c r="A153" s="199"/>
      <c r="B153" s="249"/>
      <c r="C153" s="200"/>
      <c r="D153" s="171"/>
      <c r="E153" s="177" t="s">
        <v>486</v>
      </c>
      <c r="F153" s="246">
        <f>(2*0.1*9.95)+(2*0.1*0.5)</f>
        <v>2.09</v>
      </c>
      <c r="G153" s="173"/>
      <c r="H153" s="174"/>
    </row>
    <row r="154" spans="1:8" ht="25.5" x14ac:dyDescent="0.2">
      <c r="A154" s="199"/>
      <c r="B154" s="249"/>
      <c r="C154" s="260"/>
      <c r="D154" s="261"/>
      <c r="E154" s="177" t="s">
        <v>488</v>
      </c>
      <c r="F154" s="73">
        <f>2*0.24*((2.915+3.22)/2)+2*0.1*((6.215+6.4)/2)</f>
        <v>2.7339000000000002</v>
      </c>
      <c r="G154" s="175"/>
      <c r="H154" s="174"/>
    </row>
    <row r="155" spans="1:8" ht="25.5" x14ac:dyDescent="0.2">
      <c r="A155" s="199"/>
      <c r="B155" s="249"/>
      <c r="C155" s="260"/>
      <c r="D155" s="261"/>
      <c r="E155" s="177" t="s">
        <v>489</v>
      </c>
      <c r="F155" s="73">
        <f>2*0.25*((2.515+2.22)/2)+2*0.25*((2.76+2.656)/2)</f>
        <v>2.53775</v>
      </c>
      <c r="G155" s="175"/>
      <c r="H155" s="174"/>
    </row>
    <row r="156" spans="1:8" ht="25.5" x14ac:dyDescent="0.2">
      <c r="A156" s="199"/>
      <c r="B156" s="249"/>
      <c r="C156" s="260"/>
      <c r="D156" s="261"/>
      <c r="E156" s="177" t="s">
        <v>490</v>
      </c>
      <c r="F156" s="73">
        <f>2*0.25*((8.9+8.82)/2)</f>
        <v>4.43</v>
      </c>
      <c r="G156" s="175"/>
      <c r="H156" s="174"/>
    </row>
    <row r="157" spans="1:8" ht="27" customHeight="1" x14ac:dyDescent="0.2">
      <c r="A157" s="199"/>
      <c r="B157" s="249"/>
      <c r="C157" s="260"/>
      <c r="D157" s="261"/>
      <c r="E157" s="177" t="s">
        <v>491</v>
      </c>
      <c r="F157" s="248">
        <f>2*0.25*9.935</f>
        <v>4.9675000000000002</v>
      </c>
      <c r="G157" s="175"/>
      <c r="H157" s="174"/>
    </row>
    <row r="158" spans="1:8" ht="15" x14ac:dyDescent="0.2">
      <c r="A158" s="199"/>
      <c r="B158" s="249"/>
      <c r="C158" s="260"/>
      <c r="D158" s="261"/>
      <c r="E158" s="197" t="s">
        <v>298</v>
      </c>
      <c r="F158" s="73">
        <f>SUM(F154:F157)</f>
        <v>14.669150000000002</v>
      </c>
      <c r="G158" s="175"/>
      <c r="H158" s="174"/>
    </row>
    <row r="159" spans="1:8" ht="15" x14ac:dyDescent="0.2">
      <c r="A159" s="86"/>
      <c r="B159" s="110"/>
      <c r="C159" s="111"/>
      <c r="D159" s="112"/>
      <c r="E159" s="118"/>
      <c r="F159" s="113"/>
      <c r="G159" s="60"/>
      <c r="H159" s="58"/>
    </row>
    <row r="160" spans="1:8" ht="25.5" x14ac:dyDescent="0.2">
      <c r="A160" s="162">
        <f>MAX(A$2:A158)+1</f>
        <v>24</v>
      </c>
      <c r="B160" s="249"/>
      <c r="C160" s="164" t="s">
        <v>100</v>
      </c>
      <c r="D160" s="165"/>
      <c r="E160" s="258" t="s">
        <v>101</v>
      </c>
      <c r="F160" s="204"/>
      <c r="G160" s="167" t="s">
        <v>5</v>
      </c>
      <c r="H160" s="179">
        <f>F165</f>
        <v>2.0590000000000002</v>
      </c>
    </row>
    <row r="161" spans="1:9" ht="25.5" x14ac:dyDescent="0.2">
      <c r="A161" s="199"/>
      <c r="B161" s="249"/>
      <c r="C161" s="200"/>
      <c r="D161" s="171" t="s">
        <v>102</v>
      </c>
      <c r="E161" s="259" t="s">
        <v>103</v>
      </c>
      <c r="F161" s="208"/>
      <c r="G161" s="173" t="s">
        <v>5</v>
      </c>
      <c r="H161" s="180"/>
    </row>
    <row r="162" spans="1:9" ht="15" x14ac:dyDescent="0.2">
      <c r="A162" s="199"/>
      <c r="B162" s="249"/>
      <c r="C162" s="260"/>
      <c r="D162" s="261"/>
      <c r="E162" s="177" t="s">
        <v>251</v>
      </c>
      <c r="F162" s="206"/>
      <c r="G162" s="175"/>
      <c r="H162" s="180"/>
    </row>
    <row r="163" spans="1:9" ht="15" x14ac:dyDescent="0.2">
      <c r="A163" s="199"/>
      <c r="B163" s="249"/>
      <c r="C163" s="260"/>
      <c r="D163" s="261"/>
      <c r="E163" s="177" t="s">
        <v>494</v>
      </c>
      <c r="F163" s="206">
        <v>1.1060000000000001</v>
      </c>
      <c r="G163" s="175"/>
      <c r="H163" s="180"/>
    </row>
    <row r="164" spans="1:9" ht="15" x14ac:dyDescent="0.2">
      <c r="A164" s="199"/>
      <c r="B164" s="249"/>
      <c r="C164" s="260"/>
      <c r="D164" s="261"/>
      <c r="E164" s="177" t="s">
        <v>493</v>
      </c>
      <c r="F164" s="206">
        <v>0.95299999999999996</v>
      </c>
      <c r="G164" s="175"/>
      <c r="H164" s="180"/>
    </row>
    <row r="165" spans="1:9" ht="15" x14ac:dyDescent="0.2">
      <c r="A165" s="86"/>
      <c r="B165" s="110"/>
      <c r="C165" s="111"/>
      <c r="D165" s="112"/>
      <c r="E165" s="197" t="s">
        <v>298</v>
      </c>
      <c r="F165" s="73">
        <f>SUM(F163:F164)</f>
        <v>2.0590000000000002</v>
      </c>
      <c r="G165" s="60"/>
      <c r="H165" s="181"/>
    </row>
    <row r="166" spans="1:9" ht="15" x14ac:dyDescent="0.2">
      <c r="A166" s="86"/>
      <c r="B166" s="110"/>
      <c r="C166" s="111"/>
      <c r="D166" s="112"/>
      <c r="E166" s="118"/>
      <c r="F166" s="113"/>
      <c r="G166" s="60"/>
      <c r="H166" s="181"/>
    </row>
    <row r="167" spans="1:9" ht="25.5" x14ac:dyDescent="0.2">
      <c r="A167" s="86"/>
      <c r="B167" s="110"/>
      <c r="C167" s="111"/>
      <c r="D167" s="112"/>
      <c r="E167" s="72" t="s">
        <v>343</v>
      </c>
      <c r="F167" s="113"/>
      <c r="G167" s="60"/>
      <c r="H167" s="181"/>
    </row>
    <row r="168" spans="1:9" ht="15" x14ac:dyDescent="0.2">
      <c r="A168" s="86"/>
      <c r="B168" s="110"/>
      <c r="C168" s="111"/>
      <c r="D168" s="112"/>
      <c r="E168" s="72"/>
      <c r="F168" s="113"/>
      <c r="G168" s="60"/>
      <c r="H168" s="181"/>
    </row>
    <row r="169" spans="1:9" ht="51" x14ac:dyDescent="0.2">
      <c r="A169" s="62">
        <f>MAX(A$2:A167)+1</f>
        <v>25</v>
      </c>
      <c r="B169" s="110"/>
      <c r="C169" s="27" t="s">
        <v>104</v>
      </c>
      <c r="D169" s="28"/>
      <c r="E169" s="100" t="s">
        <v>105</v>
      </c>
      <c r="F169" s="216"/>
      <c r="G169" s="30" t="s">
        <v>51</v>
      </c>
      <c r="H169" s="80"/>
      <c r="I169" s="39" t="s">
        <v>262</v>
      </c>
    </row>
    <row r="170" spans="1:9" ht="25.5" x14ac:dyDescent="0.2">
      <c r="A170" s="86"/>
      <c r="B170" s="110"/>
      <c r="C170" s="101"/>
      <c r="D170" s="121" t="s">
        <v>106</v>
      </c>
      <c r="E170" s="122" t="s">
        <v>107</v>
      </c>
      <c r="F170" s="231"/>
      <c r="G170" s="81" t="s">
        <v>51</v>
      </c>
      <c r="H170" s="80"/>
    </row>
    <row r="171" spans="1:9" ht="25.5" x14ac:dyDescent="0.2">
      <c r="A171" s="86"/>
      <c r="B171" s="110"/>
      <c r="C171" s="101"/>
      <c r="D171" s="121" t="s">
        <v>108</v>
      </c>
      <c r="E171" s="122" t="s">
        <v>109</v>
      </c>
      <c r="F171" s="231"/>
      <c r="G171" s="81" t="s">
        <v>51</v>
      </c>
      <c r="H171" s="80"/>
    </row>
    <row r="172" spans="1:9" ht="15" x14ac:dyDescent="0.2">
      <c r="A172" s="86"/>
      <c r="B172" s="110"/>
      <c r="C172" s="123"/>
      <c r="D172" s="124"/>
      <c r="E172" s="85"/>
      <c r="F172" s="125"/>
      <c r="G172" s="81"/>
      <c r="H172" s="80"/>
    </row>
    <row r="173" spans="1:9" ht="51" x14ac:dyDescent="0.2">
      <c r="A173" s="62">
        <f>MAX(A$2:A171)+1</f>
        <v>26</v>
      </c>
      <c r="B173" s="110"/>
      <c r="C173" s="27" t="s">
        <v>110</v>
      </c>
      <c r="D173" s="28"/>
      <c r="E173" s="100" t="s">
        <v>111</v>
      </c>
      <c r="F173" s="216"/>
      <c r="G173" s="30" t="s">
        <v>12</v>
      </c>
      <c r="H173" s="80"/>
      <c r="I173" s="39" t="s">
        <v>262</v>
      </c>
    </row>
    <row r="174" spans="1:9" ht="25.5" x14ac:dyDescent="0.2">
      <c r="A174" s="86"/>
      <c r="B174" s="110"/>
      <c r="C174" s="101"/>
      <c r="D174" s="10" t="s">
        <v>112</v>
      </c>
      <c r="E174" s="90" t="s">
        <v>181</v>
      </c>
      <c r="F174" s="217"/>
      <c r="G174" s="12" t="s">
        <v>12</v>
      </c>
      <c r="H174" s="80"/>
    </row>
    <row r="175" spans="1:9" ht="15" x14ac:dyDescent="0.2">
      <c r="A175" s="86"/>
      <c r="B175" s="110"/>
      <c r="C175" s="123"/>
      <c r="D175" s="124"/>
      <c r="E175" s="85"/>
      <c r="F175" s="125"/>
      <c r="G175" s="81"/>
      <c r="H175" s="80"/>
    </row>
    <row r="176" spans="1:9" ht="51" x14ac:dyDescent="0.2">
      <c r="A176" s="62">
        <f>MAX(A$2:A174)+1</f>
        <v>27</v>
      </c>
      <c r="B176" s="110"/>
      <c r="C176" s="27" t="s">
        <v>113</v>
      </c>
      <c r="D176" s="28"/>
      <c r="E176" s="100" t="s">
        <v>182</v>
      </c>
      <c r="F176" s="216"/>
      <c r="G176" s="30" t="s">
        <v>5</v>
      </c>
      <c r="H176" s="80"/>
      <c r="I176" s="39" t="s">
        <v>262</v>
      </c>
    </row>
    <row r="177" spans="1:9" ht="25.5" x14ac:dyDescent="0.2">
      <c r="A177" s="86"/>
      <c r="B177" s="110"/>
      <c r="C177" s="101"/>
      <c r="D177" s="10" t="s">
        <v>114</v>
      </c>
      <c r="E177" s="90" t="s">
        <v>183</v>
      </c>
      <c r="F177" s="217"/>
      <c r="G177" s="12" t="s">
        <v>5</v>
      </c>
      <c r="H177" s="80"/>
    </row>
    <row r="178" spans="1:9" ht="15" x14ac:dyDescent="0.2">
      <c r="A178" s="86"/>
      <c r="B178" s="110"/>
      <c r="C178" s="123"/>
      <c r="D178" s="124"/>
      <c r="E178" s="85"/>
      <c r="F178" s="125"/>
      <c r="G178" s="81"/>
      <c r="H178" s="80"/>
    </row>
    <row r="179" spans="1:9" ht="15" x14ac:dyDescent="0.2">
      <c r="A179" s="86"/>
      <c r="B179" s="110"/>
      <c r="C179" s="123"/>
      <c r="D179" s="124"/>
      <c r="E179" s="85"/>
      <c r="F179" s="125"/>
      <c r="G179" s="81"/>
      <c r="H179" s="80"/>
    </row>
    <row r="180" spans="1:9" ht="51" x14ac:dyDescent="0.2">
      <c r="A180" s="62">
        <f>MAX(A$2:A178)+1</f>
        <v>28</v>
      </c>
      <c r="B180" s="110"/>
      <c r="C180" s="27" t="s">
        <v>115</v>
      </c>
      <c r="D180" s="28"/>
      <c r="E180" s="100" t="s">
        <v>116</v>
      </c>
      <c r="F180" s="216"/>
      <c r="G180" s="30" t="s">
        <v>51</v>
      </c>
      <c r="H180" s="80"/>
      <c r="I180" s="39" t="s">
        <v>263</v>
      </c>
    </row>
    <row r="181" spans="1:9" ht="25.5" x14ac:dyDescent="0.2">
      <c r="A181" s="86"/>
      <c r="B181" s="110"/>
      <c r="C181" s="101"/>
      <c r="D181" s="121" t="s">
        <v>117</v>
      </c>
      <c r="E181" s="122" t="s">
        <v>118</v>
      </c>
      <c r="F181" s="231"/>
      <c r="G181" s="81" t="s">
        <v>51</v>
      </c>
      <c r="H181" s="80"/>
    </row>
    <row r="182" spans="1:9" ht="15" x14ac:dyDescent="0.2">
      <c r="A182" s="86"/>
      <c r="B182" s="110"/>
      <c r="C182" s="123"/>
      <c r="D182" s="124"/>
      <c r="E182" s="85"/>
      <c r="F182" s="125"/>
      <c r="G182" s="81"/>
      <c r="H182" s="80"/>
    </row>
    <row r="183" spans="1:9" ht="51" x14ac:dyDescent="0.2">
      <c r="A183" s="62">
        <f>MAX(A$2:A181)+1</f>
        <v>29</v>
      </c>
      <c r="B183" s="110"/>
      <c r="C183" s="27" t="s">
        <v>119</v>
      </c>
      <c r="D183" s="28"/>
      <c r="E183" s="100" t="s">
        <v>120</v>
      </c>
      <c r="F183" s="216"/>
      <c r="G183" s="30" t="s">
        <v>12</v>
      </c>
      <c r="H183" s="80"/>
      <c r="I183" s="39" t="s">
        <v>263</v>
      </c>
    </row>
    <row r="184" spans="1:9" ht="25.5" x14ac:dyDescent="0.2">
      <c r="A184" s="86"/>
      <c r="B184" s="110"/>
      <c r="C184" s="101"/>
      <c r="D184" s="10" t="s">
        <v>121</v>
      </c>
      <c r="E184" s="90" t="s">
        <v>122</v>
      </c>
      <c r="F184" s="217"/>
      <c r="G184" s="12" t="s">
        <v>12</v>
      </c>
      <c r="H184" s="80"/>
    </row>
    <row r="185" spans="1:9" ht="15" x14ac:dyDescent="0.2">
      <c r="A185" s="86"/>
      <c r="B185" s="110"/>
      <c r="C185" s="123"/>
      <c r="D185" s="124"/>
      <c r="E185" s="85"/>
      <c r="F185" s="125"/>
      <c r="G185" s="81"/>
      <c r="H185" s="80"/>
    </row>
    <row r="186" spans="1:9" ht="51" x14ac:dyDescent="0.2">
      <c r="A186" s="62">
        <f>MAX(A$2:A184)+1</f>
        <v>30</v>
      </c>
      <c r="B186" s="110"/>
      <c r="C186" s="27" t="s">
        <v>123</v>
      </c>
      <c r="D186" s="28"/>
      <c r="E186" s="100" t="s">
        <v>124</v>
      </c>
      <c r="F186" s="216"/>
      <c r="G186" s="30" t="s">
        <v>5</v>
      </c>
      <c r="H186" s="80"/>
      <c r="I186" s="39" t="s">
        <v>263</v>
      </c>
    </row>
    <row r="187" spans="1:9" ht="25.5" x14ac:dyDescent="0.2">
      <c r="A187" s="86"/>
      <c r="B187" s="110"/>
      <c r="C187" s="101"/>
      <c r="D187" s="10" t="s">
        <v>125</v>
      </c>
      <c r="E187" s="90" t="s">
        <v>126</v>
      </c>
      <c r="F187" s="217"/>
      <c r="G187" s="12" t="s">
        <v>5</v>
      </c>
      <c r="H187" s="80"/>
    </row>
    <row r="188" spans="1:9" ht="15" x14ac:dyDescent="0.2">
      <c r="A188" s="86"/>
      <c r="B188" s="110"/>
      <c r="C188" s="111"/>
      <c r="D188" s="112"/>
      <c r="E188" s="72"/>
      <c r="F188" s="113"/>
      <c r="G188" s="60"/>
      <c r="H188" s="181"/>
    </row>
    <row r="189" spans="1:9" ht="25.5" x14ac:dyDescent="0.2">
      <c r="A189" s="162">
        <f>MAX(A$2:A187)+1</f>
        <v>31</v>
      </c>
      <c r="B189" s="249"/>
      <c r="C189" s="164" t="s">
        <v>127</v>
      </c>
      <c r="D189" s="165"/>
      <c r="E189" s="258" t="s">
        <v>128</v>
      </c>
      <c r="F189" s="204"/>
      <c r="G189" s="167" t="s">
        <v>51</v>
      </c>
      <c r="H189" s="179">
        <f>F194</f>
        <v>13.539239999999999</v>
      </c>
    </row>
    <row r="190" spans="1:9" ht="25.5" x14ac:dyDescent="0.2">
      <c r="A190" s="199"/>
      <c r="B190" s="249"/>
      <c r="C190" s="200"/>
      <c r="D190" s="262" t="s">
        <v>129</v>
      </c>
      <c r="E190" s="263" t="s">
        <v>130</v>
      </c>
      <c r="F190" s="264"/>
      <c r="G190" s="175" t="s">
        <v>51</v>
      </c>
      <c r="H190" s="180"/>
    </row>
    <row r="191" spans="1:9" ht="39.75" x14ac:dyDescent="0.2">
      <c r="A191" s="199"/>
      <c r="B191" s="249"/>
      <c r="C191" s="200"/>
      <c r="D191" s="255"/>
      <c r="E191" s="74" t="s">
        <v>495</v>
      </c>
      <c r="F191" s="257"/>
      <c r="G191" s="175"/>
      <c r="H191" s="180"/>
    </row>
    <row r="192" spans="1:9" ht="15" x14ac:dyDescent="0.2">
      <c r="A192" s="199"/>
      <c r="B192" s="249"/>
      <c r="C192" s="200"/>
      <c r="D192" s="255"/>
      <c r="E192" s="177" t="s">
        <v>497</v>
      </c>
      <c r="F192" s="221">
        <f>((1*0.24)+(0.36*0.25))*(11.9+8.92)</f>
        <v>6.8705999999999996</v>
      </c>
      <c r="G192" s="175"/>
      <c r="H192" s="180"/>
    </row>
    <row r="193" spans="1:8" ht="15" x14ac:dyDescent="0.2">
      <c r="A193" s="199"/>
      <c r="B193" s="249"/>
      <c r="C193" s="200"/>
      <c r="D193" s="255"/>
      <c r="E193" s="177" t="s">
        <v>498</v>
      </c>
      <c r="F193" s="265">
        <f xml:space="preserve"> ((0.65*0.24)+(0.36*0.3))*(15.36+9.9)</f>
        <v>6.6686399999999999</v>
      </c>
      <c r="G193" s="175"/>
      <c r="H193" s="180"/>
    </row>
    <row r="194" spans="1:8" ht="15" x14ac:dyDescent="0.2">
      <c r="A194" s="199"/>
      <c r="B194" s="249"/>
      <c r="C194" s="260"/>
      <c r="D194" s="261"/>
      <c r="E194" s="197" t="s">
        <v>298</v>
      </c>
      <c r="F194" s="266">
        <f>SUM(F192:F193)</f>
        <v>13.539239999999999</v>
      </c>
      <c r="G194" s="175"/>
      <c r="H194" s="180"/>
    </row>
    <row r="195" spans="1:8" ht="15" x14ac:dyDescent="0.2">
      <c r="A195" s="86"/>
      <c r="B195" s="110"/>
      <c r="C195" s="111"/>
      <c r="D195" s="112"/>
      <c r="F195" s="113"/>
      <c r="G195" s="60"/>
      <c r="H195" s="181"/>
    </row>
    <row r="196" spans="1:8" ht="15" x14ac:dyDescent="0.2">
      <c r="A196" s="86"/>
      <c r="B196" s="110"/>
      <c r="C196" s="111"/>
      <c r="D196" s="112"/>
      <c r="E196" s="74" t="s">
        <v>253</v>
      </c>
      <c r="F196" s="113"/>
      <c r="G196" s="60"/>
      <c r="H196" s="181"/>
    </row>
    <row r="197" spans="1:8" ht="15" x14ac:dyDescent="0.2">
      <c r="A197" s="86"/>
      <c r="B197" s="110"/>
      <c r="C197" s="111"/>
      <c r="D197" s="112"/>
      <c r="E197" s="74" t="s">
        <v>496</v>
      </c>
      <c r="F197" s="113"/>
      <c r="G197" s="60"/>
      <c r="H197" s="181"/>
    </row>
    <row r="198" spans="1:8" ht="15" x14ac:dyDescent="0.2">
      <c r="A198" s="86"/>
      <c r="B198" s="110"/>
      <c r="C198" s="111"/>
      <c r="D198" s="112"/>
      <c r="E198" s="118"/>
      <c r="F198" s="113"/>
      <c r="G198" s="60"/>
      <c r="H198" s="181"/>
    </row>
    <row r="199" spans="1:8" ht="25.5" x14ac:dyDescent="0.2">
      <c r="A199" s="162">
        <f>MAX(A$2:A197)+1</f>
        <v>32</v>
      </c>
      <c r="B199" s="249"/>
      <c r="C199" s="164" t="s">
        <v>131</v>
      </c>
      <c r="D199" s="165"/>
      <c r="E199" s="258" t="s">
        <v>184</v>
      </c>
      <c r="F199" s="204"/>
      <c r="G199" s="167" t="s">
        <v>12</v>
      </c>
      <c r="H199" s="179">
        <f>F203</f>
        <v>41.644999999999996</v>
      </c>
    </row>
    <row r="200" spans="1:8" ht="25.5" x14ac:dyDescent="0.2">
      <c r="A200" s="199"/>
      <c r="B200" s="249"/>
      <c r="C200" s="200"/>
      <c r="D200" s="171" t="s">
        <v>132</v>
      </c>
      <c r="E200" s="259" t="s">
        <v>185</v>
      </c>
      <c r="F200" s="208"/>
      <c r="G200" s="173" t="s">
        <v>12</v>
      </c>
      <c r="H200" s="180"/>
    </row>
    <row r="201" spans="1:8" ht="25.5" x14ac:dyDescent="0.2">
      <c r="A201" s="199"/>
      <c r="B201" s="249"/>
      <c r="C201" s="260"/>
      <c r="D201" s="261"/>
      <c r="E201" s="177" t="s">
        <v>499</v>
      </c>
      <c r="F201" s="221">
        <f>((0.6+0.25)*(11.9+8.92))+2*((1*0.25)+(0.3*0.25))</f>
        <v>18.346999999999998</v>
      </c>
      <c r="G201" s="175"/>
      <c r="H201" s="180"/>
    </row>
    <row r="202" spans="1:8" ht="25.5" x14ac:dyDescent="0.2">
      <c r="A202" s="199"/>
      <c r="B202" s="249"/>
      <c r="C202" s="260"/>
      <c r="D202" s="261"/>
      <c r="E202" s="177" t="s">
        <v>500</v>
      </c>
      <c r="F202" s="265">
        <f>((0.6+0.3)*(15.36+9.94))+2*((0.65*0.24)+(0.36*0.3))</f>
        <v>23.297999999999995</v>
      </c>
      <c r="G202" s="175"/>
      <c r="H202" s="180"/>
    </row>
    <row r="203" spans="1:8" ht="15" x14ac:dyDescent="0.2">
      <c r="A203" s="199"/>
      <c r="B203" s="249"/>
      <c r="C203" s="260"/>
      <c r="D203" s="261"/>
      <c r="E203" s="177" t="s">
        <v>250</v>
      </c>
      <c r="F203" s="266">
        <f>SUM(F201:F202)</f>
        <v>41.644999999999996</v>
      </c>
      <c r="G203" s="175"/>
      <c r="H203" s="180"/>
    </row>
    <row r="204" spans="1:8" ht="15" x14ac:dyDescent="0.2">
      <c r="A204" s="86"/>
      <c r="B204" s="110"/>
      <c r="C204" s="111"/>
      <c r="D204" s="112"/>
      <c r="E204" s="75"/>
      <c r="F204" s="107"/>
      <c r="G204" s="60"/>
      <c r="H204" s="181"/>
    </row>
    <row r="205" spans="1:8" ht="25.5" x14ac:dyDescent="0.2">
      <c r="A205" s="62">
        <f>MAX(A$2:A203)+1</f>
        <v>33</v>
      </c>
      <c r="B205" s="110"/>
      <c r="C205" s="1" t="s">
        <v>346</v>
      </c>
      <c r="D205" s="2"/>
      <c r="E205" s="119" t="s">
        <v>347</v>
      </c>
      <c r="F205" s="209"/>
      <c r="G205" s="4" t="s">
        <v>12</v>
      </c>
      <c r="H205" s="182"/>
    </row>
    <row r="206" spans="1:8" ht="25.5" x14ac:dyDescent="0.2">
      <c r="A206" s="86"/>
      <c r="B206" s="110"/>
      <c r="C206" s="111"/>
      <c r="D206" s="5" t="s">
        <v>348</v>
      </c>
      <c r="E206" s="120" t="s">
        <v>349</v>
      </c>
      <c r="F206" s="210"/>
      <c r="G206" s="7" t="s">
        <v>12</v>
      </c>
      <c r="H206" s="181"/>
    </row>
    <row r="207" spans="1:8" ht="25.5" x14ac:dyDescent="0.2">
      <c r="A207" s="86"/>
      <c r="B207" s="110"/>
      <c r="C207" s="111"/>
      <c r="D207" s="112"/>
      <c r="E207" s="75" t="s">
        <v>350</v>
      </c>
      <c r="F207" s="107"/>
      <c r="G207" s="60"/>
      <c r="H207" s="181"/>
    </row>
    <row r="208" spans="1:8" ht="15" x14ac:dyDescent="0.2">
      <c r="A208" s="86"/>
      <c r="B208" s="110"/>
      <c r="C208" s="111"/>
      <c r="D208" s="112"/>
      <c r="E208" s="75" t="s">
        <v>351</v>
      </c>
      <c r="F208" s="107"/>
      <c r="G208" s="60"/>
      <c r="H208" s="181"/>
    </row>
    <row r="209" spans="1:8" ht="15" x14ac:dyDescent="0.2">
      <c r="A209" s="86"/>
      <c r="B209" s="110"/>
      <c r="C209" s="111"/>
      <c r="D209" s="112"/>
      <c r="E209" s="75" t="s">
        <v>352</v>
      </c>
      <c r="F209" s="129"/>
      <c r="G209" s="60"/>
      <c r="H209" s="181"/>
    </row>
    <row r="210" spans="1:8" ht="15" x14ac:dyDescent="0.2">
      <c r="A210" s="86"/>
      <c r="B210" s="110"/>
      <c r="C210" s="111"/>
      <c r="D210" s="112"/>
      <c r="E210" s="77" t="s">
        <v>298</v>
      </c>
      <c r="F210" s="107">
        <f>SUM(F208:F209)</f>
        <v>0</v>
      </c>
      <c r="G210" s="60"/>
      <c r="H210" s="181"/>
    </row>
    <row r="211" spans="1:8" ht="15" x14ac:dyDescent="0.2">
      <c r="A211" s="86"/>
      <c r="B211" s="110"/>
      <c r="C211" s="111"/>
      <c r="D211" s="112"/>
      <c r="E211" s="75"/>
      <c r="F211" s="107"/>
      <c r="G211" s="60"/>
      <c r="H211" s="181"/>
    </row>
    <row r="212" spans="1:8" ht="25.5" x14ac:dyDescent="0.2">
      <c r="A212" s="162">
        <f>MAX(A$2:A210)+1</f>
        <v>34</v>
      </c>
      <c r="B212" s="249"/>
      <c r="C212" s="164" t="s">
        <v>133</v>
      </c>
      <c r="D212" s="165"/>
      <c r="E212" s="258" t="s">
        <v>186</v>
      </c>
      <c r="F212" s="204"/>
      <c r="G212" s="167" t="s">
        <v>5</v>
      </c>
      <c r="H212" s="179">
        <f>F214</f>
        <v>1.62</v>
      </c>
    </row>
    <row r="213" spans="1:8" ht="25.5" x14ac:dyDescent="0.2">
      <c r="A213" s="199"/>
      <c r="B213" s="249"/>
      <c r="C213" s="200"/>
      <c r="D213" s="171" t="s">
        <v>134</v>
      </c>
      <c r="E213" s="259" t="s">
        <v>187</v>
      </c>
      <c r="F213" s="208"/>
      <c r="G213" s="173" t="s">
        <v>5</v>
      </c>
      <c r="H213" s="180"/>
    </row>
    <row r="214" spans="1:8" ht="15" x14ac:dyDescent="0.2">
      <c r="A214" s="199"/>
      <c r="B214" s="249"/>
      <c r="C214" s="260"/>
      <c r="D214" s="261"/>
      <c r="E214" s="177" t="s">
        <v>251</v>
      </c>
      <c r="F214" s="73">
        <v>1.62</v>
      </c>
      <c r="G214" s="175"/>
      <c r="H214" s="180"/>
    </row>
    <row r="215" spans="1:8" ht="15" x14ac:dyDescent="0.2">
      <c r="A215" s="86"/>
      <c r="B215" s="110"/>
      <c r="C215" s="111"/>
      <c r="D215" s="112"/>
      <c r="E215" s="118"/>
      <c r="F215" s="113"/>
      <c r="G215" s="60"/>
      <c r="H215" s="181"/>
    </row>
    <row r="216" spans="1:8" ht="25.5" x14ac:dyDescent="0.2">
      <c r="A216" s="62">
        <f>MAX(A$2:A214)+1</f>
        <v>35</v>
      </c>
      <c r="B216" s="110"/>
      <c r="C216" s="1" t="s">
        <v>135</v>
      </c>
      <c r="D216" s="2"/>
      <c r="E216" s="19" t="s">
        <v>188</v>
      </c>
      <c r="F216" s="209"/>
      <c r="G216" s="4" t="s">
        <v>51</v>
      </c>
      <c r="H216" s="83"/>
    </row>
    <row r="217" spans="1:8" ht="25.5" x14ac:dyDescent="0.2">
      <c r="A217" s="86"/>
      <c r="B217" s="110"/>
      <c r="C217" s="66"/>
      <c r="D217" s="126" t="s">
        <v>344</v>
      </c>
      <c r="E217" s="115" t="s">
        <v>345</v>
      </c>
      <c r="F217" s="232"/>
      <c r="G217" s="7" t="s">
        <v>51</v>
      </c>
      <c r="H217" s="84"/>
    </row>
    <row r="218" spans="1:8" ht="15" x14ac:dyDescent="0.2">
      <c r="A218" s="86"/>
      <c r="B218" s="110"/>
      <c r="C218" s="111"/>
      <c r="D218" s="112"/>
      <c r="E218" s="72" t="s">
        <v>355</v>
      </c>
      <c r="F218" s="67"/>
      <c r="G218" s="60"/>
      <c r="H218" s="84"/>
    </row>
    <row r="219" spans="1:8" ht="15" x14ac:dyDescent="0.2">
      <c r="A219" s="86"/>
      <c r="B219" s="110"/>
      <c r="C219" s="111"/>
      <c r="D219" s="112"/>
      <c r="E219" s="72" t="s">
        <v>356</v>
      </c>
      <c r="F219" s="67"/>
      <c r="G219" s="60"/>
      <c r="H219" s="84"/>
    </row>
    <row r="220" spans="1:8" ht="15" x14ac:dyDescent="0.2">
      <c r="A220" s="86"/>
      <c r="B220" s="110"/>
      <c r="C220" s="111"/>
      <c r="D220" s="112"/>
      <c r="E220" s="72" t="s">
        <v>357</v>
      </c>
      <c r="F220" s="117"/>
      <c r="G220" s="60"/>
      <c r="H220" s="84"/>
    </row>
    <row r="221" spans="1:8" ht="15" x14ac:dyDescent="0.2">
      <c r="A221" s="86"/>
      <c r="B221" s="110"/>
      <c r="C221" s="111"/>
      <c r="D221" s="112"/>
      <c r="E221" s="77" t="s">
        <v>298</v>
      </c>
      <c r="F221" s="67">
        <f>SUM(F218:F220)</f>
        <v>0</v>
      </c>
      <c r="G221" s="60"/>
      <c r="H221" s="84"/>
    </row>
    <row r="222" spans="1:8" ht="15" x14ac:dyDescent="0.2">
      <c r="A222" s="86"/>
      <c r="B222" s="110"/>
      <c r="C222" s="111"/>
      <c r="D222" s="112"/>
      <c r="E222" s="118"/>
      <c r="F222" s="113"/>
      <c r="G222" s="60"/>
      <c r="H222" s="84"/>
    </row>
    <row r="223" spans="1:8" ht="25.5" x14ac:dyDescent="0.2">
      <c r="A223" s="62">
        <f>MAX(A$2:A221)+1</f>
        <v>36</v>
      </c>
      <c r="B223" s="110"/>
      <c r="C223" s="1" t="s">
        <v>136</v>
      </c>
      <c r="D223" s="2"/>
      <c r="E223" s="119" t="s">
        <v>137</v>
      </c>
      <c r="F223" s="209"/>
      <c r="G223" s="4" t="s">
        <v>12</v>
      </c>
      <c r="H223" s="83"/>
    </row>
    <row r="224" spans="1:8" ht="25.5" x14ac:dyDescent="0.2">
      <c r="A224" s="86"/>
      <c r="B224" s="110"/>
      <c r="C224" s="66"/>
      <c r="D224" s="5" t="s">
        <v>138</v>
      </c>
      <c r="E224" s="120" t="s">
        <v>139</v>
      </c>
      <c r="F224" s="210"/>
      <c r="G224" s="7" t="s">
        <v>12</v>
      </c>
      <c r="H224" s="84"/>
    </row>
    <row r="225" spans="1:8" ht="15" x14ac:dyDescent="0.2">
      <c r="A225" s="86"/>
      <c r="B225" s="110"/>
      <c r="C225" s="111"/>
      <c r="D225" s="112"/>
      <c r="E225" s="72" t="s">
        <v>358</v>
      </c>
      <c r="F225" s="67"/>
      <c r="G225" s="60"/>
      <c r="H225" s="84"/>
    </row>
    <row r="226" spans="1:8" ht="15" x14ac:dyDescent="0.2">
      <c r="A226" s="86"/>
      <c r="B226" s="110"/>
      <c r="C226" s="111"/>
      <c r="D226" s="112"/>
      <c r="E226" s="72" t="s">
        <v>359</v>
      </c>
      <c r="F226" s="67"/>
      <c r="G226" s="60"/>
      <c r="H226" s="84"/>
    </row>
    <row r="227" spans="1:8" ht="15" x14ac:dyDescent="0.2">
      <c r="A227" s="86"/>
      <c r="B227" s="110"/>
      <c r="C227" s="111"/>
      <c r="D227" s="112"/>
      <c r="E227" s="72" t="s">
        <v>416</v>
      </c>
      <c r="F227" s="117"/>
      <c r="G227" s="60"/>
      <c r="H227" s="84"/>
    </row>
    <row r="228" spans="1:8" ht="15" x14ac:dyDescent="0.2">
      <c r="A228" s="86"/>
      <c r="B228" s="110"/>
      <c r="C228" s="111"/>
      <c r="D228" s="112"/>
      <c r="E228" s="77" t="s">
        <v>298</v>
      </c>
      <c r="F228" s="67">
        <f>SUM(F225:F227)</f>
        <v>0</v>
      </c>
      <c r="G228" s="60"/>
      <c r="H228" s="84"/>
    </row>
    <row r="229" spans="1:8" ht="15" x14ac:dyDescent="0.2">
      <c r="A229" s="86"/>
      <c r="B229" s="110"/>
      <c r="C229" s="111"/>
      <c r="D229" s="112"/>
      <c r="E229" s="72"/>
      <c r="F229" s="113"/>
      <c r="G229" s="60"/>
      <c r="H229" s="84"/>
    </row>
    <row r="230" spans="1:8" ht="25.5" x14ac:dyDescent="0.2">
      <c r="A230" s="62">
        <f>MAX(A$2:A228)+1</f>
        <v>37</v>
      </c>
      <c r="B230" s="110"/>
      <c r="C230" s="1" t="s">
        <v>140</v>
      </c>
      <c r="D230" s="2"/>
      <c r="E230" s="119" t="s">
        <v>141</v>
      </c>
      <c r="F230" s="209"/>
      <c r="G230" s="4" t="s">
        <v>5</v>
      </c>
      <c r="H230" s="83"/>
    </row>
    <row r="231" spans="1:8" ht="25.5" x14ac:dyDescent="0.2">
      <c r="A231" s="86"/>
      <c r="B231" s="110"/>
      <c r="C231" s="66"/>
      <c r="D231" s="5" t="s">
        <v>142</v>
      </c>
      <c r="E231" s="120" t="s">
        <v>143</v>
      </c>
      <c r="F231" s="210"/>
      <c r="G231" s="7" t="s">
        <v>5</v>
      </c>
      <c r="H231" s="84"/>
    </row>
    <row r="232" spans="1:8" ht="15" x14ac:dyDescent="0.2">
      <c r="A232" s="86"/>
      <c r="B232" s="110"/>
      <c r="C232" s="111"/>
      <c r="D232" s="112"/>
      <c r="E232" s="75" t="s">
        <v>251</v>
      </c>
      <c r="F232" s="113"/>
      <c r="G232" s="60"/>
      <c r="H232" s="84"/>
    </row>
    <row r="233" spans="1:8" ht="15" x14ac:dyDescent="0.2">
      <c r="A233" s="86"/>
      <c r="B233" s="110"/>
      <c r="C233" s="111"/>
      <c r="D233" s="112"/>
      <c r="E233" s="72" t="s">
        <v>354</v>
      </c>
      <c r="F233" s="67"/>
      <c r="G233" s="60"/>
      <c r="H233" s="84"/>
    </row>
    <row r="234" spans="1:8" ht="15" x14ac:dyDescent="0.2">
      <c r="A234" s="86"/>
      <c r="B234" s="110"/>
      <c r="C234" s="111"/>
      <c r="D234" s="112"/>
      <c r="E234" s="72" t="s">
        <v>353</v>
      </c>
      <c r="F234" s="117"/>
      <c r="G234" s="60"/>
      <c r="H234" s="84"/>
    </row>
    <row r="235" spans="1:8" ht="15" x14ac:dyDescent="0.2">
      <c r="A235" s="86"/>
      <c r="B235" s="110"/>
      <c r="C235" s="111"/>
      <c r="D235" s="112"/>
      <c r="E235" s="77" t="s">
        <v>298</v>
      </c>
      <c r="F235" s="67">
        <f>SUM(F233:F234)</f>
        <v>0</v>
      </c>
      <c r="G235" s="60"/>
      <c r="H235" s="84"/>
    </row>
    <row r="236" spans="1:8" ht="15" x14ac:dyDescent="0.2">
      <c r="A236" s="86"/>
      <c r="B236" s="110"/>
      <c r="C236" s="111"/>
      <c r="D236" s="112"/>
      <c r="E236" s="118"/>
      <c r="F236" s="113"/>
      <c r="G236" s="60"/>
      <c r="H236" s="84"/>
    </row>
    <row r="237" spans="1:8" ht="25.5" x14ac:dyDescent="0.2">
      <c r="A237" s="162">
        <f>MAX(A$2:A235)+1</f>
        <v>38</v>
      </c>
      <c r="B237" s="249"/>
      <c r="C237" s="164" t="s">
        <v>144</v>
      </c>
      <c r="D237" s="165"/>
      <c r="E237" s="258" t="s">
        <v>189</v>
      </c>
      <c r="F237" s="204"/>
      <c r="G237" s="167" t="s">
        <v>51</v>
      </c>
      <c r="H237" s="179">
        <f>F240</f>
        <v>11.0466</v>
      </c>
    </row>
    <row r="238" spans="1:8" ht="25.5" x14ac:dyDescent="0.2">
      <c r="A238" s="199"/>
      <c r="B238" s="249"/>
      <c r="C238" s="200"/>
      <c r="D238" s="262" t="s">
        <v>360</v>
      </c>
      <c r="E238" s="263" t="s">
        <v>361</v>
      </c>
      <c r="F238" s="264"/>
      <c r="G238" s="175" t="s">
        <v>51</v>
      </c>
      <c r="H238" s="180"/>
    </row>
    <row r="239" spans="1:8" ht="15" x14ac:dyDescent="0.2">
      <c r="A239" s="199"/>
      <c r="B239" s="249"/>
      <c r="C239" s="260"/>
      <c r="D239" s="261"/>
      <c r="E239" s="74" t="s">
        <v>501</v>
      </c>
      <c r="F239" s="73">
        <f>9.5*6.46*0.18</f>
        <v>11.0466</v>
      </c>
      <c r="G239" s="175"/>
      <c r="H239" s="180"/>
    </row>
    <row r="240" spans="1:8" ht="15" x14ac:dyDescent="0.2">
      <c r="A240" s="86"/>
      <c r="B240" s="110"/>
      <c r="C240" s="111"/>
      <c r="D240" s="112"/>
      <c r="E240" s="77" t="s">
        <v>298</v>
      </c>
      <c r="F240" s="67">
        <f>SUM(F239:F239)</f>
        <v>11.0466</v>
      </c>
      <c r="G240" s="60"/>
      <c r="H240" s="181"/>
    </row>
    <row r="241" spans="1:9" ht="15" x14ac:dyDescent="0.2">
      <c r="A241" s="86"/>
      <c r="B241" s="110"/>
      <c r="C241" s="111"/>
      <c r="D241" s="112"/>
      <c r="E241" s="72"/>
      <c r="F241" s="113"/>
      <c r="G241" s="60"/>
      <c r="H241" s="181"/>
    </row>
    <row r="242" spans="1:9" ht="25.5" x14ac:dyDescent="0.2">
      <c r="A242" s="162">
        <f>MAX(A$2:A241)+1</f>
        <v>39</v>
      </c>
      <c r="B242" s="249"/>
      <c r="C242" s="164" t="s">
        <v>145</v>
      </c>
      <c r="D242" s="165"/>
      <c r="E242" s="258" t="s">
        <v>190</v>
      </c>
      <c r="F242" s="204"/>
      <c r="G242" s="167" t="s">
        <v>12</v>
      </c>
      <c r="H242" s="179">
        <f>F244</f>
        <v>6.8400000000000007</v>
      </c>
    </row>
    <row r="243" spans="1:9" ht="25.5" x14ac:dyDescent="0.2">
      <c r="A243" s="199"/>
      <c r="B243" s="249"/>
      <c r="C243" s="200"/>
      <c r="D243" s="171" t="s">
        <v>146</v>
      </c>
      <c r="E243" s="259" t="s">
        <v>191</v>
      </c>
      <c r="F243" s="208"/>
      <c r="G243" s="173" t="s">
        <v>12</v>
      </c>
      <c r="H243" s="180"/>
    </row>
    <row r="244" spans="1:9" ht="15" x14ac:dyDescent="0.2">
      <c r="A244" s="86"/>
      <c r="B244" s="110"/>
      <c r="C244" s="111"/>
      <c r="D244" s="112"/>
      <c r="E244" s="74" t="s">
        <v>582</v>
      </c>
      <c r="F244" s="73">
        <f>(10.6+10.6+6.5+6.5)*0.2</f>
        <v>6.8400000000000007</v>
      </c>
      <c r="G244" s="60"/>
      <c r="H244" s="181"/>
    </row>
    <row r="245" spans="1:9" ht="15" x14ac:dyDescent="0.2">
      <c r="A245" s="86"/>
      <c r="B245" s="110"/>
      <c r="C245" s="111"/>
      <c r="D245" s="112"/>
      <c r="E245" s="118"/>
      <c r="F245" s="113"/>
      <c r="G245" s="60"/>
      <c r="H245" s="181"/>
    </row>
    <row r="246" spans="1:9" ht="25.5" x14ac:dyDescent="0.2">
      <c r="A246" s="162">
        <f>MAX(A$2:A244)+1</f>
        <v>40</v>
      </c>
      <c r="B246" s="249"/>
      <c r="C246" s="164" t="s">
        <v>147</v>
      </c>
      <c r="D246" s="165"/>
      <c r="E246" s="258" t="s">
        <v>192</v>
      </c>
      <c r="F246" s="204"/>
      <c r="G246" s="167" t="s">
        <v>5</v>
      </c>
      <c r="H246" s="179">
        <f>F251</f>
        <v>1.5229999999999999</v>
      </c>
    </row>
    <row r="247" spans="1:9" ht="25.5" x14ac:dyDescent="0.2">
      <c r="A247" s="199"/>
      <c r="B247" s="249"/>
      <c r="C247" s="200"/>
      <c r="D247" s="171" t="s">
        <v>148</v>
      </c>
      <c r="E247" s="259" t="s">
        <v>193</v>
      </c>
      <c r="F247" s="208"/>
      <c r="G247" s="173" t="s">
        <v>5</v>
      </c>
      <c r="H247" s="180"/>
    </row>
    <row r="248" spans="1:9" ht="15" x14ac:dyDescent="0.2">
      <c r="A248" s="199"/>
      <c r="B248" s="249"/>
      <c r="C248" s="260"/>
      <c r="D248" s="261"/>
      <c r="E248" s="177" t="s">
        <v>583</v>
      </c>
      <c r="F248" s="73">
        <v>0.35699999999999998</v>
      </c>
      <c r="G248" s="175"/>
      <c r="H248" s="180"/>
    </row>
    <row r="249" spans="1:9" ht="25.5" x14ac:dyDescent="0.2">
      <c r="A249" s="199"/>
      <c r="B249" s="249"/>
      <c r="C249" s="260"/>
      <c r="D249" s="171" t="s">
        <v>362</v>
      </c>
      <c r="E249" s="259" t="s">
        <v>363</v>
      </c>
      <c r="F249" s="208"/>
      <c r="G249" s="173" t="s">
        <v>5</v>
      </c>
      <c r="H249" s="180"/>
    </row>
    <row r="250" spans="1:9" ht="15" x14ac:dyDescent="0.2">
      <c r="A250" s="199"/>
      <c r="B250" s="249"/>
      <c r="C250" s="260"/>
      <c r="D250" s="261"/>
      <c r="E250" s="74" t="s">
        <v>502</v>
      </c>
      <c r="F250" s="248">
        <v>1.1659999999999999</v>
      </c>
      <c r="G250" s="175"/>
      <c r="H250" s="180"/>
    </row>
    <row r="251" spans="1:9" ht="15" x14ac:dyDescent="0.2">
      <c r="A251" s="199"/>
      <c r="B251" s="249"/>
      <c r="C251" s="260"/>
      <c r="D251" s="261"/>
      <c r="E251" s="197" t="s">
        <v>298</v>
      </c>
      <c r="F251" s="73">
        <f>F248+F250</f>
        <v>1.5229999999999999</v>
      </c>
      <c r="G251" s="175"/>
      <c r="H251" s="180"/>
    </row>
    <row r="252" spans="1:9" ht="15" x14ac:dyDescent="0.2">
      <c r="A252" s="86"/>
      <c r="B252" s="110"/>
      <c r="C252" s="111"/>
      <c r="D252" s="112"/>
      <c r="E252" s="77"/>
      <c r="F252" s="67"/>
      <c r="G252" s="60"/>
      <c r="H252" s="84"/>
    </row>
    <row r="253" spans="1:9" ht="25.5" x14ac:dyDescent="0.2">
      <c r="A253" s="62">
        <f>MAX(A$2:A252)+1</f>
        <v>41</v>
      </c>
      <c r="B253" s="110"/>
      <c r="C253" s="27" t="s">
        <v>194</v>
      </c>
      <c r="D253" s="28"/>
      <c r="E253" s="100" t="s">
        <v>195</v>
      </c>
      <c r="F253" s="216"/>
      <c r="G253" s="30" t="s">
        <v>8</v>
      </c>
      <c r="H253" s="80"/>
      <c r="I253" s="39" t="s">
        <v>258</v>
      </c>
    </row>
    <row r="254" spans="1:9" ht="25.5" x14ac:dyDescent="0.2">
      <c r="A254" s="86"/>
      <c r="B254" s="110"/>
      <c r="C254" s="101"/>
      <c r="D254" s="10" t="s">
        <v>196</v>
      </c>
      <c r="E254" s="90" t="s">
        <v>197</v>
      </c>
      <c r="F254" s="217"/>
      <c r="G254" s="12" t="s">
        <v>8</v>
      </c>
      <c r="H254" s="80"/>
      <c r="I254" s="39" t="s">
        <v>258</v>
      </c>
    </row>
    <row r="255" spans="1:9" ht="25.5" x14ac:dyDescent="0.2">
      <c r="A255" s="86"/>
      <c r="B255" s="110"/>
      <c r="C255" s="101"/>
      <c r="D255" s="10" t="s">
        <v>198</v>
      </c>
      <c r="E255" s="90" t="s">
        <v>199</v>
      </c>
      <c r="F255" s="217"/>
      <c r="G255" s="12" t="s">
        <v>8</v>
      </c>
      <c r="H255" s="80"/>
      <c r="I255" s="39" t="s">
        <v>258</v>
      </c>
    </row>
    <row r="256" spans="1:9" ht="25.5" x14ac:dyDescent="0.2">
      <c r="A256" s="86"/>
      <c r="B256" s="110"/>
      <c r="C256" s="101"/>
      <c r="D256" s="10" t="s">
        <v>200</v>
      </c>
      <c r="E256" s="90" t="s">
        <v>201</v>
      </c>
      <c r="F256" s="217"/>
      <c r="G256" s="12" t="s">
        <v>8</v>
      </c>
      <c r="H256" s="80"/>
      <c r="I256" s="39" t="s">
        <v>258</v>
      </c>
    </row>
    <row r="257" spans="1:9" ht="25.5" x14ac:dyDescent="0.2">
      <c r="A257" s="86"/>
      <c r="B257" s="110"/>
      <c r="C257" s="101"/>
      <c r="D257" s="10" t="s">
        <v>202</v>
      </c>
      <c r="E257" s="90" t="s">
        <v>203</v>
      </c>
      <c r="F257" s="217"/>
      <c r="G257" s="12" t="s">
        <v>8</v>
      </c>
      <c r="H257" s="80"/>
      <c r="I257" s="39" t="s">
        <v>258</v>
      </c>
    </row>
    <row r="258" spans="1:9" ht="15" x14ac:dyDescent="0.2">
      <c r="A258" s="86"/>
      <c r="B258" s="110"/>
      <c r="C258" s="101"/>
      <c r="D258" s="10"/>
      <c r="E258" s="90"/>
      <c r="F258" s="217"/>
      <c r="G258" s="12"/>
      <c r="H258" s="80"/>
    </row>
    <row r="259" spans="1:9" ht="38.25" x14ac:dyDescent="0.2">
      <c r="A259" s="86"/>
      <c r="B259" s="110"/>
      <c r="C259" s="101"/>
      <c r="D259" s="10"/>
      <c r="E259" s="102" t="s">
        <v>255</v>
      </c>
      <c r="F259" s="217"/>
      <c r="G259" s="12"/>
      <c r="H259" s="80"/>
    </row>
    <row r="260" spans="1:9" ht="15" x14ac:dyDescent="0.2">
      <c r="A260" s="86"/>
      <c r="B260" s="110"/>
      <c r="C260" s="66"/>
      <c r="D260" s="25"/>
      <c r="E260" s="106"/>
      <c r="F260" s="227"/>
      <c r="G260" s="26"/>
      <c r="H260" s="84"/>
    </row>
    <row r="261" spans="1:9" ht="25.5" x14ac:dyDescent="0.2">
      <c r="A261" s="62">
        <f>MAX(A$2:A259)+1</f>
        <v>42</v>
      </c>
      <c r="B261" s="110"/>
      <c r="C261" s="1" t="s">
        <v>204</v>
      </c>
      <c r="D261" s="2"/>
      <c r="E261" s="119" t="s">
        <v>205</v>
      </c>
      <c r="F261" s="209"/>
      <c r="G261" s="4" t="s">
        <v>25</v>
      </c>
      <c r="H261" s="83">
        <f>F265</f>
        <v>0</v>
      </c>
    </row>
    <row r="262" spans="1:9" ht="25.5" x14ac:dyDescent="0.2">
      <c r="A262" s="86"/>
      <c r="B262" s="110"/>
      <c r="C262" s="66"/>
      <c r="D262" s="5" t="s">
        <v>206</v>
      </c>
      <c r="E262" s="120" t="s">
        <v>207</v>
      </c>
      <c r="F262" s="210"/>
      <c r="G262" s="7" t="s">
        <v>25</v>
      </c>
      <c r="H262" s="84"/>
    </row>
    <row r="263" spans="1:9" ht="15" x14ac:dyDescent="0.2">
      <c r="A263" s="86"/>
      <c r="B263" s="110"/>
      <c r="C263" s="111"/>
      <c r="D263" s="112"/>
      <c r="E263" s="75" t="s">
        <v>366</v>
      </c>
      <c r="F263" s="67"/>
      <c r="G263" s="60"/>
      <c r="H263" s="84"/>
    </row>
    <row r="264" spans="1:9" ht="15" x14ac:dyDescent="0.2">
      <c r="A264" s="86"/>
      <c r="B264" s="110"/>
      <c r="C264" s="111"/>
      <c r="D264" s="112"/>
      <c r="E264" s="75" t="s">
        <v>365</v>
      </c>
      <c r="F264" s="117"/>
      <c r="G264" s="60"/>
      <c r="H264" s="84"/>
    </row>
    <row r="265" spans="1:9" ht="15" x14ac:dyDescent="0.2">
      <c r="A265" s="86"/>
      <c r="B265" s="110"/>
      <c r="C265" s="111"/>
      <c r="D265" s="112"/>
      <c r="E265" s="77" t="s">
        <v>298</v>
      </c>
      <c r="F265" s="67">
        <f>SUM(F263:F264)</f>
        <v>0</v>
      </c>
      <c r="G265" s="60"/>
      <c r="H265" s="84"/>
    </row>
    <row r="266" spans="1:9" ht="15" x14ac:dyDescent="0.2">
      <c r="A266" s="86"/>
      <c r="B266" s="110"/>
      <c r="C266" s="111"/>
      <c r="D266" s="112"/>
      <c r="E266" s="118"/>
      <c r="F266" s="113"/>
      <c r="G266" s="60"/>
      <c r="H266" s="84"/>
    </row>
    <row r="267" spans="1:9" ht="25.5" x14ac:dyDescent="0.2">
      <c r="A267" s="62">
        <f>MAX(A$2:A265)+1</f>
        <v>43</v>
      </c>
      <c r="B267" s="267"/>
      <c r="C267" s="1" t="s">
        <v>208</v>
      </c>
      <c r="D267" s="2"/>
      <c r="E267" s="119" t="s">
        <v>209</v>
      </c>
      <c r="F267" s="209"/>
      <c r="G267" s="4" t="s">
        <v>51</v>
      </c>
      <c r="H267" s="268">
        <f>F268</f>
        <v>0</v>
      </c>
    </row>
    <row r="268" spans="1:9" ht="15" x14ac:dyDescent="0.2">
      <c r="A268" s="86"/>
      <c r="B268" s="267"/>
      <c r="C268" s="269"/>
      <c r="D268" s="270"/>
      <c r="E268" s="77" t="s">
        <v>298</v>
      </c>
      <c r="F268" s="67"/>
      <c r="G268" s="60"/>
      <c r="H268" s="181"/>
    </row>
    <row r="269" spans="1:9" ht="15" x14ac:dyDescent="0.2">
      <c r="A269" s="86"/>
      <c r="B269" s="110"/>
      <c r="C269" s="111"/>
      <c r="D269" s="112"/>
      <c r="E269" s="24"/>
      <c r="F269" s="113"/>
      <c r="G269" s="60"/>
      <c r="H269" s="84"/>
    </row>
    <row r="270" spans="1:9" ht="15" x14ac:dyDescent="0.2">
      <c r="A270" s="62">
        <f>MAX(A$2:A268)+1</f>
        <v>44</v>
      </c>
      <c r="B270" s="110"/>
      <c r="C270" s="1" t="s">
        <v>210</v>
      </c>
      <c r="D270" s="2"/>
      <c r="E270" s="119" t="s">
        <v>211</v>
      </c>
      <c r="F270" s="209"/>
      <c r="G270" s="4" t="s">
        <v>25</v>
      </c>
      <c r="H270" s="83">
        <f>F274</f>
        <v>0</v>
      </c>
    </row>
    <row r="271" spans="1:9" ht="15" x14ac:dyDescent="0.2">
      <c r="A271" s="86"/>
      <c r="B271" s="110"/>
      <c r="C271" s="18"/>
      <c r="D271" s="5" t="s">
        <v>212</v>
      </c>
      <c r="E271" s="120" t="s">
        <v>213</v>
      </c>
      <c r="F271" s="210"/>
      <c r="G271" s="7" t="s">
        <v>25</v>
      </c>
      <c r="H271" s="84"/>
    </row>
    <row r="272" spans="1:9" ht="25.5" x14ac:dyDescent="0.2">
      <c r="A272" s="86"/>
      <c r="B272" s="110"/>
      <c r="C272" s="18"/>
      <c r="D272" s="25"/>
      <c r="E272" s="75" t="s">
        <v>368</v>
      </c>
      <c r="F272" s="233"/>
      <c r="G272" s="26"/>
      <c r="H272" s="84"/>
    </row>
    <row r="273" spans="1:8" ht="25.5" x14ac:dyDescent="0.2">
      <c r="A273" s="86"/>
      <c r="B273" s="110"/>
      <c r="C273" s="18"/>
      <c r="D273" s="25"/>
      <c r="E273" s="75" t="s">
        <v>369</v>
      </c>
      <c r="F273" s="234"/>
      <c r="G273" s="26"/>
      <c r="H273" s="84"/>
    </row>
    <row r="274" spans="1:8" ht="15" x14ac:dyDescent="0.2">
      <c r="A274" s="86"/>
      <c r="B274" s="110"/>
      <c r="C274" s="18"/>
      <c r="D274" s="25"/>
      <c r="E274" s="77" t="s">
        <v>298</v>
      </c>
      <c r="F274" s="233">
        <f>SUM(F272:F273)</f>
        <v>0</v>
      </c>
      <c r="G274" s="26"/>
      <c r="H274" s="84"/>
    </row>
    <row r="275" spans="1:8" ht="38.25" x14ac:dyDescent="0.2">
      <c r="A275" s="86"/>
      <c r="B275" s="110"/>
      <c r="C275" s="18"/>
      <c r="D275" s="25"/>
      <c r="E275" s="75" t="s">
        <v>264</v>
      </c>
      <c r="F275" s="227"/>
      <c r="G275" s="26"/>
      <c r="H275" s="84"/>
    </row>
    <row r="276" spans="1:8" ht="15" x14ac:dyDescent="0.2">
      <c r="A276" s="86"/>
      <c r="B276" s="110"/>
      <c r="C276" s="17"/>
      <c r="D276" s="18"/>
      <c r="E276" s="130"/>
      <c r="F276" s="226"/>
      <c r="G276" s="20"/>
      <c r="H276" s="181"/>
    </row>
    <row r="277" spans="1:8" ht="15" x14ac:dyDescent="0.2">
      <c r="A277" s="162">
        <f>MAX(A$2:A276)+1</f>
        <v>45</v>
      </c>
      <c r="B277" s="249"/>
      <c r="C277" s="164" t="s">
        <v>370</v>
      </c>
      <c r="D277" s="165"/>
      <c r="E277" s="258" t="s">
        <v>371</v>
      </c>
      <c r="F277" s="204"/>
      <c r="G277" s="167" t="s">
        <v>25</v>
      </c>
      <c r="H277" s="179">
        <f>F278</f>
        <v>20.21</v>
      </c>
    </row>
    <row r="278" spans="1:8" ht="15" x14ac:dyDescent="0.2">
      <c r="A278" s="199"/>
      <c r="B278" s="249"/>
      <c r="C278" s="250"/>
      <c r="D278" s="251"/>
      <c r="E278" s="177" t="s">
        <v>513</v>
      </c>
      <c r="F278" s="279">
        <f>11.9+8.31</f>
        <v>20.21</v>
      </c>
      <c r="G278" s="254"/>
      <c r="H278" s="180"/>
    </row>
    <row r="279" spans="1:8" ht="15" x14ac:dyDescent="0.2">
      <c r="A279" s="199"/>
      <c r="B279" s="249"/>
      <c r="C279" s="250"/>
      <c r="D279" s="251"/>
      <c r="E279" s="177" t="s">
        <v>584</v>
      </c>
      <c r="F279" s="280"/>
      <c r="G279" s="254"/>
      <c r="H279" s="180"/>
    </row>
    <row r="280" spans="1:8" ht="25.5" x14ac:dyDescent="0.2">
      <c r="A280" s="199"/>
      <c r="B280" s="249"/>
      <c r="C280" s="250"/>
      <c r="D280" s="251"/>
      <c r="E280" s="177" t="s">
        <v>585</v>
      </c>
      <c r="F280" s="253"/>
      <c r="G280" s="254"/>
      <c r="H280" s="180"/>
    </row>
    <row r="281" spans="1:8" ht="15" x14ac:dyDescent="0.2">
      <c r="A281" s="86"/>
      <c r="B281" s="110"/>
      <c r="C281" s="17"/>
      <c r="D281" s="18"/>
      <c r="E281" s="103"/>
      <c r="F281" s="226"/>
      <c r="G281" s="20"/>
      <c r="H281" s="58"/>
    </row>
    <row r="282" spans="1:8" ht="25.5" x14ac:dyDescent="0.2">
      <c r="A282" s="162">
        <f>MAX(A$2:A280)+1</f>
        <v>46</v>
      </c>
      <c r="B282" s="249"/>
      <c r="C282" s="183" t="s">
        <v>214</v>
      </c>
      <c r="D282" s="184"/>
      <c r="E282" s="275" t="s">
        <v>215</v>
      </c>
      <c r="F282" s="211"/>
      <c r="G282" s="186" t="s">
        <v>8</v>
      </c>
      <c r="H282" s="179">
        <f>F283</f>
        <v>1</v>
      </c>
    </row>
    <row r="283" spans="1:8" ht="25.5" x14ac:dyDescent="0.2">
      <c r="A283" s="199"/>
      <c r="B283" s="249"/>
      <c r="C283" s="183"/>
      <c r="D283" s="184"/>
      <c r="E283" s="281" t="s">
        <v>514</v>
      </c>
      <c r="F283" s="282">
        <v>1</v>
      </c>
      <c r="G283" s="186"/>
      <c r="H283" s="180"/>
    </row>
    <row r="284" spans="1:8" ht="15" x14ac:dyDescent="0.2">
      <c r="A284" s="86"/>
      <c r="B284" s="110"/>
      <c r="C284" s="17"/>
      <c r="D284" s="18"/>
      <c r="E284" s="103"/>
      <c r="F284" s="226"/>
      <c r="G284" s="20"/>
      <c r="H284" s="58"/>
    </row>
    <row r="285" spans="1:8" ht="25.5" x14ac:dyDescent="0.2">
      <c r="A285" s="62">
        <f>MAX(A$2:A283)+1</f>
        <v>47</v>
      </c>
      <c r="B285" s="110"/>
      <c r="C285" s="27" t="s">
        <v>216</v>
      </c>
      <c r="D285" s="28"/>
      <c r="E285" s="100" t="s">
        <v>217</v>
      </c>
      <c r="F285" s="216"/>
      <c r="G285" s="30" t="s">
        <v>25</v>
      </c>
      <c r="H285" s="80"/>
    </row>
    <row r="286" spans="1:8" ht="15" x14ac:dyDescent="0.2">
      <c r="A286" s="86"/>
      <c r="B286" s="110"/>
      <c r="C286" s="27"/>
      <c r="D286" s="28"/>
      <c r="E286" s="102" t="s">
        <v>265</v>
      </c>
      <c r="F286" s="216"/>
      <c r="G286" s="30"/>
      <c r="H286" s="80"/>
    </row>
    <row r="287" spans="1:8" ht="25.5" x14ac:dyDescent="0.2">
      <c r="A287" s="86"/>
      <c r="B287" s="110"/>
      <c r="C287" s="27"/>
      <c r="D287" s="28"/>
      <c r="E287" s="102" t="s">
        <v>266</v>
      </c>
      <c r="F287" s="216"/>
      <c r="G287" s="30"/>
      <c r="H287" s="80"/>
    </row>
    <row r="288" spans="1:8" ht="15" x14ac:dyDescent="0.2">
      <c r="A288" s="86"/>
      <c r="B288" s="110"/>
      <c r="C288" s="17"/>
      <c r="D288" s="18"/>
      <c r="E288" s="103"/>
      <c r="F288" s="226"/>
      <c r="G288" s="20"/>
      <c r="H288" s="58"/>
    </row>
    <row r="289" spans="1:9" ht="25.5" x14ac:dyDescent="0.2">
      <c r="A289" s="162">
        <f>MAX(A$2:A287)+1</f>
        <v>48</v>
      </c>
      <c r="B289" s="249"/>
      <c r="C289" s="164" t="s">
        <v>218</v>
      </c>
      <c r="D289" s="165"/>
      <c r="E289" s="258" t="s">
        <v>219</v>
      </c>
      <c r="F289" s="204"/>
      <c r="G289" s="167" t="s">
        <v>12</v>
      </c>
      <c r="H289" s="179">
        <f>F294</f>
        <v>17.28</v>
      </c>
    </row>
    <row r="290" spans="1:9" ht="25.5" x14ac:dyDescent="0.2">
      <c r="A290" s="199"/>
      <c r="B290" s="249"/>
      <c r="C290" s="250"/>
      <c r="D290" s="171" t="s">
        <v>220</v>
      </c>
      <c r="E290" s="259" t="s">
        <v>221</v>
      </c>
      <c r="F290" s="208"/>
      <c r="G290" s="173" t="s">
        <v>12</v>
      </c>
      <c r="H290" s="180"/>
    </row>
    <row r="291" spans="1:9" ht="33" customHeight="1" x14ac:dyDescent="0.2">
      <c r="A291" s="199"/>
      <c r="B291" s="249"/>
      <c r="C291" s="250"/>
      <c r="D291" s="171"/>
      <c r="E291" s="177" t="s">
        <v>606</v>
      </c>
      <c r="F291" s="282">
        <f>2*0.8*10</f>
        <v>16</v>
      </c>
      <c r="G291" s="173"/>
      <c r="H291" s="180"/>
    </row>
    <row r="292" spans="1:9" ht="15" x14ac:dyDescent="0.2">
      <c r="A292" s="199"/>
      <c r="B292" s="249"/>
      <c r="C292" s="250"/>
      <c r="D292" s="171"/>
      <c r="E292" s="177" t="s">
        <v>586</v>
      </c>
      <c r="F292" s="282"/>
      <c r="G292" s="173"/>
      <c r="H292" s="180"/>
    </row>
    <row r="293" spans="1:9" ht="15" x14ac:dyDescent="0.2">
      <c r="A293" s="199"/>
      <c r="B293" s="249"/>
      <c r="C293" s="250"/>
      <c r="D293" s="195"/>
      <c r="E293" s="177" t="s">
        <v>607</v>
      </c>
      <c r="F293" s="337">
        <f>(2*0.29)+(2*0.35)</f>
        <v>1.2799999999999998</v>
      </c>
      <c r="G293" s="194"/>
      <c r="H293" s="180"/>
    </row>
    <row r="294" spans="1:9" ht="15" x14ac:dyDescent="0.2">
      <c r="A294" s="199"/>
      <c r="B294" s="249"/>
      <c r="C294" s="250"/>
      <c r="D294" s="195"/>
      <c r="E294" s="197" t="s">
        <v>298</v>
      </c>
      <c r="F294" s="279">
        <f>SUM(F291:F293)</f>
        <v>17.28</v>
      </c>
      <c r="G294" s="194"/>
      <c r="H294" s="180"/>
    </row>
    <row r="295" spans="1:9" ht="15" x14ac:dyDescent="0.2">
      <c r="A295" s="86"/>
      <c r="B295" s="110"/>
      <c r="C295" s="17"/>
      <c r="D295" s="18"/>
      <c r="E295" s="103"/>
      <c r="F295" s="226"/>
      <c r="G295" s="20"/>
      <c r="H295" s="181"/>
    </row>
    <row r="296" spans="1:9" ht="25.5" x14ac:dyDescent="0.2">
      <c r="A296" s="162">
        <f>MAX(A$2:A293)+1</f>
        <v>49</v>
      </c>
      <c r="B296" s="249"/>
      <c r="C296" s="164" t="s">
        <v>222</v>
      </c>
      <c r="D296" s="165"/>
      <c r="E296" s="258" t="s">
        <v>223</v>
      </c>
      <c r="F296" s="204"/>
      <c r="G296" s="167" t="s">
        <v>25</v>
      </c>
      <c r="H296" s="179">
        <f>F305</f>
        <v>22.96</v>
      </c>
    </row>
    <row r="297" spans="1:9" ht="25.5" x14ac:dyDescent="0.2">
      <c r="A297" s="199"/>
      <c r="B297" s="249"/>
      <c r="C297" s="250"/>
      <c r="D297" s="195" t="s">
        <v>224</v>
      </c>
      <c r="E297" s="284" t="s">
        <v>225</v>
      </c>
      <c r="F297" s="206"/>
      <c r="G297" s="194" t="s">
        <v>25</v>
      </c>
      <c r="H297" s="180"/>
    </row>
    <row r="298" spans="1:9" ht="15" x14ac:dyDescent="0.2">
      <c r="A298" s="199"/>
      <c r="B298" s="249"/>
      <c r="C298" s="250"/>
      <c r="D298" s="195"/>
      <c r="E298" s="284" t="s">
        <v>519</v>
      </c>
      <c r="F298" s="328"/>
      <c r="G298" s="194"/>
      <c r="H298" s="180"/>
    </row>
    <row r="299" spans="1:9" ht="15" x14ac:dyDescent="0.2">
      <c r="A299" s="199"/>
      <c r="B299" s="249"/>
      <c r="C299" s="250"/>
      <c r="D299" s="195"/>
      <c r="E299" s="284" t="s">
        <v>520</v>
      </c>
      <c r="F299" s="206">
        <f>8.91+11.89</f>
        <v>20.8</v>
      </c>
      <c r="G299" s="194"/>
      <c r="H299" s="180"/>
    </row>
    <row r="300" spans="1:9" ht="15" x14ac:dyDescent="0.2">
      <c r="A300" s="199"/>
      <c r="B300" s="249"/>
      <c r="C300" s="250"/>
      <c r="D300" s="195"/>
      <c r="E300" s="284" t="s">
        <v>521</v>
      </c>
      <c r="F300" s="206">
        <f>6.25+6.38+12.45</f>
        <v>25.08</v>
      </c>
      <c r="G300" s="194"/>
      <c r="H300" s="180"/>
    </row>
    <row r="301" spans="1:9" ht="29.25" customHeight="1" x14ac:dyDescent="0.2">
      <c r="A301" s="199"/>
      <c r="B301" s="249"/>
      <c r="C301" s="250"/>
      <c r="D301" s="195"/>
      <c r="E301" s="284" t="s">
        <v>522</v>
      </c>
      <c r="F301" s="206"/>
      <c r="G301" s="194"/>
      <c r="H301" s="180"/>
    </row>
    <row r="302" spans="1:9" ht="15" x14ac:dyDescent="0.2">
      <c r="A302" s="199"/>
      <c r="B302" s="249"/>
      <c r="C302" s="250"/>
      <c r="D302" s="195"/>
      <c r="E302" s="74" t="s">
        <v>608</v>
      </c>
      <c r="F302" s="279">
        <f>2*(0.25+0.73+0.6)</f>
        <v>3.16</v>
      </c>
      <c r="G302" s="194"/>
      <c r="H302" s="180"/>
    </row>
    <row r="303" spans="1:9" ht="15" x14ac:dyDescent="0.2">
      <c r="A303" s="199"/>
      <c r="B303" s="249"/>
      <c r="C303" s="250"/>
      <c r="D303" s="195"/>
      <c r="E303" s="74" t="s">
        <v>609</v>
      </c>
      <c r="F303" s="279">
        <f>2*(0.25+1.05+0.6)</f>
        <v>3.8</v>
      </c>
      <c r="G303" s="194"/>
      <c r="H303" s="180"/>
      <c r="I303" s="247"/>
    </row>
    <row r="304" spans="1:9" ht="15" x14ac:dyDescent="0.2">
      <c r="A304" s="199"/>
      <c r="B304" s="249"/>
      <c r="C304" s="250"/>
      <c r="D304" s="195"/>
      <c r="E304" s="74" t="s">
        <v>587</v>
      </c>
      <c r="F304" s="280">
        <f>8*2</f>
        <v>16</v>
      </c>
      <c r="G304" s="194"/>
      <c r="H304" s="180"/>
    </row>
    <row r="305" spans="1:10" ht="15" x14ac:dyDescent="0.2">
      <c r="A305" s="199"/>
      <c r="B305" s="249"/>
      <c r="C305" s="260"/>
      <c r="D305" s="261"/>
      <c r="E305" s="197" t="s">
        <v>298</v>
      </c>
      <c r="F305" s="73">
        <f>SUM(F302:F304)</f>
        <v>22.96</v>
      </c>
      <c r="G305" s="175"/>
      <c r="H305" s="180"/>
    </row>
    <row r="306" spans="1:10" ht="15" x14ac:dyDescent="0.2">
      <c r="A306" s="86"/>
      <c r="B306" s="110"/>
      <c r="C306" s="66"/>
      <c r="D306" s="25"/>
      <c r="E306" s="106"/>
      <c r="F306" s="227"/>
      <c r="G306" s="26"/>
      <c r="H306" s="181"/>
    </row>
    <row r="307" spans="1:10" ht="25.5" x14ac:dyDescent="0.2">
      <c r="A307" s="162">
        <f>MAX(A$2:A305)+1</f>
        <v>50</v>
      </c>
      <c r="B307" s="249"/>
      <c r="C307" s="164" t="s">
        <v>372</v>
      </c>
      <c r="D307" s="165"/>
      <c r="E307" s="258" t="s">
        <v>373</v>
      </c>
      <c r="F307" s="204"/>
      <c r="G307" s="167" t="s">
        <v>25</v>
      </c>
      <c r="H307" s="179">
        <f>F309</f>
        <v>21.24</v>
      </c>
    </row>
    <row r="308" spans="1:10" s="105" customFormat="1" ht="25.5" x14ac:dyDescent="0.2">
      <c r="A308" s="199"/>
      <c r="B308" s="249"/>
      <c r="C308" s="200"/>
      <c r="D308" s="195"/>
      <c r="E308" s="178" t="s">
        <v>531</v>
      </c>
      <c r="F308" s="206"/>
      <c r="G308" s="194"/>
      <c r="H308" s="180"/>
      <c r="I308" s="104"/>
      <c r="J308" s="161"/>
    </row>
    <row r="309" spans="1:10" ht="15" x14ac:dyDescent="0.2">
      <c r="A309" s="199"/>
      <c r="B309" s="249"/>
      <c r="C309" s="200"/>
      <c r="D309" s="195"/>
      <c r="E309" s="284" t="s">
        <v>530</v>
      </c>
      <c r="F309" s="279">
        <f>10.62*2</f>
        <v>21.24</v>
      </c>
      <c r="G309" s="194"/>
      <c r="H309" s="180"/>
    </row>
    <row r="310" spans="1:10" ht="15" x14ac:dyDescent="0.2">
      <c r="A310" s="86"/>
      <c r="B310" s="110"/>
      <c r="C310" s="111"/>
      <c r="D310" s="112"/>
      <c r="E310" s="118"/>
      <c r="F310" s="113"/>
      <c r="G310" s="60"/>
      <c r="H310" s="181"/>
    </row>
    <row r="311" spans="1:10" ht="25.5" x14ac:dyDescent="0.2">
      <c r="A311" s="162">
        <f>MAX(A$2:A308)+1</f>
        <v>51</v>
      </c>
      <c r="B311" s="249"/>
      <c r="C311" s="164" t="s">
        <v>226</v>
      </c>
      <c r="D311" s="165"/>
      <c r="E311" s="258" t="s">
        <v>227</v>
      </c>
      <c r="F311" s="204"/>
      <c r="G311" s="167" t="s">
        <v>8</v>
      </c>
      <c r="H311" s="179">
        <f>F316</f>
        <v>125</v>
      </c>
      <c r="I311" s="39" t="s">
        <v>268</v>
      </c>
    </row>
    <row r="312" spans="1:10" ht="15" x14ac:dyDescent="0.2">
      <c r="A312" s="199"/>
      <c r="B312" s="249"/>
      <c r="C312" s="260"/>
      <c r="D312" s="261"/>
      <c r="E312" s="177" t="s">
        <v>532</v>
      </c>
      <c r="F312" s="73">
        <v>124</v>
      </c>
      <c r="G312" s="175"/>
      <c r="H312" s="180"/>
    </row>
    <row r="313" spans="1:10" ht="25.5" x14ac:dyDescent="0.2">
      <c r="A313" s="199"/>
      <c r="B313" s="249"/>
      <c r="C313" s="260"/>
      <c r="D313" s="261"/>
      <c r="E313" s="177" t="s">
        <v>279</v>
      </c>
      <c r="F313" s="248"/>
      <c r="G313" s="175"/>
      <c r="H313" s="180"/>
    </row>
    <row r="314" spans="1:10" ht="38.25" x14ac:dyDescent="0.2">
      <c r="A314" s="86"/>
      <c r="B314" s="110"/>
      <c r="C314" s="111"/>
      <c r="D314" s="112"/>
      <c r="E314" s="177" t="s">
        <v>267</v>
      </c>
      <c r="F314" s="248"/>
      <c r="G314" s="60"/>
      <c r="H314" s="181"/>
    </row>
    <row r="315" spans="1:10" ht="66.75" customHeight="1" x14ac:dyDescent="0.2">
      <c r="A315" s="86"/>
      <c r="B315" s="110"/>
      <c r="C315" s="111"/>
      <c r="D315" s="112"/>
      <c r="E315" s="333" t="s">
        <v>533</v>
      </c>
      <c r="F315" s="248">
        <v>1</v>
      </c>
      <c r="G315" s="60"/>
      <c r="H315" s="181"/>
    </row>
    <row r="316" spans="1:10" ht="15" x14ac:dyDescent="0.2">
      <c r="A316" s="86"/>
      <c r="B316" s="110"/>
      <c r="C316" s="111"/>
      <c r="D316" s="112"/>
      <c r="E316" s="197" t="s">
        <v>298</v>
      </c>
      <c r="F316" s="73">
        <f>F312+F315</f>
        <v>125</v>
      </c>
      <c r="G316" s="60"/>
      <c r="H316" s="181"/>
    </row>
    <row r="317" spans="1:10" ht="15" x14ac:dyDescent="0.2">
      <c r="A317" s="86"/>
      <c r="B317" s="110"/>
      <c r="C317" s="111"/>
      <c r="D317" s="112"/>
      <c r="E317" s="77"/>
      <c r="F317" s="67"/>
      <c r="G317" s="60"/>
      <c r="H317" s="181"/>
    </row>
    <row r="318" spans="1:10" ht="29.25" customHeight="1" x14ac:dyDescent="0.2">
      <c r="A318" s="86"/>
      <c r="B318" s="108" t="s">
        <v>505</v>
      </c>
      <c r="C318" s="108"/>
      <c r="D318" s="15"/>
      <c r="E318" s="109" t="s">
        <v>506</v>
      </c>
      <c r="F318" s="67"/>
      <c r="G318" s="60"/>
      <c r="H318" s="181"/>
    </row>
    <row r="319" spans="1:10" ht="15" x14ac:dyDescent="0.2">
      <c r="A319" s="86"/>
      <c r="B319" s="110"/>
      <c r="C319" s="111"/>
      <c r="D319" s="112"/>
      <c r="E319" s="77"/>
      <c r="F319" s="67"/>
      <c r="G319" s="60"/>
      <c r="H319" s="181"/>
    </row>
    <row r="320" spans="1:10" ht="29.25" customHeight="1" x14ac:dyDescent="0.2">
      <c r="A320" s="199"/>
      <c r="B320" s="249"/>
      <c r="C320" s="164" t="s">
        <v>507</v>
      </c>
      <c r="D320" s="165"/>
      <c r="E320" s="258" t="s">
        <v>508</v>
      </c>
      <c r="F320" s="258"/>
      <c r="G320" s="167" t="s">
        <v>51</v>
      </c>
      <c r="H320" s="179">
        <f>F321</f>
        <v>1.3</v>
      </c>
    </row>
    <row r="321" spans="1:10" ht="15" x14ac:dyDescent="0.2">
      <c r="A321" s="199"/>
      <c r="B321" s="249"/>
      <c r="C321" s="260"/>
      <c r="D321" s="261"/>
      <c r="E321" s="74" t="s">
        <v>509</v>
      </c>
      <c r="F321" s="73">
        <v>1.3</v>
      </c>
      <c r="G321" s="175"/>
      <c r="H321" s="180"/>
    </row>
    <row r="322" spans="1:10" ht="15" x14ac:dyDescent="0.2">
      <c r="A322" s="86"/>
      <c r="B322" s="110"/>
      <c r="C322" s="111"/>
      <c r="D322" s="112"/>
      <c r="E322" s="77"/>
      <c r="F322" s="131"/>
      <c r="G322" s="60"/>
      <c r="H322" s="181"/>
    </row>
    <row r="323" spans="1:10" ht="25.5" x14ac:dyDescent="0.2">
      <c r="A323" s="86"/>
      <c r="B323" s="108" t="s">
        <v>612</v>
      </c>
      <c r="C323" s="108"/>
      <c r="D323" s="15"/>
      <c r="E323" s="109" t="s">
        <v>613</v>
      </c>
      <c r="F323" s="131"/>
      <c r="G323" s="60"/>
      <c r="H323" s="181"/>
    </row>
    <row r="324" spans="1:10" x14ac:dyDescent="0.2">
      <c r="A324" s="86"/>
      <c r="B324" s="108"/>
      <c r="C324" s="108"/>
      <c r="D324" s="15"/>
      <c r="E324" s="109"/>
      <c r="F324" s="131"/>
      <c r="G324" s="60"/>
      <c r="H324" s="181"/>
    </row>
    <row r="325" spans="1:10" ht="25.5" x14ac:dyDescent="0.2">
      <c r="A325" s="162">
        <f>MAX(A$2:A324)+1</f>
        <v>52</v>
      </c>
      <c r="B325" s="249"/>
      <c r="C325" s="164" t="s">
        <v>374</v>
      </c>
      <c r="D325" s="165"/>
      <c r="E325" s="258" t="s">
        <v>375</v>
      </c>
      <c r="F325" s="204"/>
      <c r="G325" s="167" t="s">
        <v>51</v>
      </c>
      <c r="H325" s="179">
        <f>F326</f>
        <v>15</v>
      </c>
    </row>
    <row r="326" spans="1:10" ht="25.5" x14ac:dyDescent="0.2">
      <c r="A326" s="199"/>
      <c r="B326" s="249"/>
      <c r="C326" s="260"/>
      <c r="D326" s="261"/>
      <c r="E326" s="178" t="s">
        <v>549</v>
      </c>
      <c r="F326" s="73">
        <f xml:space="preserve"> 0.75*10*2</f>
        <v>15</v>
      </c>
      <c r="G326" s="175"/>
      <c r="H326" s="180"/>
    </row>
    <row r="327" spans="1:10" ht="15" x14ac:dyDescent="0.2">
      <c r="A327" s="86"/>
      <c r="B327" s="110"/>
      <c r="C327" s="111"/>
      <c r="D327" s="112"/>
      <c r="E327" s="77"/>
      <c r="F327" s="131"/>
      <c r="G327" s="60"/>
      <c r="H327" s="181"/>
    </row>
    <row r="328" spans="1:10" ht="25.5" x14ac:dyDescent="0.2">
      <c r="A328" s="162">
        <f>MAX(A$2:A326)+1</f>
        <v>53</v>
      </c>
      <c r="B328" s="249"/>
      <c r="C328" s="164" t="s">
        <v>376</v>
      </c>
      <c r="D328" s="165"/>
      <c r="E328" s="258" t="s">
        <v>377</v>
      </c>
      <c r="F328" s="204"/>
      <c r="G328" s="167" t="s">
        <v>12</v>
      </c>
      <c r="H328" s="179">
        <f>F330</f>
        <v>26</v>
      </c>
    </row>
    <row r="329" spans="1:10" ht="25.5" x14ac:dyDescent="0.2">
      <c r="A329" s="199"/>
      <c r="B329" s="249"/>
      <c r="C329" s="164"/>
      <c r="D329" s="171" t="s">
        <v>378</v>
      </c>
      <c r="E329" s="259" t="s">
        <v>379</v>
      </c>
      <c r="F329" s="282"/>
      <c r="G329" s="173" t="s">
        <v>12</v>
      </c>
      <c r="H329" s="180"/>
    </row>
    <row r="330" spans="1:10" ht="37.5" customHeight="1" x14ac:dyDescent="0.2">
      <c r="A330" s="199"/>
      <c r="B330" s="249"/>
      <c r="C330" s="260"/>
      <c r="D330" s="261"/>
      <c r="E330" s="178" t="s">
        <v>550</v>
      </c>
      <c r="F330" s="73">
        <f>1.3*10*2</f>
        <v>26</v>
      </c>
      <c r="G330" s="175"/>
      <c r="H330" s="180"/>
    </row>
    <row r="331" spans="1:10" ht="15" x14ac:dyDescent="0.2">
      <c r="A331" s="86"/>
      <c r="B331" s="110"/>
      <c r="C331" s="111"/>
      <c r="D331" s="112"/>
      <c r="E331" s="77"/>
      <c r="F331" s="131"/>
      <c r="G331" s="60"/>
      <c r="H331" s="181"/>
    </row>
    <row r="332" spans="1:10" ht="25.5" x14ac:dyDescent="0.2">
      <c r="A332" s="86"/>
      <c r="B332" s="108" t="s">
        <v>248</v>
      </c>
      <c r="C332" s="108"/>
      <c r="D332" s="15"/>
      <c r="E332" s="109" t="s">
        <v>249</v>
      </c>
      <c r="F332" s="113"/>
      <c r="G332" s="60"/>
      <c r="H332" s="181"/>
      <c r="J332" s="334" t="s">
        <v>593</v>
      </c>
    </row>
    <row r="333" spans="1:10" x14ac:dyDescent="0.2">
      <c r="A333" s="86"/>
      <c r="B333" s="108"/>
      <c r="C333" s="108"/>
      <c r="D333" s="15"/>
      <c r="E333" s="109"/>
      <c r="F333" s="113"/>
      <c r="G333" s="60"/>
      <c r="H333" s="181"/>
    </row>
    <row r="334" spans="1:10" ht="25.5" x14ac:dyDescent="0.2">
      <c r="A334" s="162">
        <f>MAX(A$1:A333)+1</f>
        <v>54</v>
      </c>
      <c r="B334" s="249"/>
      <c r="C334" s="164" t="s">
        <v>228</v>
      </c>
      <c r="D334" s="165"/>
      <c r="E334" s="258" t="s">
        <v>229</v>
      </c>
      <c r="F334" s="204"/>
      <c r="G334" s="167" t="s">
        <v>12</v>
      </c>
      <c r="H334" s="179">
        <f>F337</f>
        <v>204</v>
      </c>
    </row>
    <row r="335" spans="1:10" ht="15" x14ac:dyDescent="0.2">
      <c r="A335" s="199"/>
      <c r="B335" s="249"/>
      <c r="C335" s="260"/>
      <c r="D335" s="261"/>
      <c r="E335" s="177" t="s">
        <v>589</v>
      </c>
      <c r="F335" s="73">
        <v>104</v>
      </c>
      <c r="G335" s="175"/>
      <c r="H335" s="180"/>
    </row>
    <row r="336" spans="1:10" ht="25.5" x14ac:dyDescent="0.2">
      <c r="A336" s="199"/>
      <c r="B336" s="249"/>
      <c r="C336" s="260"/>
      <c r="D336" s="261"/>
      <c r="E336" s="177" t="s">
        <v>588</v>
      </c>
      <c r="F336" s="248">
        <v>100</v>
      </c>
      <c r="G336" s="175"/>
      <c r="H336" s="180"/>
    </row>
    <row r="337" spans="1:8" ht="15" x14ac:dyDescent="0.2">
      <c r="A337" s="199"/>
      <c r="B337" s="249"/>
      <c r="C337" s="260"/>
      <c r="D337" s="261"/>
      <c r="E337" s="197" t="s">
        <v>298</v>
      </c>
      <c r="F337" s="73">
        <f>SUM(F335:F336)</f>
        <v>204</v>
      </c>
      <c r="G337" s="175"/>
      <c r="H337" s="180"/>
    </row>
    <row r="338" spans="1:8" ht="15" x14ac:dyDescent="0.2">
      <c r="A338" s="86"/>
      <c r="B338" s="110"/>
      <c r="C338" s="111"/>
      <c r="D338" s="112"/>
      <c r="E338" s="75"/>
      <c r="F338" s="113"/>
      <c r="G338" s="60"/>
      <c r="H338" s="181"/>
    </row>
    <row r="339" spans="1:8" ht="25.5" x14ac:dyDescent="0.2">
      <c r="A339" s="162">
        <f>MAX(A$1:A338)+1</f>
        <v>55</v>
      </c>
      <c r="B339" s="249"/>
      <c r="C339" s="164" t="s">
        <v>380</v>
      </c>
      <c r="D339" s="165"/>
      <c r="E339" s="258" t="s">
        <v>381</v>
      </c>
      <c r="F339" s="204"/>
      <c r="G339" s="167" t="s">
        <v>51</v>
      </c>
      <c r="H339" s="179">
        <f>F345</f>
        <v>21.42</v>
      </c>
    </row>
    <row r="340" spans="1:8" ht="25.5" x14ac:dyDescent="0.2">
      <c r="A340" s="199"/>
      <c r="B340" s="249"/>
      <c r="C340" s="200"/>
      <c r="D340" s="171" t="s">
        <v>382</v>
      </c>
      <c r="E340" s="259" t="s">
        <v>383</v>
      </c>
      <c r="F340" s="208"/>
      <c r="G340" s="173" t="s">
        <v>51</v>
      </c>
      <c r="H340" s="180"/>
    </row>
    <row r="341" spans="1:8" ht="15" x14ac:dyDescent="0.2">
      <c r="A341" s="199"/>
      <c r="B341" s="249"/>
      <c r="C341" s="260"/>
      <c r="D341" s="261"/>
      <c r="E341" s="177" t="s">
        <v>590</v>
      </c>
      <c r="F341" s="73">
        <v>2.34</v>
      </c>
      <c r="G341" s="175"/>
      <c r="H341" s="180"/>
    </row>
    <row r="342" spans="1:8" ht="15" x14ac:dyDescent="0.2">
      <c r="A342" s="199"/>
      <c r="B342" s="249"/>
      <c r="C342" s="260"/>
      <c r="D342" s="261"/>
      <c r="E342" s="177" t="s">
        <v>591</v>
      </c>
      <c r="F342" s="248">
        <v>2.08</v>
      </c>
      <c r="G342" s="175"/>
      <c r="H342" s="180"/>
    </row>
    <row r="343" spans="1:8" ht="25.5" x14ac:dyDescent="0.2">
      <c r="A343" s="199"/>
      <c r="B343" s="249"/>
      <c r="C343" s="260"/>
      <c r="D343" s="261"/>
      <c r="E343" s="197" t="s">
        <v>551</v>
      </c>
      <c r="F343" s="73">
        <v>9</v>
      </c>
      <c r="G343" s="175"/>
      <c r="H343" s="180"/>
    </row>
    <row r="344" spans="1:8" ht="25.5" x14ac:dyDescent="0.2">
      <c r="A344" s="199"/>
      <c r="B344" s="249"/>
      <c r="C344" s="260"/>
      <c r="D344" s="261"/>
      <c r="E344" s="197" t="s">
        <v>552</v>
      </c>
      <c r="F344" s="73">
        <v>8</v>
      </c>
      <c r="G344" s="175"/>
      <c r="H344" s="180"/>
    </row>
    <row r="345" spans="1:8" ht="15" x14ac:dyDescent="0.2">
      <c r="A345" s="199"/>
      <c r="B345" s="249"/>
      <c r="C345" s="260"/>
      <c r="D345" s="261"/>
      <c r="E345" s="197"/>
      <c r="F345" s="73">
        <f>SUM(F341:F344)</f>
        <v>21.42</v>
      </c>
      <c r="G345" s="175"/>
      <c r="H345" s="180"/>
    </row>
    <row r="346" spans="1:8" ht="15" x14ac:dyDescent="0.2">
      <c r="A346" s="86"/>
      <c r="B346" s="110"/>
      <c r="C346" s="111"/>
      <c r="D346" s="112"/>
      <c r="E346" s="77"/>
      <c r="F346" s="67"/>
      <c r="G346" s="60"/>
      <c r="H346" s="181"/>
    </row>
    <row r="347" spans="1:8" ht="25.5" x14ac:dyDescent="0.2">
      <c r="A347" s="162">
        <f>MAX(A$1:A346)+1</f>
        <v>56</v>
      </c>
      <c r="B347" s="249"/>
      <c r="C347" s="164" t="s">
        <v>230</v>
      </c>
      <c r="D347" s="165"/>
      <c r="E347" s="258" t="s">
        <v>231</v>
      </c>
      <c r="F347" s="204"/>
      <c r="G347" s="167" t="s">
        <v>12</v>
      </c>
      <c r="H347" s="179">
        <f>F358</f>
        <v>30.549999999999997</v>
      </c>
    </row>
    <row r="348" spans="1:8" ht="25.5" x14ac:dyDescent="0.2">
      <c r="A348" s="199"/>
      <c r="B348" s="249"/>
      <c r="C348" s="200"/>
      <c r="D348" s="171" t="s">
        <v>232</v>
      </c>
      <c r="E348" s="259" t="s">
        <v>233</v>
      </c>
      <c r="F348" s="208"/>
      <c r="G348" s="173" t="s">
        <v>12</v>
      </c>
      <c r="H348" s="180"/>
    </row>
    <row r="349" spans="1:8" ht="15" x14ac:dyDescent="0.2">
      <c r="A349" s="199"/>
      <c r="B349" s="249"/>
      <c r="C349" s="200"/>
      <c r="D349" s="171"/>
      <c r="E349" s="259" t="s">
        <v>518</v>
      </c>
      <c r="F349" s="208"/>
      <c r="G349" s="173"/>
      <c r="H349" s="180"/>
    </row>
    <row r="350" spans="1:8" ht="15" x14ac:dyDescent="0.2">
      <c r="A350" s="199"/>
      <c r="B350" s="249"/>
      <c r="C350" s="200"/>
      <c r="D350" s="171"/>
      <c r="E350" s="177" t="s">
        <v>503</v>
      </c>
      <c r="F350" s="73">
        <f>1.42*10</f>
        <v>14.2</v>
      </c>
      <c r="G350" s="173"/>
      <c r="H350" s="180"/>
    </row>
    <row r="351" spans="1:8" ht="15" x14ac:dyDescent="0.2">
      <c r="A351" s="199"/>
      <c r="B351" s="249"/>
      <c r="C351" s="200"/>
      <c r="D351" s="171"/>
      <c r="E351" s="177" t="s">
        <v>504</v>
      </c>
      <c r="F351" s="73">
        <f>1.42*10</f>
        <v>14.2</v>
      </c>
      <c r="G351" s="173"/>
      <c r="H351" s="180"/>
    </row>
    <row r="352" spans="1:8" ht="15" x14ac:dyDescent="0.2">
      <c r="A352" s="199"/>
      <c r="B352" s="249"/>
      <c r="C352" s="200"/>
      <c r="D352" s="171"/>
      <c r="E352" s="177"/>
      <c r="F352" s="73"/>
      <c r="G352" s="173"/>
      <c r="H352" s="180"/>
    </row>
    <row r="353" spans="1:8" ht="15" x14ac:dyDescent="0.2">
      <c r="A353" s="199"/>
      <c r="B353" s="249"/>
      <c r="C353" s="200"/>
      <c r="D353" s="171"/>
      <c r="E353" s="283" t="s">
        <v>385</v>
      </c>
      <c r="F353" s="208"/>
      <c r="G353" s="173"/>
      <c r="H353" s="180"/>
    </row>
    <row r="354" spans="1:8" ht="15" x14ac:dyDescent="0.2">
      <c r="A354" s="199"/>
      <c r="B354" s="249"/>
      <c r="C354" s="200"/>
      <c r="D354" s="195"/>
      <c r="E354" s="177" t="s">
        <v>517</v>
      </c>
      <c r="F354" s="279"/>
      <c r="G354" s="194"/>
      <c r="H354" s="180"/>
    </row>
    <row r="355" spans="1:8" ht="15" x14ac:dyDescent="0.2">
      <c r="A355" s="199"/>
      <c r="B355" s="249"/>
      <c r="C355" s="200"/>
      <c r="D355" s="195"/>
      <c r="E355" s="177" t="s">
        <v>515</v>
      </c>
      <c r="F355" s="279">
        <f>6.5*0.1</f>
        <v>0.65</v>
      </c>
      <c r="G355" s="194"/>
      <c r="H355" s="180"/>
    </row>
    <row r="356" spans="1:8" ht="15" x14ac:dyDescent="0.2">
      <c r="A356" s="199"/>
      <c r="B356" s="249"/>
      <c r="C356" s="200"/>
      <c r="D356" s="195"/>
      <c r="E356" s="177" t="s">
        <v>516</v>
      </c>
      <c r="F356" s="279">
        <f>9*0.1</f>
        <v>0.9</v>
      </c>
      <c r="G356" s="194"/>
      <c r="H356" s="180"/>
    </row>
    <row r="357" spans="1:8" ht="15" x14ac:dyDescent="0.2">
      <c r="A357" s="199"/>
      <c r="B357" s="249"/>
      <c r="C357" s="200"/>
      <c r="D357" s="195"/>
      <c r="E357" s="177" t="s">
        <v>384</v>
      </c>
      <c r="F357" s="280">
        <f>0.6*1</f>
        <v>0.6</v>
      </c>
      <c r="G357" s="194"/>
      <c r="H357" s="180"/>
    </row>
    <row r="358" spans="1:8" ht="15" x14ac:dyDescent="0.2">
      <c r="A358" s="199"/>
      <c r="B358" s="249"/>
      <c r="C358" s="200"/>
      <c r="D358" s="195"/>
      <c r="E358" s="197" t="s">
        <v>298</v>
      </c>
      <c r="F358" s="279">
        <f>SUM(F350:F357)</f>
        <v>30.549999999999997</v>
      </c>
      <c r="G358" s="194"/>
      <c r="H358" s="180"/>
    </row>
    <row r="359" spans="1:8" ht="15" x14ac:dyDescent="0.2">
      <c r="A359" s="86"/>
      <c r="B359" s="110"/>
      <c r="C359" s="66"/>
      <c r="D359" s="25"/>
      <c r="E359" s="106"/>
      <c r="F359" s="227"/>
      <c r="G359" s="26"/>
      <c r="H359" s="181"/>
    </row>
    <row r="360" spans="1:8" ht="25.5" x14ac:dyDescent="0.2">
      <c r="A360" s="62">
        <f>MAX(A$1:A359)+1</f>
        <v>57</v>
      </c>
      <c r="B360" s="110"/>
      <c r="C360" s="1" t="s">
        <v>234</v>
      </c>
      <c r="D360" s="2"/>
      <c r="E360" s="119" t="s">
        <v>456</v>
      </c>
      <c r="F360" s="209"/>
      <c r="G360" s="4" t="s">
        <v>25</v>
      </c>
      <c r="H360" s="340">
        <f>H361+H370</f>
        <v>99.409999999999982</v>
      </c>
    </row>
    <row r="361" spans="1:8" ht="38.25" x14ac:dyDescent="0.2">
      <c r="A361" s="86"/>
      <c r="B361" s="110"/>
      <c r="C361" s="2"/>
      <c r="D361" s="5" t="s">
        <v>235</v>
      </c>
      <c r="E361" s="120" t="s">
        <v>457</v>
      </c>
      <c r="F361" s="210"/>
      <c r="G361" s="7" t="s">
        <v>25</v>
      </c>
      <c r="H361" s="181">
        <f>F368</f>
        <v>94.609999999999985</v>
      </c>
    </row>
    <row r="362" spans="1:8" ht="15" x14ac:dyDescent="0.2">
      <c r="A362" s="86"/>
      <c r="B362" s="110"/>
      <c r="C362" s="2"/>
      <c r="D362" s="5"/>
      <c r="E362" s="177" t="s">
        <v>528</v>
      </c>
      <c r="F362" s="235"/>
      <c r="G362" s="7"/>
      <c r="H362" s="181"/>
    </row>
    <row r="363" spans="1:8" ht="15" x14ac:dyDescent="0.2">
      <c r="A363" s="86"/>
      <c r="B363" s="110"/>
      <c r="C363" s="2"/>
      <c r="D363" s="5"/>
      <c r="E363" s="74" t="s">
        <v>526</v>
      </c>
      <c r="F363" s="279">
        <f>8.82+2.85+6.45+2.59</f>
        <v>20.71</v>
      </c>
      <c r="G363" s="7"/>
      <c r="H363" s="181"/>
    </row>
    <row r="364" spans="1:8" ht="15" x14ac:dyDescent="0.2">
      <c r="A364" s="86"/>
      <c r="B364" s="110"/>
      <c r="C364" s="2"/>
      <c r="D364" s="5"/>
      <c r="E364" s="74" t="s">
        <v>527</v>
      </c>
      <c r="F364" s="279">
        <f xml:space="preserve"> 6.49+6.38+12.39</f>
        <v>25.26</v>
      </c>
      <c r="G364" s="7"/>
      <c r="H364" s="181"/>
    </row>
    <row r="365" spans="1:8" ht="15" x14ac:dyDescent="0.2">
      <c r="A365" s="86"/>
      <c r="B365" s="110"/>
      <c r="C365" s="2"/>
      <c r="D365" s="5"/>
      <c r="E365" s="177" t="s">
        <v>529</v>
      </c>
      <c r="F365" s="282">
        <f>10.62*2</f>
        <v>21.24</v>
      </c>
      <c r="G365" s="7"/>
      <c r="H365" s="181"/>
    </row>
    <row r="366" spans="1:8" ht="15" x14ac:dyDescent="0.2">
      <c r="A366" s="86"/>
      <c r="B366" s="110"/>
      <c r="C366" s="2"/>
      <c r="D366" s="5"/>
      <c r="E366" s="320" t="s">
        <v>453</v>
      </c>
      <c r="F366" s="338">
        <f>(0.25+0.7+0.25)*4</f>
        <v>4.8</v>
      </c>
      <c r="G366" s="7"/>
      <c r="H366" s="181"/>
    </row>
    <row r="367" spans="1:8" ht="15" x14ac:dyDescent="0.2">
      <c r="A367" s="86"/>
      <c r="B367" s="110"/>
      <c r="C367" s="2"/>
      <c r="D367" s="5"/>
      <c r="E367" s="320" t="s">
        <v>386</v>
      </c>
      <c r="F367" s="339">
        <f>11.3*2</f>
        <v>22.6</v>
      </c>
      <c r="G367" s="7"/>
      <c r="H367" s="181"/>
    </row>
    <row r="368" spans="1:8" ht="15" x14ac:dyDescent="0.2">
      <c r="A368" s="86"/>
      <c r="B368" s="110"/>
      <c r="C368" s="2"/>
      <c r="D368" s="5"/>
      <c r="E368" s="197" t="s">
        <v>298</v>
      </c>
      <c r="F368" s="282">
        <f>SUM(F362:F367)</f>
        <v>94.609999999999985</v>
      </c>
      <c r="G368" s="7"/>
      <c r="H368" s="181"/>
    </row>
    <row r="369" spans="1:8" ht="15" x14ac:dyDescent="0.2">
      <c r="A369" s="86"/>
      <c r="B369" s="110"/>
      <c r="C369" s="2"/>
      <c r="D369" s="5"/>
      <c r="E369" s="120"/>
      <c r="F369" s="210"/>
      <c r="G369" s="7"/>
      <c r="H369" s="181"/>
    </row>
    <row r="370" spans="1:8" ht="38.25" x14ac:dyDescent="0.2">
      <c r="A370" s="86"/>
      <c r="B370" s="110"/>
      <c r="C370" s="2"/>
      <c r="D370" s="5" t="s">
        <v>236</v>
      </c>
      <c r="E370" s="120" t="s">
        <v>458</v>
      </c>
      <c r="F370" s="210"/>
      <c r="G370" s="7" t="s">
        <v>25</v>
      </c>
      <c r="H370" s="310">
        <v>4.8</v>
      </c>
    </row>
    <row r="371" spans="1:8" ht="31.5" customHeight="1" x14ac:dyDescent="0.2">
      <c r="A371" s="86"/>
      <c r="B371" s="110"/>
      <c r="C371" s="111"/>
      <c r="D371" s="112"/>
      <c r="E371" s="75" t="s">
        <v>387</v>
      </c>
      <c r="F371" s="341">
        <f>(1.6+0.8)*2</f>
        <v>4.8000000000000007</v>
      </c>
      <c r="G371" s="60"/>
      <c r="H371" s="181"/>
    </row>
    <row r="372" spans="1:8" ht="15" x14ac:dyDescent="0.2">
      <c r="A372" s="86"/>
      <c r="B372" s="110"/>
      <c r="C372" s="111"/>
      <c r="D372" s="112"/>
      <c r="E372" s="118"/>
      <c r="F372" s="113"/>
      <c r="G372" s="60"/>
      <c r="H372" s="84"/>
    </row>
    <row r="373" spans="1:8" ht="25.5" x14ac:dyDescent="0.2">
      <c r="A373" s="273">
        <f>MAX(A$1:A372)+1</f>
        <v>58</v>
      </c>
      <c r="B373" s="274"/>
      <c r="C373" s="183" t="s">
        <v>510</v>
      </c>
      <c r="D373" s="184"/>
      <c r="E373" s="275" t="s">
        <v>511</v>
      </c>
      <c r="F373" s="211"/>
      <c r="G373" s="186" t="s">
        <v>12</v>
      </c>
      <c r="H373" s="179">
        <f>F375</f>
        <v>36</v>
      </c>
    </row>
    <row r="374" spans="1:8" ht="25.5" x14ac:dyDescent="0.2">
      <c r="A374" s="276"/>
      <c r="B374" s="274"/>
      <c r="C374" s="277"/>
      <c r="D374" s="188"/>
      <c r="E374" s="278" t="s">
        <v>237</v>
      </c>
      <c r="F374" s="212"/>
      <c r="G374" s="190" t="s">
        <v>12</v>
      </c>
      <c r="H374" s="180"/>
    </row>
    <row r="375" spans="1:8" ht="25.5" x14ac:dyDescent="0.2">
      <c r="A375" s="276"/>
      <c r="B375" s="274"/>
      <c r="C375" s="277"/>
      <c r="D375" s="188"/>
      <c r="E375" s="278" t="s">
        <v>512</v>
      </c>
      <c r="F375" s="319">
        <f>24*1.5</f>
        <v>36</v>
      </c>
      <c r="G375" s="190"/>
      <c r="H375" s="180"/>
    </row>
    <row r="376" spans="1:8" ht="15" x14ac:dyDescent="0.2">
      <c r="A376" s="276"/>
      <c r="B376" s="274"/>
      <c r="C376" s="277"/>
      <c r="D376" s="188"/>
      <c r="E376" s="278"/>
      <c r="F376" s="319"/>
      <c r="G376" s="190"/>
      <c r="H376" s="180"/>
    </row>
    <row r="377" spans="1:8" ht="15" x14ac:dyDescent="0.2">
      <c r="A377" s="273">
        <f>MAX(A$1:A376)+1</f>
        <v>59</v>
      </c>
      <c r="B377" s="274"/>
      <c r="C377" s="164" t="s">
        <v>539</v>
      </c>
      <c r="D377" s="165"/>
      <c r="E377" s="258" t="s">
        <v>540</v>
      </c>
      <c r="F377" s="258"/>
      <c r="G377" s="167" t="s">
        <v>25</v>
      </c>
      <c r="H377" s="179">
        <f>F379</f>
        <v>40</v>
      </c>
    </row>
    <row r="378" spans="1:8" ht="15" x14ac:dyDescent="0.2">
      <c r="A378" s="276"/>
      <c r="B378" s="274"/>
      <c r="C378" s="260"/>
      <c r="D378" s="261"/>
      <c r="E378" s="177" t="s">
        <v>592</v>
      </c>
      <c r="F378" s="73"/>
      <c r="G378" s="175"/>
      <c r="H378" s="180"/>
    </row>
    <row r="379" spans="1:8" ht="15" x14ac:dyDescent="0.2">
      <c r="A379" s="276"/>
      <c r="B379" s="274"/>
      <c r="C379" s="260"/>
      <c r="D379" s="261"/>
      <c r="E379" s="303" t="s">
        <v>541</v>
      </c>
      <c r="F379" s="327">
        <f>20*2</f>
        <v>40</v>
      </c>
      <c r="G379" s="175"/>
      <c r="H379" s="180"/>
    </row>
    <row r="380" spans="1:8" ht="15" x14ac:dyDescent="0.2">
      <c r="A380" s="276"/>
      <c r="B380" s="274"/>
      <c r="C380" s="277"/>
      <c r="D380" s="188"/>
      <c r="E380" s="278"/>
      <c r="F380" s="319"/>
      <c r="G380" s="190"/>
      <c r="H380" s="180"/>
    </row>
    <row r="381" spans="1:8" ht="25.5" x14ac:dyDescent="0.2">
      <c r="A381" s="162">
        <f>MAX(A$1:A380)+1</f>
        <v>60</v>
      </c>
      <c r="B381" s="249"/>
      <c r="C381" s="164" t="s">
        <v>238</v>
      </c>
      <c r="D381" s="165"/>
      <c r="E381" s="258" t="s">
        <v>239</v>
      </c>
      <c r="F381" s="204"/>
      <c r="G381" s="167" t="s">
        <v>8</v>
      </c>
      <c r="H381" s="179">
        <v>2</v>
      </c>
    </row>
    <row r="382" spans="1:8" ht="25.5" x14ac:dyDescent="0.2">
      <c r="A382" s="199"/>
      <c r="B382" s="249"/>
      <c r="C382" s="200"/>
      <c r="D382" s="171" t="s">
        <v>388</v>
      </c>
      <c r="E382" s="259" t="s">
        <v>389</v>
      </c>
      <c r="F382" s="208"/>
      <c r="G382" s="173" t="s">
        <v>8</v>
      </c>
      <c r="H382" s="180">
        <v>2</v>
      </c>
    </row>
    <row r="383" spans="1:8" ht="15" x14ac:dyDescent="0.2">
      <c r="A383" s="199"/>
      <c r="B383" s="249"/>
      <c r="C383" s="200"/>
      <c r="D383" s="195"/>
      <c r="E383" s="74" t="s">
        <v>269</v>
      </c>
      <c r="F383" s="327">
        <v>2</v>
      </c>
      <c r="G383" s="194"/>
      <c r="H383" s="180"/>
    </row>
    <row r="384" spans="1:8" ht="15" x14ac:dyDescent="0.2">
      <c r="A384" s="86"/>
      <c r="B384" s="110"/>
      <c r="C384" s="66"/>
      <c r="D384" s="25"/>
      <c r="E384" s="106"/>
      <c r="F384" s="227"/>
      <c r="G384" s="26"/>
      <c r="H384" s="181"/>
    </row>
    <row r="385" spans="1:8" ht="15" x14ac:dyDescent="0.2">
      <c r="A385" s="162">
        <f>MAX(A$1:A384)+1</f>
        <v>61</v>
      </c>
      <c r="B385" s="249"/>
      <c r="C385" s="164" t="s">
        <v>240</v>
      </c>
      <c r="D385" s="165"/>
      <c r="E385" s="258" t="s">
        <v>241</v>
      </c>
      <c r="F385" s="204"/>
      <c r="G385" s="167" t="s">
        <v>25</v>
      </c>
      <c r="H385" s="179">
        <f>F390</f>
        <v>45.97</v>
      </c>
    </row>
    <row r="386" spans="1:8" ht="15" x14ac:dyDescent="0.2">
      <c r="A386" s="199"/>
      <c r="B386" s="249"/>
      <c r="C386" s="200"/>
      <c r="D386" s="171" t="s">
        <v>523</v>
      </c>
      <c r="E386" s="259" t="s">
        <v>524</v>
      </c>
      <c r="F386" s="208"/>
      <c r="G386" s="173" t="s">
        <v>25</v>
      </c>
      <c r="H386" s="180"/>
    </row>
    <row r="387" spans="1:8" ht="15" x14ac:dyDescent="0.2">
      <c r="A387" s="199"/>
      <c r="B387" s="249"/>
      <c r="C387" s="200"/>
      <c r="D387" s="195"/>
      <c r="E387" s="74" t="s">
        <v>525</v>
      </c>
      <c r="F387" s="279"/>
      <c r="G387" s="194"/>
      <c r="H387" s="180"/>
    </row>
    <row r="388" spans="1:8" ht="15" x14ac:dyDescent="0.2">
      <c r="A388" s="199"/>
      <c r="B388" s="249"/>
      <c r="C388" s="200"/>
      <c r="D388" s="195"/>
      <c r="E388" s="74" t="s">
        <v>526</v>
      </c>
      <c r="F388" s="279">
        <f>8.82+2.85+6.45+2.59</f>
        <v>20.71</v>
      </c>
      <c r="G388" s="194"/>
      <c r="H388" s="180"/>
    </row>
    <row r="389" spans="1:8" ht="15" x14ac:dyDescent="0.2">
      <c r="A389" s="86"/>
      <c r="B389" s="110"/>
      <c r="C389" s="66"/>
      <c r="D389" s="25"/>
      <c r="E389" s="74" t="s">
        <v>527</v>
      </c>
      <c r="F389" s="280">
        <f xml:space="preserve"> 6.49+6.38+12.39</f>
        <v>25.26</v>
      </c>
      <c r="G389" s="26"/>
      <c r="H389" s="181"/>
    </row>
    <row r="390" spans="1:8" ht="15" x14ac:dyDescent="0.2">
      <c r="A390" s="86"/>
      <c r="B390" s="110"/>
      <c r="C390" s="66"/>
      <c r="D390" s="25"/>
      <c r="E390" s="74"/>
      <c r="F390" s="279">
        <f>SUM(F388:F389)</f>
        <v>45.97</v>
      </c>
      <c r="G390" s="26"/>
      <c r="H390" s="181"/>
    </row>
    <row r="391" spans="1:8" ht="15" x14ac:dyDescent="0.2">
      <c r="A391" s="86"/>
      <c r="B391" s="110"/>
      <c r="C391" s="66"/>
      <c r="D391" s="25"/>
      <c r="E391" s="72"/>
      <c r="F391" s="233"/>
      <c r="G391" s="26"/>
      <c r="H391" s="181"/>
    </row>
    <row r="392" spans="1:8" ht="15" x14ac:dyDescent="0.2">
      <c r="A392" s="62">
        <f>MAX(A$2:A387)+1</f>
        <v>62</v>
      </c>
      <c r="B392" s="110"/>
      <c r="C392" s="1" t="s">
        <v>390</v>
      </c>
      <c r="D392" s="2"/>
      <c r="E392" s="119" t="s">
        <v>391</v>
      </c>
      <c r="F392" s="209"/>
      <c r="G392" s="4" t="s">
        <v>25</v>
      </c>
      <c r="H392" s="83"/>
    </row>
    <row r="393" spans="1:8" ht="15" x14ac:dyDescent="0.2">
      <c r="A393" s="86"/>
      <c r="B393" s="110"/>
      <c r="C393" s="66"/>
      <c r="D393" s="5" t="s">
        <v>392</v>
      </c>
      <c r="E393" s="120" t="s">
        <v>393</v>
      </c>
      <c r="F393" s="210"/>
      <c r="G393" s="7" t="s">
        <v>25</v>
      </c>
      <c r="H393" s="84"/>
    </row>
    <row r="394" spans="1:8" ht="25.5" x14ac:dyDescent="0.2">
      <c r="A394" s="86"/>
      <c r="B394" s="110"/>
      <c r="C394" s="66"/>
      <c r="D394" s="25"/>
      <c r="E394" s="72" t="s">
        <v>394</v>
      </c>
      <c r="F394" s="233"/>
      <c r="G394" s="26"/>
      <c r="H394" s="84"/>
    </row>
    <row r="395" spans="1:8" ht="25.5" x14ac:dyDescent="0.2">
      <c r="A395" s="86"/>
      <c r="B395" s="110"/>
      <c r="C395" s="66"/>
      <c r="D395" s="25"/>
      <c r="E395" s="72" t="s">
        <v>395</v>
      </c>
      <c r="F395" s="234"/>
      <c r="G395" s="26"/>
      <c r="H395" s="84"/>
    </row>
    <row r="396" spans="1:8" ht="15" x14ac:dyDescent="0.2">
      <c r="A396" s="86"/>
      <c r="B396" s="110"/>
      <c r="C396" s="66"/>
      <c r="D396" s="25"/>
      <c r="E396" s="77" t="s">
        <v>298</v>
      </c>
      <c r="F396" s="233">
        <f>SUM(F394:F395)</f>
        <v>0</v>
      </c>
      <c r="G396" s="26"/>
      <c r="H396" s="84"/>
    </row>
    <row r="397" spans="1:8" ht="15" x14ac:dyDescent="0.2">
      <c r="A397" s="86"/>
      <c r="B397" s="110"/>
      <c r="C397" s="66"/>
      <c r="D397" s="25"/>
      <c r="E397" s="77"/>
      <c r="F397" s="227"/>
      <c r="G397" s="26"/>
      <c r="H397" s="84"/>
    </row>
    <row r="398" spans="1:8" ht="15" x14ac:dyDescent="0.2">
      <c r="A398" s="162">
        <f>MAX(A$1:A396)+1</f>
        <v>63</v>
      </c>
      <c r="B398" s="249"/>
      <c r="C398" s="183" t="s">
        <v>242</v>
      </c>
      <c r="D398" s="184"/>
      <c r="E398" s="275" t="s">
        <v>243</v>
      </c>
      <c r="F398" s="211"/>
      <c r="G398" s="186" t="s">
        <v>25</v>
      </c>
      <c r="H398" s="179">
        <f>F401</f>
        <v>10</v>
      </c>
    </row>
    <row r="399" spans="1:8" ht="15" x14ac:dyDescent="0.2">
      <c r="A399" s="199"/>
      <c r="B399" s="249"/>
      <c r="C399" s="277"/>
      <c r="D399" s="188" t="s">
        <v>244</v>
      </c>
      <c r="E399" s="278" t="s">
        <v>245</v>
      </c>
      <c r="F399" s="212"/>
      <c r="G399" s="190" t="s">
        <v>25</v>
      </c>
      <c r="H399" s="180"/>
    </row>
    <row r="400" spans="1:8" ht="15" x14ac:dyDescent="0.2">
      <c r="A400" s="199"/>
      <c r="B400" s="249"/>
      <c r="C400" s="277"/>
      <c r="D400" s="188"/>
      <c r="E400" s="69" t="s">
        <v>270</v>
      </c>
      <c r="F400" s="212"/>
      <c r="G400" s="190"/>
      <c r="H400" s="180"/>
    </row>
    <row r="401" spans="1:8" ht="15" x14ac:dyDescent="0.2">
      <c r="A401" s="336"/>
      <c r="B401" s="335"/>
      <c r="C401" s="305"/>
      <c r="D401" s="306"/>
      <c r="E401" s="69" t="s">
        <v>610</v>
      </c>
      <c r="F401" s="319">
        <f>10</f>
        <v>10</v>
      </c>
      <c r="G401" s="309"/>
      <c r="H401" s="310"/>
    </row>
    <row r="402" spans="1:8" ht="15" x14ac:dyDescent="0.2">
      <c r="A402" s="86"/>
      <c r="B402" s="110"/>
      <c r="C402" s="66"/>
      <c r="D402" s="25"/>
      <c r="E402" s="106"/>
      <c r="F402" s="227"/>
      <c r="G402" s="26"/>
      <c r="H402" s="84"/>
    </row>
    <row r="403" spans="1:8" ht="25.5" x14ac:dyDescent="0.2">
      <c r="A403" s="62">
        <f>MAX(A$1:A402)+1</f>
        <v>64</v>
      </c>
      <c r="B403" s="110"/>
      <c r="C403" s="1" t="s">
        <v>246</v>
      </c>
      <c r="D403" s="2"/>
      <c r="E403" s="119" t="s">
        <v>247</v>
      </c>
      <c r="F403" s="209"/>
      <c r="G403" s="4" t="s">
        <v>25</v>
      </c>
      <c r="H403" s="83"/>
    </row>
    <row r="404" spans="1:8" ht="25.5" x14ac:dyDescent="0.2">
      <c r="A404" s="86"/>
      <c r="B404" s="110"/>
      <c r="C404" s="66"/>
      <c r="D404" s="5" t="s">
        <v>396</v>
      </c>
      <c r="E404" s="120" t="s">
        <v>397</v>
      </c>
      <c r="F404" s="210"/>
      <c r="G404" s="7" t="s">
        <v>25</v>
      </c>
      <c r="H404" s="84"/>
    </row>
    <row r="405" spans="1:8" ht="15" x14ac:dyDescent="0.2">
      <c r="A405" s="86"/>
      <c r="B405" s="110"/>
      <c r="C405" s="66"/>
      <c r="D405" s="25"/>
      <c r="E405" s="72" t="s">
        <v>419</v>
      </c>
      <c r="F405" s="233"/>
      <c r="G405" s="26"/>
      <c r="H405" s="84"/>
    </row>
    <row r="406" spans="1:8" ht="15" x14ac:dyDescent="0.2">
      <c r="A406" s="86"/>
      <c r="B406" s="110"/>
      <c r="C406" s="66"/>
      <c r="D406" s="25"/>
      <c r="E406" s="72" t="s">
        <v>277</v>
      </c>
      <c r="F406" s="227"/>
      <c r="G406" s="26"/>
      <c r="H406" s="84"/>
    </row>
    <row r="407" spans="1:8" ht="15" x14ac:dyDescent="0.2">
      <c r="A407" s="86"/>
      <c r="B407" s="110"/>
      <c r="C407" s="66"/>
      <c r="D407" s="25"/>
      <c r="E407" s="72"/>
      <c r="F407" s="227"/>
      <c r="G407" s="26"/>
      <c r="H407" s="84"/>
    </row>
    <row r="408" spans="1:8" ht="25.5" x14ac:dyDescent="0.2">
      <c r="A408" s="86"/>
      <c r="B408" s="108" t="s">
        <v>70</v>
      </c>
      <c r="C408" s="108"/>
      <c r="D408" s="15"/>
      <c r="E408" s="109" t="s">
        <v>71</v>
      </c>
      <c r="F408" s="113"/>
      <c r="G408" s="60"/>
      <c r="H408" s="84"/>
    </row>
    <row r="409" spans="1:8" x14ac:dyDescent="0.2">
      <c r="A409" s="86"/>
      <c r="B409" s="108"/>
      <c r="C409" s="108"/>
      <c r="D409" s="15"/>
      <c r="E409" s="109"/>
      <c r="F409" s="113"/>
      <c r="G409" s="60"/>
      <c r="H409" s="84"/>
    </row>
    <row r="410" spans="1:8" ht="15" x14ac:dyDescent="0.2">
      <c r="A410" s="62">
        <f>MAX(A$2:A408)+1</f>
        <v>65</v>
      </c>
      <c r="B410" s="110"/>
      <c r="C410" s="17" t="s">
        <v>27</v>
      </c>
      <c r="D410" s="18"/>
      <c r="E410" s="103" t="s">
        <v>28</v>
      </c>
      <c r="F410" s="226"/>
      <c r="G410" s="20" t="s">
        <v>51</v>
      </c>
      <c r="H410" s="83"/>
    </row>
    <row r="411" spans="1:8" ht="15" x14ac:dyDescent="0.2">
      <c r="A411" s="62"/>
      <c r="B411" s="110"/>
      <c r="C411" s="17"/>
      <c r="D411" s="114" t="s">
        <v>417</v>
      </c>
      <c r="E411" s="115" t="s">
        <v>418</v>
      </c>
      <c r="F411" s="229"/>
      <c r="G411" s="60" t="s">
        <v>51</v>
      </c>
      <c r="H411" s="84"/>
    </row>
    <row r="412" spans="1:8" ht="15" x14ac:dyDescent="0.2">
      <c r="A412" s="62"/>
      <c r="B412" s="110"/>
      <c r="C412" s="17"/>
      <c r="D412" s="114"/>
      <c r="E412" s="116" t="s">
        <v>420</v>
      </c>
      <c r="F412" s="229"/>
      <c r="G412" s="60"/>
      <c r="H412" s="84"/>
    </row>
    <row r="413" spans="1:8" ht="15" x14ac:dyDescent="0.2">
      <c r="A413" s="86"/>
      <c r="B413" s="110"/>
      <c r="C413" s="27"/>
      <c r="D413" s="28"/>
      <c r="E413" s="102" t="s">
        <v>422</v>
      </c>
      <c r="F413" s="216"/>
      <c r="G413" s="30"/>
      <c r="H413" s="80"/>
    </row>
    <row r="414" spans="1:8" ht="15" x14ac:dyDescent="0.2">
      <c r="A414" s="86"/>
      <c r="B414" s="110"/>
      <c r="C414" s="27"/>
      <c r="D414" s="28"/>
      <c r="E414" s="102" t="s">
        <v>421</v>
      </c>
      <c r="F414" s="216"/>
      <c r="G414" s="30"/>
      <c r="H414" s="80"/>
    </row>
    <row r="415" spans="1:8" ht="15" x14ac:dyDescent="0.2">
      <c r="A415" s="86"/>
      <c r="B415" s="110"/>
      <c r="C415" s="17"/>
      <c r="D415" s="18"/>
      <c r="E415" s="103"/>
      <c r="F415" s="226"/>
      <c r="G415" s="20"/>
      <c r="H415" s="84"/>
    </row>
    <row r="416" spans="1:8" ht="15" x14ac:dyDescent="0.2">
      <c r="A416" s="86"/>
      <c r="B416" s="110"/>
      <c r="C416" s="66"/>
      <c r="D416" s="114" t="s">
        <v>0</v>
      </c>
      <c r="E416" s="115" t="s">
        <v>16</v>
      </c>
      <c r="F416" s="229"/>
      <c r="G416" s="60" t="s">
        <v>51</v>
      </c>
      <c r="H416" s="84"/>
    </row>
    <row r="417" spans="1:8" ht="25.5" customHeight="1" x14ac:dyDescent="0.2">
      <c r="A417" s="86"/>
      <c r="B417" s="110"/>
      <c r="C417" s="111"/>
      <c r="D417" s="112"/>
      <c r="E417" s="75" t="s">
        <v>423</v>
      </c>
      <c r="F417" s="67"/>
      <c r="G417" s="60"/>
      <c r="H417" s="84"/>
    </row>
    <row r="418" spans="1:8" ht="15" x14ac:dyDescent="0.2">
      <c r="A418" s="86"/>
      <c r="B418" s="110"/>
      <c r="C418" s="111"/>
      <c r="D418" s="112"/>
      <c r="E418" s="75"/>
      <c r="F418" s="113"/>
      <c r="G418" s="60"/>
      <c r="H418" s="84"/>
    </row>
    <row r="419" spans="1:8" ht="15" x14ac:dyDescent="0.2">
      <c r="A419" s="62">
        <f>MAX(A$2:A417)+1</f>
        <v>66</v>
      </c>
      <c r="B419" s="110"/>
      <c r="C419" s="1" t="s">
        <v>38</v>
      </c>
      <c r="D419" s="2"/>
      <c r="E419" s="119" t="s">
        <v>3</v>
      </c>
      <c r="F419" s="209"/>
      <c r="G419" s="4" t="s">
        <v>12</v>
      </c>
      <c r="H419" s="83"/>
    </row>
    <row r="420" spans="1:8" ht="15" x14ac:dyDescent="0.2">
      <c r="A420" s="62"/>
      <c r="B420" s="110"/>
      <c r="C420" s="9"/>
      <c r="D420" s="5" t="s">
        <v>39</v>
      </c>
      <c r="E420" s="120" t="s">
        <v>4</v>
      </c>
      <c r="F420" s="210"/>
      <c r="G420" s="7" t="s">
        <v>12</v>
      </c>
      <c r="H420" s="84"/>
    </row>
    <row r="421" spans="1:8" ht="25.5" x14ac:dyDescent="0.2">
      <c r="A421" s="86"/>
      <c r="B421" s="110"/>
      <c r="C421" s="101"/>
      <c r="D421" s="10"/>
      <c r="E421" s="102" t="s">
        <v>428</v>
      </c>
      <c r="F421" s="217"/>
      <c r="G421" s="12"/>
      <c r="H421" s="80"/>
    </row>
    <row r="422" spans="1:8" ht="25.5" x14ac:dyDescent="0.2">
      <c r="A422" s="86"/>
      <c r="B422" s="110"/>
      <c r="C422" s="101"/>
      <c r="D422" s="10"/>
      <c r="E422" s="102" t="s">
        <v>429</v>
      </c>
      <c r="F422" s="217"/>
      <c r="G422" s="12"/>
      <c r="H422" s="80"/>
    </row>
    <row r="423" spans="1:8" ht="25.5" x14ac:dyDescent="0.2">
      <c r="A423" s="86"/>
      <c r="B423" s="110"/>
      <c r="C423" s="9"/>
      <c r="D423" s="5"/>
      <c r="E423" s="75" t="s">
        <v>454</v>
      </c>
      <c r="F423" s="235"/>
      <c r="G423" s="7"/>
      <c r="H423" s="84"/>
    </row>
    <row r="424" spans="1:8" ht="15" x14ac:dyDescent="0.2">
      <c r="A424" s="86"/>
      <c r="B424" s="110"/>
      <c r="C424" s="111"/>
      <c r="D424" s="112"/>
      <c r="E424" s="118"/>
      <c r="F424" s="113"/>
      <c r="G424" s="60"/>
      <c r="H424" s="84"/>
    </row>
    <row r="425" spans="1:8" ht="15" x14ac:dyDescent="0.2">
      <c r="A425" s="62">
        <f>MAX(A$2:A423)+1</f>
        <v>67</v>
      </c>
      <c r="B425" s="110"/>
      <c r="C425" s="1" t="s">
        <v>24</v>
      </c>
      <c r="D425" s="2"/>
      <c r="E425" s="119" t="s">
        <v>1</v>
      </c>
      <c r="F425" s="209"/>
      <c r="G425" s="4" t="s">
        <v>51</v>
      </c>
      <c r="H425" s="132"/>
    </row>
    <row r="426" spans="1:8" ht="25.5" x14ac:dyDescent="0.2">
      <c r="A426" s="62"/>
      <c r="B426" s="110"/>
      <c r="C426" s="66"/>
      <c r="D426" s="114" t="s">
        <v>424</v>
      </c>
      <c r="E426" s="115" t="s">
        <v>425</v>
      </c>
      <c r="F426" s="232"/>
      <c r="G426" s="60" t="s">
        <v>51</v>
      </c>
      <c r="H426" s="84"/>
    </row>
    <row r="427" spans="1:8" ht="15" x14ac:dyDescent="0.2">
      <c r="A427" s="86"/>
      <c r="B427" s="110"/>
      <c r="C427" s="111"/>
      <c r="D427" s="112"/>
      <c r="E427" s="75" t="s">
        <v>426</v>
      </c>
      <c r="F427" s="67"/>
      <c r="G427" s="60"/>
      <c r="H427" s="84"/>
    </row>
    <row r="428" spans="1:8" ht="15" x14ac:dyDescent="0.2">
      <c r="A428" s="86"/>
      <c r="B428" s="110"/>
      <c r="C428" s="111"/>
      <c r="D428" s="112"/>
      <c r="E428" s="75" t="s">
        <v>427</v>
      </c>
      <c r="F428" s="117"/>
      <c r="G428" s="60"/>
      <c r="H428" s="84"/>
    </row>
    <row r="429" spans="1:8" ht="15" x14ac:dyDescent="0.2">
      <c r="A429" s="86"/>
      <c r="B429" s="110"/>
      <c r="C429" s="111"/>
      <c r="D429" s="112"/>
      <c r="E429" s="77" t="s">
        <v>298</v>
      </c>
      <c r="F429" s="67">
        <f>SUM(F427:F428)</f>
        <v>0</v>
      </c>
      <c r="G429" s="60"/>
      <c r="H429" s="84"/>
    </row>
    <row r="430" spans="1:8" ht="15" x14ac:dyDescent="0.2">
      <c r="A430" s="86"/>
      <c r="B430" s="110"/>
      <c r="C430" s="111"/>
      <c r="D430" s="112"/>
      <c r="E430" s="118"/>
      <c r="F430" s="113"/>
      <c r="G430" s="60"/>
      <c r="H430" s="84"/>
    </row>
    <row r="431" spans="1:8" ht="15" x14ac:dyDescent="0.2">
      <c r="A431" s="62">
        <f>MAX(A$2:A429)+1</f>
        <v>68</v>
      </c>
      <c r="B431" s="110"/>
      <c r="C431" s="1" t="s">
        <v>41</v>
      </c>
      <c r="D431" s="2"/>
      <c r="E431" s="119" t="s">
        <v>6</v>
      </c>
      <c r="F431" s="209"/>
      <c r="G431" s="4" t="s">
        <v>12</v>
      </c>
      <c r="H431" s="83"/>
    </row>
    <row r="432" spans="1:8" ht="29.25" customHeight="1" x14ac:dyDescent="0.2">
      <c r="A432" s="62"/>
      <c r="B432" s="110"/>
      <c r="C432" s="66"/>
      <c r="D432" s="5" t="s">
        <v>42</v>
      </c>
      <c r="E432" s="120" t="s">
        <v>7</v>
      </c>
      <c r="F432" s="210"/>
      <c r="G432" s="7" t="s">
        <v>12</v>
      </c>
      <c r="H432" s="84"/>
    </row>
    <row r="433" spans="1:8" ht="25.5" customHeight="1" x14ac:dyDescent="0.2">
      <c r="A433" s="86"/>
      <c r="B433" s="110"/>
      <c r="C433" s="111"/>
      <c r="D433" s="112"/>
      <c r="E433" s="75" t="s">
        <v>455</v>
      </c>
      <c r="F433" s="67"/>
      <c r="G433" s="60"/>
      <c r="H433" s="84"/>
    </row>
    <row r="434" spans="1:8" ht="15" x14ac:dyDescent="0.2">
      <c r="A434" s="86"/>
      <c r="B434" s="110"/>
      <c r="C434" s="111"/>
      <c r="D434" s="112"/>
      <c r="E434" s="118"/>
      <c r="F434" s="113"/>
      <c r="G434" s="60"/>
      <c r="H434" s="84"/>
    </row>
    <row r="435" spans="1:8" ht="25.5" x14ac:dyDescent="0.2">
      <c r="A435" s="62">
        <f>MAX(A$2:A433)+1</f>
        <v>69</v>
      </c>
      <c r="B435" s="110"/>
      <c r="C435" s="17" t="s">
        <v>52</v>
      </c>
      <c r="D435" s="18"/>
      <c r="E435" s="103" t="s">
        <v>55</v>
      </c>
      <c r="F435" s="226"/>
      <c r="G435" s="20" t="s">
        <v>51</v>
      </c>
      <c r="H435" s="83"/>
    </row>
    <row r="436" spans="1:8" ht="25.5" x14ac:dyDescent="0.2">
      <c r="A436" s="86"/>
      <c r="B436" s="110"/>
      <c r="C436" s="66"/>
      <c r="D436" s="126" t="s">
        <v>364</v>
      </c>
      <c r="E436" s="127" t="s">
        <v>430</v>
      </c>
      <c r="F436" s="232"/>
      <c r="G436" s="60" t="s">
        <v>51</v>
      </c>
      <c r="H436" s="84"/>
    </row>
    <row r="437" spans="1:8" ht="25.5" customHeight="1" x14ac:dyDescent="0.2">
      <c r="A437" s="86"/>
      <c r="B437" s="110"/>
      <c r="C437" s="66"/>
      <c r="D437" s="126"/>
      <c r="E437" s="75" t="s">
        <v>431</v>
      </c>
      <c r="F437" s="237"/>
      <c r="G437" s="60"/>
      <c r="H437" s="84"/>
    </row>
    <row r="438" spans="1:8" ht="25.5" customHeight="1" x14ac:dyDescent="0.2">
      <c r="A438" s="86"/>
      <c r="B438" s="110"/>
      <c r="C438" s="66"/>
      <c r="D438" s="126"/>
      <c r="E438" s="75" t="s">
        <v>432</v>
      </c>
      <c r="F438" s="237"/>
      <c r="G438" s="60"/>
      <c r="H438" s="84"/>
    </row>
    <row r="439" spans="1:8" ht="25.5" customHeight="1" x14ac:dyDescent="0.2">
      <c r="A439" s="86"/>
      <c r="B439" s="110"/>
      <c r="C439" s="66"/>
      <c r="D439" s="126"/>
      <c r="E439" s="75" t="s">
        <v>433</v>
      </c>
      <c r="F439" s="238"/>
      <c r="G439" s="60"/>
      <c r="H439" s="84"/>
    </row>
    <row r="440" spans="1:8" ht="15" x14ac:dyDescent="0.2">
      <c r="A440" s="86"/>
      <c r="B440" s="110"/>
      <c r="C440" s="66"/>
      <c r="D440" s="126"/>
      <c r="E440" s="77" t="s">
        <v>298</v>
      </c>
      <c r="F440" s="237">
        <f>SUM(F437:F439)</f>
        <v>0</v>
      </c>
      <c r="G440" s="60"/>
      <c r="H440" s="84"/>
    </row>
    <row r="441" spans="1:8" ht="15" x14ac:dyDescent="0.2">
      <c r="A441" s="86"/>
      <c r="B441" s="110"/>
      <c r="C441" s="66"/>
      <c r="D441" s="126"/>
      <c r="E441" s="77"/>
      <c r="F441" s="232"/>
      <c r="G441" s="60"/>
      <c r="H441" s="84"/>
    </row>
    <row r="442" spans="1:8" ht="25.5" x14ac:dyDescent="0.2">
      <c r="A442" s="86"/>
      <c r="B442" s="110"/>
      <c r="C442" s="28"/>
      <c r="D442" s="121" t="s">
        <v>53</v>
      </c>
      <c r="E442" s="122" t="s">
        <v>56</v>
      </c>
      <c r="F442" s="231"/>
      <c r="G442" s="81" t="s">
        <v>51</v>
      </c>
      <c r="H442" s="80"/>
    </row>
    <row r="443" spans="1:8" ht="15" x14ac:dyDescent="0.2">
      <c r="A443" s="86"/>
      <c r="B443" s="110"/>
      <c r="C443" s="66"/>
      <c r="D443" s="126"/>
      <c r="E443" s="127"/>
      <c r="F443" s="232"/>
      <c r="G443" s="60"/>
      <c r="H443" s="84"/>
    </row>
    <row r="444" spans="1:8" ht="25.5" x14ac:dyDescent="0.2">
      <c r="A444" s="86"/>
      <c r="B444" s="110"/>
      <c r="C444" s="66"/>
      <c r="D444" s="114" t="s">
        <v>54</v>
      </c>
      <c r="E444" s="115" t="s">
        <v>57</v>
      </c>
      <c r="F444" s="229"/>
      <c r="G444" s="60" t="s">
        <v>51</v>
      </c>
      <c r="H444" s="84"/>
    </row>
    <row r="445" spans="1:8" ht="12.75" customHeight="1" x14ac:dyDescent="0.2">
      <c r="A445" s="86"/>
      <c r="B445" s="110"/>
      <c r="C445" s="66"/>
      <c r="D445" s="114"/>
      <c r="E445" s="75" t="s">
        <v>434</v>
      </c>
      <c r="F445" s="230"/>
      <c r="G445" s="60"/>
      <c r="H445" s="84"/>
    </row>
    <row r="446" spans="1:8" ht="15" x14ac:dyDescent="0.2">
      <c r="A446" s="86"/>
      <c r="B446" s="110"/>
      <c r="C446" s="111"/>
      <c r="D446" s="112"/>
      <c r="E446" s="118"/>
      <c r="F446" s="113"/>
      <c r="G446" s="60"/>
      <c r="H446" s="84"/>
    </row>
    <row r="447" spans="1:8" ht="25.5" x14ac:dyDescent="0.2">
      <c r="A447" s="62">
        <f>MAX(A$2:A445)+1</f>
        <v>70</v>
      </c>
      <c r="B447" s="110"/>
      <c r="C447" s="1" t="s">
        <v>58</v>
      </c>
      <c r="D447" s="2"/>
      <c r="E447" s="119" t="s">
        <v>64</v>
      </c>
      <c r="F447" s="209"/>
      <c r="G447" s="4" t="s">
        <v>5</v>
      </c>
      <c r="H447" s="83"/>
    </row>
    <row r="448" spans="1:8" ht="25.5" x14ac:dyDescent="0.2">
      <c r="A448" s="62"/>
      <c r="B448" s="110"/>
      <c r="C448" s="66"/>
      <c r="D448" s="5" t="s">
        <v>59</v>
      </c>
      <c r="E448" s="120" t="s">
        <v>65</v>
      </c>
      <c r="F448" s="210"/>
      <c r="G448" s="7" t="s">
        <v>5</v>
      </c>
      <c r="H448" s="84"/>
    </row>
    <row r="449" spans="1:10" ht="15" x14ac:dyDescent="0.2">
      <c r="A449" s="86"/>
      <c r="B449" s="110"/>
      <c r="C449" s="111"/>
      <c r="D449" s="112"/>
      <c r="E449" s="75" t="s">
        <v>435</v>
      </c>
      <c r="F449" s="113"/>
      <c r="G449" s="60"/>
      <c r="H449" s="84"/>
    </row>
    <row r="450" spans="1:10" ht="15" x14ac:dyDescent="0.2">
      <c r="A450" s="86"/>
      <c r="B450" s="110"/>
      <c r="C450" s="111"/>
      <c r="D450" s="112"/>
      <c r="E450" s="75"/>
      <c r="F450" s="113"/>
      <c r="G450" s="60"/>
      <c r="H450" s="84"/>
    </row>
    <row r="451" spans="1:10" ht="25.5" x14ac:dyDescent="0.2">
      <c r="A451" s="62">
        <f>MAX(A$2:A449)+1</f>
        <v>71</v>
      </c>
      <c r="B451" s="110"/>
      <c r="C451" s="17" t="s">
        <v>72</v>
      </c>
      <c r="D451" s="18"/>
      <c r="E451" s="103" t="s">
        <v>73</v>
      </c>
      <c r="F451" s="226"/>
      <c r="G451" s="20" t="s">
        <v>8</v>
      </c>
      <c r="H451" s="83"/>
    </row>
    <row r="452" spans="1:10" x14ac:dyDescent="0.2">
      <c r="A452" s="62"/>
      <c r="B452" s="133"/>
      <c r="C452" s="134"/>
      <c r="D452" s="135"/>
      <c r="E452" s="75" t="s">
        <v>272</v>
      </c>
      <c r="F452" s="136"/>
      <c r="G452" s="60"/>
      <c r="H452" s="84"/>
    </row>
    <row r="453" spans="1:10" x14ac:dyDescent="0.2">
      <c r="A453" s="86"/>
      <c r="B453" s="133"/>
      <c r="C453" s="137"/>
      <c r="D453" s="138"/>
      <c r="E453" s="102" t="s">
        <v>273</v>
      </c>
      <c r="F453" s="139"/>
      <c r="G453" s="81"/>
      <c r="H453" s="80"/>
    </row>
    <row r="454" spans="1:10" x14ac:dyDescent="0.2">
      <c r="A454" s="86"/>
      <c r="B454" s="140"/>
      <c r="C454" s="141"/>
      <c r="D454" s="141"/>
      <c r="E454" s="142"/>
      <c r="F454" s="239"/>
      <c r="G454" s="141"/>
      <c r="H454" s="143"/>
    </row>
    <row r="455" spans="1:10" x14ac:dyDescent="0.2">
      <c r="A455" s="62">
        <f>MAX(A$2:A453)+1</f>
        <v>72</v>
      </c>
      <c r="B455" s="140"/>
      <c r="C455" s="1" t="s">
        <v>74</v>
      </c>
      <c r="D455" s="2"/>
      <c r="E455" s="119" t="s">
        <v>75</v>
      </c>
      <c r="F455" s="209"/>
      <c r="G455" s="4" t="s">
        <v>12</v>
      </c>
      <c r="H455" s="144"/>
    </row>
    <row r="456" spans="1:10" ht="25.5" x14ac:dyDescent="0.2">
      <c r="A456" s="62"/>
      <c r="B456" s="140"/>
      <c r="C456" s="9"/>
      <c r="D456" s="5" t="s">
        <v>76</v>
      </c>
      <c r="E456" s="120" t="s">
        <v>77</v>
      </c>
      <c r="F456" s="210"/>
      <c r="G456" s="7" t="s">
        <v>12</v>
      </c>
      <c r="H456" s="143"/>
    </row>
    <row r="457" spans="1:10" x14ac:dyDescent="0.2">
      <c r="A457" s="145"/>
      <c r="B457" s="140"/>
      <c r="C457" s="141"/>
      <c r="D457" s="141"/>
      <c r="E457" s="76" t="s">
        <v>436</v>
      </c>
      <c r="F457" s="239"/>
      <c r="G457" s="141"/>
      <c r="H457" s="143"/>
    </row>
    <row r="458" spans="1:10" x14ac:dyDescent="0.2">
      <c r="A458" s="145"/>
      <c r="B458" s="140"/>
      <c r="C458" s="141"/>
      <c r="D458" s="141"/>
      <c r="E458" s="76" t="s">
        <v>437</v>
      </c>
      <c r="F458" s="240"/>
      <c r="G458" s="141"/>
      <c r="H458" s="143"/>
    </row>
    <row r="459" spans="1:10" x14ac:dyDescent="0.2">
      <c r="A459" s="145"/>
      <c r="B459" s="140"/>
      <c r="C459" s="141"/>
      <c r="D459" s="141"/>
      <c r="E459" s="77" t="s">
        <v>298</v>
      </c>
      <c r="F459" s="239">
        <f>SUM(F457:F458)</f>
        <v>0</v>
      </c>
      <c r="G459" s="141"/>
      <c r="H459" s="143"/>
    </row>
    <row r="460" spans="1:10" ht="15" x14ac:dyDescent="0.2">
      <c r="A460" s="86"/>
      <c r="B460" s="110"/>
      <c r="C460" s="66"/>
      <c r="D460" s="25"/>
      <c r="E460" s="72"/>
      <c r="F460" s="227"/>
      <c r="G460" s="26"/>
      <c r="H460" s="84"/>
    </row>
    <row r="461" spans="1:10" x14ac:dyDescent="0.2">
      <c r="A461" s="86"/>
      <c r="B461" s="108" t="s">
        <v>78</v>
      </c>
      <c r="C461" s="146"/>
      <c r="D461" s="147"/>
      <c r="E461" s="109" t="s">
        <v>79</v>
      </c>
      <c r="F461" s="113"/>
      <c r="G461" s="60"/>
      <c r="H461" s="84"/>
    </row>
    <row r="462" spans="1:10" ht="15" x14ac:dyDescent="0.2">
      <c r="A462" s="86"/>
      <c r="B462" s="110"/>
      <c r="C462" s="111"/>
      <c r="D462" s="112"/>
      <c r="E462" s="118"/>
      <c r="F462" s="113"/>
      <c r="G462" s="60"/>
      <c r="H462" s="84"/>
    </row>
    <row r="463" spans="1:10" ht="25.5" x14ac:dyDescent="0.2">
      <c r="A463" s="273">
        <f>MAX(A$2:A461)+1</f>
        <v>73</v>
      </c>
      <c r="B463" s="274"/>
      <c r="C463" s="183" t="s">
        <v>29</v>
      </c>
      <c r="D463" s="184"/>
      <c r="E463" s="275" t="s">
        <v>50</v>
      </c>
      <c r="F463" s="211"/>
      <c r="G463" s="186" t="s">
        <v>12</v>
      </c>
      <c r="H463" s="179">
        <f>F471</f>
        <v>12</v>
      </c>
    </row>
    <row r="464" spans="1:10" s="128" customFormat="1" ht="25.5" x14ac:dyDescent="0.2">
      <c r="A464" s="285"/>
      <c r="B464" s="298"/>
      <c r="C464" s="286"/>
      <c r="D464" s="287" t="s">
        <v>30</v>
      </c>
      <c r="E464" s="288" t="s">
        <v>34</v>
      </c>
      <c r="F464" s="289"/>
      <c r="G464" s="290" t="s">
        <v>12</v>
      </c>
      <c r="H464" s="181"/>
      <c r="I464" s="120"/>
      <c r="J464" s="299"/>
    </row>
    <row r="465" spans="1:8" ht="15" x14ac:dyDescent="0.2">
      <c r="A465" s="276"/>
      <c r="B465" s="274"/>
      <c r="C465" s="277"/>
      <c r="D465" s="188"/>
      <c r="E465" s="69"/>
      <c r="F465" s="40"/>
      <c r="G465" s="190"/>
      <c r="H465" s="180"/>
    </row>
    <row r="466" spans="1:8" ht="15" x14ac:dyDescent="0.2">
      <c r="A466" s="86"/>
      <c r="B466" s="110"/>
      <c r="C466" s="66"/>
      <c r="D466" s="25"/>
      <c r="E466" s="72"/>
      <c r="F466" s="227"/>
      <c r="G466" s="26"/>
      <c r="H466" s="84"/>
    </row>
    <row r="467" spans="1:8" ht="25.5" x14ac:dyDescent="0.2">
      <c r="A467" s="86"/>
      <c r="B467" s="110"/>
      <c r="C467" s="66"/>
      <c r="D467" s="195" t="s">
        <v>31</v>
      </c>
      <c r="E467" s="284" t="s">
        <v>35</v>
      </c>
      <c r="F467" s="206"/>
      <c r="G467" s="194" t="s">
        <v>12</v>
      </c>
      <c r="H467" s="272">
        <f>F470</f>
        <v>12</v>
      </c>
    </row>
    <row r="468" spans="1:8" ht="15" x14ac:dyDescent="0.2">
      <c r="A468" s="86"/>
      <c r="B468" s="110"/>
      <c r="C468" s="66"/>
      <c r="D468" s="195"/>
      <c r="E468" s="74" t="s">
        <v>271</v>
      </c>
      <c r="F468" s="206"/>
      <c r="G468" s="194"/>
      <c r="H468" s="84"/>
    </row>
    <row r="469" spans="1:8" ht="15" x14ac:dyDescent="0.2">
      <c r="A469" s="86"/>
      <c r="B469" s="110"/>
      <c r="C469" s="66"/>
      <c r="D469" s="195"/>
      <c r="E469" s="69" t="s">
        <v>398</v>
      </c>
      <c r="F469" s="212"/>
      <c r="G469" s="194"/>
      <c r="H469" s="84"/>
    </row>
    <row r="470" spans="1:8" ht="15" x14ac:dyDescent="0.2">
      <c r="A470" s="86"/>
      <c r="B470" s="110"/>
      <c r="C470" s="66"/>
      <c r="D470" s="195"/>
      <c r="E470" s="177" t="s">
        <v>537</v>
      </c>
      <c r="F470" s="246">
        <f>1.2*10</f>
        <v>12</v>
      </c>
      <c r="G470" s="194"/>
      <c r="H470" s="84"/>
    </row>
    <row r="471" spans="1:8" ht="15" x14ac:dyDescent="0.2">
      <c r="A471" s="86"/>
      <c r="B471" s="110"/>
      <c r="C471" s="66"/>
      <c r="D471" s="195"/>
      <c r="E471" s="197" t="s">
        <v>298</v>
      </c>
      <c r="F471" s="279">
        <f>SUM(F465:F470)</f>
        <v>12</v>
      </c>
      <c r="G471" s="194"/>
      <c r="H471" s="84"/>
    </row>
    <row r="472" spans="1:8" ht="15" x14ac:dyDescent="0.2">
      <c r="A472" s="86"/>
      <c r="B472" s="110"/>
      <c r="C472" s="66"/>
      <c r="D472" s="25"/>
      <c r="E472" s="106"/>
      <c r="F472" s="227"/>
      <c r="G472" s="26"/>
      <c r="H472" s="84"/>
    </row>
    <row r="473" spans="1:8" ht="25.5" x14ac:dyDescent="0.2">
      <c r="A473" s="62">
        <f>MAX(A$2:A471)+1</f>
        <v>74</v>
      </c>
      <c r="B473" s="110"/>
      <c r="C473" s="1" t="s">
        <v>32</v>
      </c>
      <c r="D473" s="2"/>
      <c r="E473" s="119" t="s">
        <v>36</v>
      </c>
      <c r="F473" s="226"/>
      <c r="G473" s="20" t="s">
        <v>12</v>
      </c>
      <c r="H473" s="83"/>
    </row>
    <row r="474" spans="1:8" ht="25.5" x14ac:dyDescent="0.2">
      <c r="A474" s="86"/>
      <c r="B474" s="110"/>
      <c r="C474" s="66"/>
      <c r="D474" s="5" t="s">
        <v>33</v>
      </c>
      <c r="E474" s="120" t="s">
        <v>37</v>
      </c>
      <c r="F474" s="210"/>
      <c r="G474" s="7" t="s">
        <v>12</v>
      </c>
      <c r="H474" s="84"/>
    </row>
    <row r="475" spans="1:8" ht="25.5" x14ac:dyDescent="0.2">
      <c r="A475" s="86"/>
      <c r="B475" s="110"/>
      <c r="C475" s="111"/>
      <c r="D475" s="112"/>
      <c r="E475" s="72" t="s">
        <v>400</v>
      </c>
      <c r="F475" s="67"/>
      <c r="G475" s="60"/>
      <c r="H475" s="84"/>
    </row>
    <row r="476" spans="1:8" ht="15" x14ac:dyDescent="0.2">
      <c r="A476" s="86"/>
      <c r="B476" s="110"/>
      <c r="C476" s="111"/>
      <c r="D476" s="112"/>
      <c r="E476" s="118"/>
      <c r="F476" s="113"/>
      <c r="G476" s="60"/>
      <c r="H476" s="84"/>
    </row>
    <row r="477" spans="1:8" ht="25.5" x14ac:dyDescent="0.2">
      <c r="A477" s="62">
        <f>MAX(A$2:A475)+1</f>
        <v>75</v>
      </c>
      <c r="B477" s="110"/>
      <c r="C477" s="1" t="s">
        <v>40</v>
      </c>
      <c r="D477" s="2"/>
      <c r="E477" s="119" t="s">
        <v>9</v>
      </c>
      <c r="F477" s="209"/>
      <c r="G477" s="4" t="s">
        <v>12</v>
      </c>
      <c r="H477" s="83"/>
    </row>
    <row r="478" spans="1:8" ht="25.5" x14ac:dyDescent="0.2">
      <c r="A478" s="86"/>
      <c r="B478" s="110"/>
      <c r="C478" s="17"/>
      <c r="D478" s="5" t="s">
        <v>44</v>
      </c>
      <c r="E478" s="120" t="s">
        <v>10</v>
      </c>
      <c r="F478" s="210"/>
      <c r="G478" s="7" t="s">
        <v>12</v>
      </c>
      <c r="H478" s="84"/>
    </row>
    <row r="479" spans="1:8" ht="25.5" x14ac:dyDescent="0.2">
      <c r="A479" s="86"/>
      <c r="B479" s="110"/>
      <c r="C479" s="17"/>
      <c r="D479" s="5"/>
      <c r="E479" s="72" t="s">
        <v>401</v>
      </c>
      <c r="F479" s="235"/>
      <c r="G479" s="7"/>
      <c r="H479" s="84"/>
    </row>
    <row r="480" spans="1:8" ht="30.75" customHeight="1" x14ac:dyDescent="0.2">
      <c r="A480" s="86"/>
      <c r="B480" s="110"/>
      <c r="C480" s="17"/>
      <c r="D480" s="5"/>
      <c r="E480" s="72" t="s">
        <v>399</v>
      </c>
      <c r="F480" s="236"/>
      <c r="G480" s="7"/>
      <c r="H480" s="84"/>
    </row>
    <row r="481" spans="1:8" ht="15" x14ac:dyDescent="0.2">
      <c r="A481" s="86"/>
      <c r="B481" s="110"/>
      <c r="C481" s="17"/>
      <c r="D481" s="5"/>
      <c r="E481" s="77" t="s">
        <v>298</v>
      </c>
      <c r="F481" s="235">
        <f>SUM(F479:F480)</f>
        <v>0</v>
      </c>
      <c r="G481" s="7"/>
      <c r="H481" s="84"/>
    </row>
    <row r="482" spans="1:8" ht="15" x14ac:dyDescent="0.2">
      <c r="A482" s="86"/>
      <c r="B482" s="110"/>
      <c r="C482" s="17"/>
      <c r="D482" s="18"/>
      <c r="E482" s="103"/>
      <c r="F482" s="226"/>
      <c r="G482" s="20"/>
      <c r="H482" s="84"/>
    </row>
    <row r="483" spans="1:8" ht="25.5" x14ac:dyDescent="0.2">
      <c r="A483" s="86"/>
      <c r="B483" s="110"/>
      <c r="C483" s="101"/>
      <c r="D483" s="10" t="s">
        <v>45</v>
      </c>
      <c r="E483" s="90" t="s">
        <v>11</v>
      </c>
      <c r="F483" s="217"/>
      <c r="G483" s="12" t="s">
        <v>12</v>
      </c>
      <c r="H483" s="80"/>
    </row>
    <row r="484" spans="1:8" ht="15" x14ac:dyDescent="0.2">
      <c r="A484" s="86"/>
      <c r="B484" s="110"/>
      <c r="C484" s="123"/>
      <c r="D484" s="124"/>
      <c r="E484" s="85" t="s">
        <v>278</v>
      </c>
      <c r="F484" s="125"/>
      <c r="G484" s="81"/>
      <c r="H484" s="80"/>
    </row>
    <row r="485" spans="1:8" ht="15" x14ac:dyDescent="0.2">
      <c r="A485" s="86"/>
      <c r="B485" s="110"/>
      <c r="C485" s="111"/>
      <c r="D485" s="112"/>
      <c r="E485" s="118"/>
      <c r="F485" s="113"/>
      <c r="G485" s="60"/>
      <c r="H485" s="84"/>
    </row>
    <row r="486" spans="1:8" ht="25.5" x14ac:dyDescent="0.2">
      <c r="A486" s="162">
        <f>MAX(A$1:A485)+1</f>
        <v>76</v>
      </c>
      <c r="B486" s="249"/>
      <c r="C486" s="164" t="s">
        <v>46</v>
      </c>
      <c r="D486" s="165"/>
      <c r="E486" s="258" t="s">
        <v>43</v>
      </c>
      <c r="F486" s="204"/>
      <c r="G486" s="167" t="s">
        <v>12</v>
      </c>
      <c r="H486" s="179">
        <f>F488</f>
        <v>65</v>
      </c>
    </row>
    <row r="487" spans="1:8" ht="25.5" x14ac:dyDescent="0.2">
      <c r="A487" s="199"/>
      <c r="B487" s="249"/>
      <c r="C487" s="200"/>
      <c r="D487" s="171" t="s">
        <v>47</v>
      </c>
      <c r="E487" s="259" t="s">
        <v>18</v>
      </c>
      <c r="F487" s="208"/>
      <c r="G487" s="173" t="s">
        <v>12</v>
      </c>
      <c r="H487" s="180"/>
    </row>
    <row r="488" spans="1:8" ht="25.5" x14ac:dyDescent="0.2">
      <c r="A488" s="199"/>
      <c r="B488" s="249"/>
      <c r="C488" s="260"/>
      <c r="D488" s="261"/>
      <c r="E488" s="74" t="s">
        <v>594</v>
      </c>
      <c r="F488" s="73">
        <f>10*6.5</f>
        <v>65</v>
      </c>
      <c r="G488" s="175"/>
      <c r="H488" s="180"/>
    </row>
    <row r="489" spans="1:8" ht="15" x14ac:dyDescent="0.2">
      <c r="A489" s="86"/>
      <c r="B489" s="110"/>
      <c r="C489" s="111"/>
      <c r="D489" s="112"/>
      <c r="E489" s="118"/>
      <c r="F489" s="113"/>
      <c r="G489" s="60"/>
      <c r="H489" s="181"/>
    </row>
    <row r="490" spans="1:8" ht="15" x14ac:dyDescent="0.2">
      <c r="A490" s="162">
        <f>MAX(A$1:A489)+1</f>
        <v>77</v>
      </c>
      <c r="B490" s="249"/>
      <c r="C490" s="164" t="s">
        <v>48</v>
      </c>
      <c r="D490" s="165"/>
      <c r="E490" s="258" t="s">
        <v>19</v>
      </c>
      <c r="F490" s="204"/>
      <c r="G490" s="167" t="s">
        <v>12</v>
      </c>
      <c r="H490" s="271">
        <f>F495</f>
        <v>119.95</v>
      </c>
    </row>
    <row r="491" spans="1:8" ht="25.5" x14ac:dyDescent="0.2">
      <c r="A491" s="199"/>
      <c r="B491" s="249"/>
      <c r="C491" s="200"/>
      <c r="D491" s="171" t="s">
        <v>49</v>
      </c>
      <c r="E491" s="259" t="s">
        <v>17</v>
      </c>
      <c r="F491" s="208"/>
      <c r="G491" s="173" t="s">
        <v>12</v>
      </c>
      <c r="H491" s="272"/>
    </row>
    <row r="492" spans="1:8" ht="15" x14ac:dyDescent="0.2">
      <c r="A492" s="199"/>
      <c r="B492" s="249"/>
      <c r="C492" s="260"/>
      <c r="D492" s="261"/>
      <c r="E492" s="74" t="s">
        <v>596</v>
      </c>
      <c r="F492" s="73">
        <f>10*(6.5+2)</f>
        <v>85</v>
      </c>
      <c r="G492" s="175"/>
      <c r="H492" s="272"/>
    </row>
    <row r="493" spans="1:8" ht="15" x14ac:dyDescent="0.2">
      <c r="A493" s="199"/>
      <c r="B493" s="249"/>
      <c r="C493" s="260"/>
      <c r="D493" s="261"/>
      <c r="E493" s="74" t="s">
        <v>595</v>
      </c>
      <c r="F493" s="73">
        <f>1*10*2</f>
        <v>20</v>
      </c>
      <c r="G493" s="175"/>
      <c r="H493" s="272"/>
    </row>
    <row r="494" spans="1:8" ht="15" x14ac:dyDescent="0.2">
      <c r="A494" s="199"/>
      <c r="B494" s="249"/>
      <c r="C494" s="260"/>
      <c r="D494" s="261"/>
      <c r="E494" s="74" t="s">
        <v>538</v>
      </c>
      <c r="F494" s="248">
        <f>1.15*6.5*2</f>
        <v>14.95</v>
      </c>
      <c r="G494" s="175"/>
      <c r="H494" s="272"/>
    </row>
    <row r="495" spans="1:8" ht="15" x14ac:dyDescent="0.2">
      <c r="A495" s="199"/>
      <c r="B495" s="249"/>
      <c r="C495" s="260"/>
      <c r="D495" s="261"/>
      <c r="E495" s="197" t="s">
        <v>298</v>
      </c>
      <c r="F495" s="73">
        <f>SUM(F492:F494)</f>
        <v>119.95</v>
      </c>
      <c r="G495" s="175"/>
      <c r="H495" s="272"/>
    </row>
    <row r="496" spans="1:8" ht="25.5" x14ac:dyDescent="0.2">
      <c r="A496" s="199"/>
      <c r="B496" s="249"/>
      <c r="C496" s="260"/>
      <c r="D496" s="261"/>
      <c r="E496" s="74" t="s">
        <v>402</v>
      </c>
      <c r="F496" s="300"/>
      <c r="G496" s="175"/>
      <c r="H496" s="272"/>
    </row>
    <row r="497" spans="1:10" s="105" customFormat="1" ht="15" x14ac:dyDescent="0.2">
      <c r="A497" s="86"/>
      <c r="B497" s="110"/>
      <c r="C497" s="111"/>
      <c r="D497" s="112"/>
      <c r="E497" s="118"/>
      <c r="F497" s="113"/>
      <c r="G497" s="60"/>
      <c r="H497" s="84"/>
      <c r="I497" s="104"/>
      <c r="J497" s="161"/>
    </row>
    <row r="498" spans="1:10" s="105" customFormat="1" x14ac:dyDescent="0.2">
      <c r="A498" s="86"/>
      <c r="B498" s="108" t="s">
        <v>80</v>
      </c>
      <c r="C498" s="146"/>
      <c r="D498" s="147"/>
      <c r="E498" s="109" t="s">
        <v>81</v>
      </c>
      <c r="F498" s="113"/>
      <c r="G498" s="60"/>
      <c r="H498" s="84"/>
      <c r="I498" s="104"/>
      <c r="J498" s="161"/>
    </row>
    <row r="499" spans="1:10" s="105" customFormat="1" ht="15" x14ac:dyDescent="0.2">
      <c r="A499" s="86"/>
      <c r="B499" s="110"/>
      <c r="C499" s="111"/>
      <c r="D499" s="112"/>
      <c r="E499" s="118"/>
      <c r="F499" s="113"/>
      <c r="G499" s="60"/>
      <c r="H499" s="84"/>
      <c r="I499" s="104"/>
      <c r="J499" s="161"/>
    </row>
    <row r="500" spans="1:10" s="105" customFormat="1" ht="25.5" x14ac:dyDescent="0.2">
      <c r="A500" s="62">
        <f>MAX(A$2:A498)+1</f>
        <v>78</v>
      </c>
      <c r="B500" s="110"/>
      <c r="C500" s="1" t="s">
        <v>82</v>
      </c>
      <c r="D500" s="2"/>
      <c r="E500" s="119" t="s">
        <v>83</v>
      </c>
      <c r="F500" s="209"/>
      <c r="G500" s="4" t="s">
        <v>25</v>
      </c>
      <c r="H500" s="182"/>
      <c r="I500" s="104"/>
      <c r="J500" s="161"/>
    </row>
    <row r="501" spans="1:10" s="105" customFormat="1" ht="15" x14ac:dyDescent="0.2">
      <c r="A501" s="86"/>
      <c r="B501" s="110"/>
      <c r="C501" s="111"/>
      <c r="D501" s="112"/>
      <c r="E501" s="118"/>
      <c r="F501" s="113"/>
      <c r="G501" s="60"/>
      <c r="H501" s="181"/>
      <c r="I501" s="104"/>
      <c r="J501" s="161"/>
    </row>
    <row r="502" spans="1:10" s="105" customFormat="1" ht="25.5" x14ac:dyDescent="0.2">
      <c r="A502" s="86"/>
      <c r="B502" s="110"/>
      <c r="C502" s="111"/>
      <c r="D502" s="5" t="s">
        <v>84</v>
      </c>
      <c r="E502" s="120" t="s">
        <v>85</v>
      </c>
      <c r="F502" s="210"/>
      <c r="G502" s="7" t="s">
        <v>25</v>
      </c>
      <c r="H502" s="181"/>
      <c r="I502" s="104"/>
      <c r="J502" s="161"/>
    </row>
    <row r="503" spans="1:10" s="105" customFormat="1" ht="15" x14ac:dyDescent="0.2">
      <c r="A503" s="86"/>
      <c r="B503" s="110"/>
      <c r="C503" s="111"/>
      <c r="D503" s="112"/>
      <c r="E503" s="72" t="s">
        <v>403</v>
      </c>
      <c r="F503" s="67"/>
      <c r="G503" s="60"/>
      <c r="H503" s="181"/>
      <c r="I503" s="104"/>
      <c r="J503" s="161"/>
    </row>
    <row r="504" spans="1:10" s="105" customFormat="1" ht="15" x14ac:dyDescent="0.2">
      <c r="A504" s="86"/>
      <c r="B504" s="110"/>
      <c r="C504" s="111"/>
      <c r="D504" s="112"/>
      <c r="E504" s="118"/>
      <c r="F504" s="113"/>
      <c r="G504" s="60"/>
      <c r="H504" s="181"/>
      <c r="I504" s="104"/>
      <c r="J504" s="161"/>
    </row>
    <row r="505" spans="1:10" s="105" customFormat="1" ht="15" x14ac:dyDescent="0.2">
      <c r="A505" s="273">
        <f>MAX(A$2:A503)+1</f>
        <v>79</v>
      </c>
      <c r="B505" s="274"/>
      <c r="C505" s="183" t="s">
        <v>404</v>
      </c>
      <c r="D505" s="184"/>
      <c r="E505" s="275" t="s">
        <v>405</v>
      </c>
      <c r="F505" s="211"/>
      <c r="G505" s="186" t="s">
        <v>25</v>
      </c>
      <c r="H505" s="179">
        <f>F507</f>
        <v>28</v>
      </c>
      <c r="I505" s="104"/>
      <c r="J505" s="161"/>
    </row>
    <row r="506" spans="1:10" s="105" customFormat="1" ht="15" x14ac:dyDescent="0.2">
      <c r="A506" s="276"/>
      <c r="B506" s="274"/>
      <c r="C506" s="301"/>
      <c r="D506" s="188" t="s">
        <v>406</v>
      </c>
      <c r="E506" s="278" t="s">
        <v>407</v>
      </c>
      <c r="F506" s="212"/>
      <c r="G506" s="190" t="s">
        <v>25</v>
      </c>
      <c r="H506" s="180"/>
      <c r="I506" s="104"/>
      <c r="J506" s="161"/>
    </row>
    <row r="507" spans="1:10" s="105" customFormat="1" ht="25.5" x14ac:dyDescent="0.2">
      <c r="A507" s="276"/>
      <c r="B507" s="274"/>
      <c r="C507" s="301"/>
      <c r="D507" s="302"/>
      <c r="E507" s="69" t="s">
        <v>408</v>
      </c>
      <c r="F507" s="70">
        <f>14*2</f>
        <v>28</v>
      </c>
      <c r="G507" s="191"/>
      <c r="H507" s="180"/>
      <c r="I507" s="104"/>
      <c r="J507" s="161"/>
    </row>
    <row r="508" spans="1:10" s="105" customFormat="1" ht="15" x14ac:dyDescent="0.2">
      <c r="A508" s="86"/>
      <c r="B508" s="110"/>
      <c r="C508" s="111"/>
      <c r="D508" s="112"/>
      <c r="E508" s="118"/>
      <c r="F508" s="113"/>
      <c r="G508" s="60"/>
      <c r="H508" s="181"/>
      <c r="I508" s="104"/>
      <c r="J508" s="161"/>
    </row>
    <row r="509" spans="1:10" x14ac:dyDescent="0.2">
      <c r="A509" s="86"/>
      <c r="B509" s="108" t="s">
        <v>86</v>
      </c>
      <c r="C509" s="108"/>
      <c r="D509" s="15"/>
      <c r="E509" s="109" t="s">
        <v>87</v>
      </c>
      <c r="F509" s="228"/>
      <c r="G509" s="60"/>
      <c r="H509" s="181">
        <f>F515</f>
        <v>21.900000000000002</v>
      </c>
    </row>
    <row r="510" spans="1:10" ht="15" x14ac:dyDescent="0.2">
      <c r="A510" s="86"/>
      <c r="B510" s="110"/>
      <c r="C510" s="111"/>
      <c r="D510" s="112"/>
      <c r="E510" s="118"/>
      <c r="F510" s="113"/>
      <c r="G510" s="60"/>
      <c r="H510" s="181"/>
    </row>
    <row r="511" spans="1:10" ht="25.5" x14ac:dyDescent="0.2">
      <c r="A511" s="162">
        <f>MAX(A$1:A510)+1</f>
        <v>80</v>
      </c>
      <c r="B511" s="249"/>
      <c r="C511" s="164" t="s">
        <v>88</v>
      </c>
      <c r="D511" s="165"/>
      <c r="E511" s="258" t="s">
        <v>89</v>
      </c>
      <c r="F511" s="204"/>
      <c r="G511" s="167" t="s">
        <v>25</v>
      </c>
      <c r="H511" s="179">
        <f>F515</f>
        <v>21.900000000000002</v>
      </c>
    </row>
    <row r="512" spans="1:10" ht="25.5" x14ac:dyDescent="0.2">
      <c r="A512" s="199"/>
      <c r="B512" s="249"/>
      <c r="C512" s="200"/>
      <c r="D512" s="171" t="s">
        <v>409</v>
      </c>
      <c r="E512" s="259" t="s">
        <v>410</v>
      </c>
      <c r="F512" s="208"/>
      <c r="G512" s="173" t="s">
        <v>25</v>
      </c>
      <c r="H512" s="180"/>
    </row>
    <row r="513" spans="1:8" ht="15" x14ac:dyDescent="0.2">
      <c r="A513" s="199"/>
      <c r="B513" s="249"/>
      <c r="C513" s="200"/>
      <c r="D513" s="195"/>
      <c r="E513" s="74" t="s">
        <v>553</v>
      </c>
      <c r="F513" s="279">
        <f>10.65+0.3</f>
        <v>10.950000000000001</v>
      </c>
      <c r="G513" s="194"/>
      <c r="H513" s="180"/>
    </row>
    <row r="514" spans="1:8" ht="15" x14ac:dyDescent="0.2">
      <c r="A514" s="199"/>
      <c r="B514" s="249"/>
      <c r="C514" s="250"/>
      <c r="D514" s="251"/>
      <c r="E514" s="74" t="s">
        <v>554</v>
      </c>
      <c r="F514" s="280">
        <f>10.65+0.3</f>
        <v>10.950000000000001</v>
      </c>
      <c r="G514" s="254"/>
      <c r="H514" s="180"/>
    </row>
    <row r="515" spans="1:8" ht="15" x14ac:dyDescent="0.2">
      <c r="A515" s="199"/>
      <c r="B515" s="249"/>
      <c r="C515" s="250"/>
      <c r="D515" s="251"/>
      <c r="E515" s="197" t="s">
        <v>556</v>
      </c>
      <c r="F515" s="279">
        <f>SUM(F513:F514)</f>
        <v>21.900000000000002</v>
      </c>
      <c r="G515" s="254"/>
      <c r="H515" s="180"/>
    </row>
    <row r="516" spans="1:8" ht="15" x14ac:dyDescent="0.2">
      <c r="A516" s="199"/>
      <c r="B516" s="249"/>
      <c r="C516" s="250"/>
      <c r="D516" s="251"/>
      <c r="E516" s="74" t="s">
        <v>555</v>
      </c>
      <c r="F516" s="279"/>
      <c r="G516" s="254"/>
      <c r="H516" s="180"/>
    </row>
    <row r="517" spans="1:8" ht="15" x14ac:dyDescent="0.2">
      <c r="A517" s="86"/>
      <c r="B517" s="110"/>
      <c r="C517" s="66"/>
      <c r="D517" s="25"/>
      <c r="E517" s="106"/>
      <c r="F517" s="227"/>
      <c r="G517" s="26"/>
      <c r="H517" s="181"/>
    </row>
    <row r="518" spans="1:8" ht="15" x14ac:dyDescent="0.2">
      <c r="A518" s="273">
        <f>MAX(A$1:A517)+1</f>
        <v>81</v>
      </c>
      <c r="B518" s="274"/>
      <c r="C518" s="183" t="s">
        <v>280</v>
      </c>
      <c r="D518" s="184"/>
      <c r="E518" s="275" t="s">
        <v>281</v>
      </c>
      <c r="F518" s="211"/>
      <c r="G518" s="186" t="s">
        <v>25</v>
      </c>
      <c r="H518" s="179">
        <f>F520</f>
        <v>45</v>
      </c>
    </row>
    <row r="519" spans="1:8" ht="25.5" x14ac:dyDescent="0.2">
      <c r="A519" s="276"/>
      <c r="B519" s="274"/>
      <c r="C519" s="277"/>
      <c r="D519" s="188" t="s">
        <v>282</v>
      </c>
      <c r="E519" s="278" t="s">
        <v>283</v>
      </c>
      <c r="F519" s="212"/>
      <c r="G519" s="190" t="s">
        <v>25</v>
      </c>
      <c r="H519" s="180"/>
    </row>
    <row r="520" spans="1:8" ht="15" x14ac:dyDescent="0.2">
      <c r="A520" s="276"/>
      <c r="B520" s="274"/>
      <c r="C520" s="277"/>
      <c r="D520" s="188"/>
      <c r="E520" s="278" t="s">
        <v>597</v>
      </c>
      <c r="F520" s="279">
        <f>10*4.5</f>
        <v>45</v>
      </c>
      <c r="G520" s="190"/>
      <c r="H520" s="180"/>
    </row>
    <row r="521" spans="1:8" ht="25.5" x14ac:dyDescent="0.2">
      <c r="A521" s="276"/>
      <c r="B521" s="274"/>
      <c r="C521" s="277"/>
      <c r="D521" s="188"/>
      <c r="E521" s="291" t="s">
        <v>284</v>
      </c>
      <c r="F521" s="212"/>
      <c r="G521" s="190"/>
      <c r="H521" s="180"/>
    </row>
    <row r="522" spans="1:8" ht="15" x14ac:dyDescent="0.2">
      <c r="A522" s="86"/>
      <c r="B522" s="110"/>
      <c r="C522" s="9"/>
      <c r="D522" s="5"/>
      <c r="E522" s="120"/>
      <c r="F522" s="210"/>
      <c r="G522" s="7"/>
      <c r="H522" s="84"/>
    </row>
    <row r="523" spans="1:8" ht="15" x14ac:dyDescent="0.2">
      <c r="A523" s="62">
        <f>MAX(A$2:A521)+1</f>
        <v>82</v>
      </c>
      <c r="B523" s="110"/>
      <c r="C523" s="1" t="s">
        <v>60</v>
      </c>
      <c r="D523" s="2"/>
      <c r="E523" s="119" t="s">
        <v>61</v>
      </c>
      <c r="F523" s="209"/>
      <c r="G523" s="4" t="s">
        <v>12</v>
      </c>
      <c r="H523" s="83"/>
    </row>
    <row r="524" spans="1:8" ht="15" x14ac:dyDescent="0.2">
      <c r="A524" s="62"/>
      <c r="B524" s="110"/>
      <c r="C524" s="66"/>
      <c r="D524" s="5" t="s">
        <v>62</v>
      </c>
      <c r="E524" s="120" t="s">
        <v>63</v>
      </c>
      <c r="F524" s="210"/>
      <c r="G524" s="7" t="s">
        <v>12</v>
      </c>
      <c r="H524" s="84"/>
    </row>
    <row r="525" spans="1:8" ht="15" x14ac:dyDescent="0.2">
      <c r="A525" s="62"/>
      <c r="B525" s="110"/>
      <c r="C525" s="66"/>
      <c r="D525" s="5"/>
      <c r="E525" s="120" t="s">
        <v>411</v>
      </c>
      <c r="F525" s="235"/>
      <c r="G525" s="7"/>
      <c r="H525" s="84"/>
    </row>
    <row r="526" spans="1:8" ht="15" x14ac:dyDescent="0.2">
      <c r="A526" s="86"/>
      <c r="B526" s="110"/>
      <c r="C526" s="66"/>
      <c r="D526" s="25"/>
      <c r="E526" s="72" t="s">
        <v>274</v>
      </c>
      <c r="F526" s="227"/>
      <c r="G526" s="26"/>
      <c r="H526" s="84"/>
    </row>
    <row r="527" spans="1:8" ht="15" x14ac:dyDescent="0.2">
      <c r="A527" s="86"/>
      <c r="B527" s="110"/>
      <c r="C527" s="66"/>
      <c r="D527" s="25"/>
      <c r="E527" s="106"/>
      <c r="F527" s="227"/>
      <c r="G527" s="26"/>
      <c r="H527" s="84"/>
    </row>
    <row r="528" spans="1:8" ht="15" x14ac:dyDescent="0.2">
      <c r="A528" s="62">
        <f>MAX(A$2:A526)+1</f>
        <v>83</v>
      </c>
      <c r="B528" s="110"/>
      <c r="C528" s="17" t="s">
        <v>66</v>
      </c>
      <c r="D528" s="18"/>
      <c r="E528" s="103" t="s">
        <v>67</v>
      </c>
      <c r="F528" s="226"/>
      <c r="G528" s="148" t="s">
        <v>12</v>
      </c>
      <c r="H528" s="83"/>
    </row>
    <row r="529" spans="1:8" ht="15" x14ac:dyDescent="0.2">
      <c r="A529" s="62"/>
      <c r="B529" s="110"/>
      <c r="C529" s="66"/>
      <c r="D529" s="25" t="s">
        <v>68</v>
      </c>
      <c r="E529" s="106" t="s">
        <v>69</v>
      </c>
      <c r="F529" s="227"/>
      <c r="G529" s="149" t="s">
        <v>12</v>
      </c>
      <c r="H529" s="84"/>
    </row>
    <row r="530" spans="1:8" ht="15" x14ac:dyDescent="0.2">
      <c r="A530" s="62"/>
      <c r="B530" s="110"/>
      <c r="C530" s="66"/>
      <c r="D530" s="25"/>
      <c r="E530" s="106"/>
      <c r="F530" s="227"/>
      <c r="G530" s="149"/>
      <c r="H530" s="181"/>
    </row>
    <row r="531" spans="1:8" ht="25.5" x14ac:dyDescent="0.2">
      <c r="A531" s="62">
        <f>MAX(A$2:A529)+1</f>
        <v>84</v>
      </c>
      <c r="B531" s="110"/>
      <c r="C531" s="292" t="s">
        <v>534</v>
      </c>
      <c r="D531" s="293"/>
      <c r="E531" s="294" t="s">
        <v>535</v>
      </c>
      <c r="F531" s="295"/>
      <c r="G531" s="296" t="s">
        <v>8</v>
      </c>
      <c r="H531" s="179">
        <f>F534</f>
        <v>11</v>
      </c>
    </row>
    <row r="532" spans="1:8" ht="15" x14ac:dyDescent="0.2">
      <c r="A532" s="62"/>
      <c r="B532" s="110"/>
      <c r="C532" s="292"/>
      <c r="D532" s="293"/>
      <c r="E532" s="297" t="s">
        <v>536</v>
      </c>
      <c r="F532" s="295"/>
      <c r="G532" s="296"/>
      <c r="H532" s="181"/>
    </row>
    <row r="533" spans="1:8" ht="25.5" x14ac:dyDescent="0.2">
      <c r="A533" s="62"/>
      <c r="B533" s="110"/>
      <c r="C533" s="66"/>
      <c r="D533" s="25"/>
      <c r="E533" s="297" t="s">
        <v>581</v>
      </c>
      <c r="F533" s="279">
        <v>11</v>
      </c>
      <c r="G533" s="149"/>
      <c r="H533" s="181"/>
    </row>
    <row r="534" spans="1:8" ht="15" x14ac:dyDescent="0.2">
      <c r="A534" s="62"/>
      <c r="B534" s="110"/>
      <c r="C534" s="66"/>
      <c r="D534" s="25"/>
      <c r="E534" s="106"/>
      <c r="F534" s="279">
        <f>SUM(F533:F533)</f>
        <v>11</v>
      </c>
      <c r="G534" s="149"/>
      <c r="H534" s="181"/>
    </row>
    <row r="535" spans="1:8" ht="15" x14ac:dyDescent="0.2">
      <c r="A535" s="86"/>
      <c r="B535" s="110"/>
      <c r="C535" s="111"/>
      <c r="D535" s="112"/>
      <c r="E535" s="118"/>
      <c r="F535" s="113"/>
      <c r="G535" s="60"/>
      <c r="H535" s="181"/>
    </row>
    <row r="536" spans="1:8" ht="25.5" x14ac:dyDescent="0.2">
      <c r="A536" s="62">
        <f>MAX(A$2:A529)+1</f>
        <v>84</v>
      </c>
      <c r="B536" s="110"/>
      <c r="C536" s="27" t="s">
        <v>90</v>
      </c>
      <c r="D536" s="28"/>
      <c r="E536" s="100" t="s">
        <v>91</v>
      </c>
      <c r="F536" s="216"/>
      <c r="G536" s="30" t="s">
        <v>12</v>
      </c>
      <c r="H536" s="80"/>
    </row>
    <row r="537" spans="1:8" ht="38.25" x14ac:dyDescent="0.2">
      <c r="A537" s="62"/>
      <c r="B537" s="110"/>
      <c r="C537" s="150"/>
      <c r="D537" s="101" t="s">
        <v>92</v>
      </c>
      <c r="E537" s="90" t="s">
        <v>93</v>
      </c>
      <c r="F537" s="217"/>
      <c r="G537" s="12" t="s">
        <v>12</v>
      </c>
      <c r="H537" s="80"/>
    </row>
    <row r="538" spans="1:8" ht="15" x14ac:dyDescent="0.2">
      <c r="A538" s="86"/>
      <c r="B538" s="110"/>
      <c r="C538" s="123"/>
      <c r="D538" s="124"/>
      <c r="E538" s="102" t="s">
        <v>275</v>
      </c>
      <c r="F538" s="125"/>
      <c r="G538" s="81"/>
      <c r="H538" s="80"/>
    </row>
    <row r="539" spans="1:8" ht="15" x14ac:dyDescent="0.2">
      <c r="A539" s="86"/>
      <c r="B539" s="110"/>
      <c r="C539" s="123"/>
      <c r="D539" s="124"/>
      <c r="E539" s="102" t="s">
        <v>276</v>
      </c>
      <c r="F539" s="125"/>
      <c r="G539" s="81"/>
      <c r="H539" s="80"/>
    </row>
    <row r="540" spans="1:8" ht="15" x14ac:dyDescent="0.2">
      <c r="A540" s="86"/>
      <c r="B540" s="151"/>
      <c r="C540" s="111"/>
      <c r="D540" s="112"/>
      <c r="E540" s="75"/>
      <c r="F540" s="113"/>
      <c r="G540" s="60"/>
      <c r="H540" s="152"/>
    </row>
    <row r="541" spans="1:8" x14ac:dyDescent="0.2">
      <c r="A541" s="86"/>
      <c r="B541" s="108" t="s">
        <v>412</v>
      </c>
      <c r="C541" s="108"/>
      <c r="D541" s="15"/>
      <c r="E541" s="109" t="s">
        <v>413</v>
      </c>
      <c r="F541" s="113"/>
      <c r="G541" s="60"/>
      <c r="H541" s="152"/>
    </row>
    <row r="542" spans="1:8" ht="15" x14ac:dyDescent="0.2">
      <c r="A542" s="86"/>
      <c r="B542" s="151"/>
      <c r="C542" s="111"/>
      <c r="D542" s="112"/>
      <c r="E542" s="75"/>
      <c r="F542" s="113"/>
      <c r="G542" s="60"/>
      <c r="H542" s="152"/>
    </row>
    <row r="543" spans="1:8" ht="25.5" x14ac:dyDescent="0.2">
      <c r="A543" s="162">
        <f>MAX(A$2:A541)+1</f>
        <v>85</v>
      </c>
      <c r="B543" s="323"/>
      <c r="C543" s="164" t="s">
        <v>438</v>
      </c>
      <c r="D543" s="165"/>
      <c r="E543" s="258" t="s">
        <v>439</v>
      </c>
      <c r="F543" s="324"/>
      <c r="G543" s="167" t="s">
        <v>12</v>
      </c>
      <c r="H543" s="325">
        <f>F544</f>
        <v>0.24492000000000003</v>
      </c>
    </row>
    <row r="544" spans="1:8" ht="25.5" x14ac:dyDescent="0.2">
      <c r="A544" s="199"/>
      <c r="B544" s="323"/>
      <c r="C544" s="260"/>
      <c r="D544" s="261"/>
      <c r="E544" s="178" t="s">
        <v>440</v>
      </c>
      <c r="F544" s="73">
        <f>3.14*0.06*0.65*2</f>
        <v>0.24492000000000003</v>
      </c>
      <c r="G544" s="175"/>
      <c r="H544" s="326"/>
    </row>
    <row r="545" spans="1:8" ht="15" x14ac:dyDescent="0.2">
      <c r="A545" s="86"/>
      <c r="B545" s="151"/>
      <c r="C545" s="111"/>
      <c r="D545" s="112"/>
      <c r="E545" s="75"/>
      <c r="F545" s="113"/>
      <c r="G545" s="60"/>
      <c r="H545" s="322"/>
    </row>
    <row r="546" spans="1:8" ht="25.5" x14ac:dyDescent="0.2">
      <c r="A546" s="162">
        <f>MAX(A$2:A544)+1</f>
        <v>86</v>
      </c>
      <c r="B546" s="323"/>
      <c r="C546" s="164" t="s">
        <v>441</v>
      </c>
      <c r="D546" s="165"/>
      <c r="E546" s="258" t="s">
        <v>442</v>
      </c>
      <c r="F546" s="324"/>
      <c r="G546" s="167" t="s">
        <v>12</v>
      </c>
      <c r="H546" s="325">
        <f>F550</f>
        <v>57.5</v>
      </c>
    </row>
    <row r="547" spans="1:8" ht="15" x14ac:dyDescent="0.2">
      <c r="A547" s="199"/>
      <c r="B547" s="323"/>
      <c r="C547" s="260"/>
      <c r="D547" s="261"/>
      <c r="E547" s="74" t="s">
        <v>561</v>
      </c>
      <c r="F547" s="327">
        <f>5*10</f>
        <v>50</v>
      </c>
      <c r="G547" s="175"/>
      <c r="H547" s="326"/>
    </row>
    <row r="548" spans="1:8" ht="15" x14ac:dyDescent="0.2">
      <c r="A548" s="86"/>
      <c r="B548" s="151"/>
      <c r="C548" s="111"/>
      <c r="D548" s="112"/>
      <c r="E548" s="74" t="s">
        <v>562</v>
      </c>
      <c r="F548" s="300">
        <f>6.5*10</f>
        <v>65</v>
      </c>
      <c r="G548" s="60"/>
      <c r="H548" s="322"/>
    </row>
    <row r="549" spans="1:8" ht="15" x14ac:dyDescent="0.2">
      <c r="A549" s="86"/>
      <c r="B549" s="151"/>
      <c r="C549" s="111"/>
      <c r="D549" s="112"/>
      <c r="E549" s="328"/>
      <c r="F549" s="73">
        <f>SUM(F547:F548)</f>
        <v>115</v>
      </c>
      <c r="G549" s="60"/>
      <c r="H549" s="322"/>
    </row>
    <row r="550" spans="1:8" ht="15" x14ac:dyDescent="0.2">
      <c r="A550" s="86"/>
      <c r="B550" s="151"/>
      <c r="C550" s="111"/>
      <c r="D550" s="112"/>
      <c r="E550" s="74" t="str">
        <f>"odhad 50% povrchu:   0,50*"&amp;F549</f>
        <v>odhad 50% povrchu:   0,50*115</v>
      </c>
      <c r="F550" s="73">
        <f>F549*0.5</f>
        <v>57.5</v>
      </c>
      <c r="G550" s="60"/>
      <c r="H550" s="322"/>
    </row>
    <row r="551" spans="1:8" ht="15" x14ac:dyDescent="0.2">
      <c r="A551" s="86"/>
      <c r="B551" s="151"/>
      <c r="C551" s="111"/>
      <c r="D551" s="112"/>
      <c r="F551" s="67"/>
      <c r="G551" s="60"/>
      <c r="H551" s="322"/>
    </row>
    <row r="552" spans="1:8" ht="25.5" x14ac:dyDescent="0.2">
      <c r="A552" s="162">
        <f>MAX(A$2:A549)+1</f>
        <v>87</v>
      </c>
      <c r="B552" s="323"/>
      <c r="C552" s="164" t="s">
        <v>443</v>
      </c>
      <c r="D552" s="165"/>
      <c r="E552" s="258" t="s">
        <v>444</v>
      </c>
      <c r="F552" s="324"/>
      <c r="G552" s="167" t="s">
        <v>12</v>
      </c>
      <c r="H552" s="325">
        <f>F557</f>
        <v>43.774999999999999</v>
      </c>
    </row>
    <row r="553" spans="1:8" ht="15" x14ac:dyDescent="0.2">
      <c r="A553" s="199"/>
      <c r="B553" s="323"/>
      <c r="C553" s="260"/>
      <c r="D553" s="261"/>
      <c r="E553" s="178" t="s">
        <v>563</v>
      </c>
      <c r="F553" s="73">
        <f>2*0.35*6.5</f>
        <v>4.55</v>
      </c>
      <c r="G553" s="175"/>
      <c r="H553" s="326"/>
    </row>
    <row r="554" spans="1:8" ht="15" x14ac:dyDescent="0.2">
      <c r="A554" s="199"/>
      <c r="B554" s="323"/>
      <c r="C554" s="260"/>
      <c r="D554" s="261"/>
      <c r="E554" s="178" t="s">
        <v>564</v>
      </c>
      <c r="F554" s="73">
        <f>2*2.4*10</f>
        <v>48</v>
      </c>
      <c r="G554" s="175"/>
      <c r="H554" s="326"/>
    </row>
    <row r="555" spans="1:8" ht="15" x14ac:dyDescent="0.2">
      <c r="A555" s="199"/>
      <c r="B555" s="323"/>
      <c r="C555" s="260"/>
      <c r="D555" s="261"/>
      <c r="E555" s="178" t="s">
        <v>565</v>
      </c>
      <c r="F555" s="248">
        <f>17.5*2</f>
        <v>35</v>
      </c>
      <c r="G555" s="175"/>
      <c r="H555" s="326"/>
    </row>
    <row r="556" spans="1:8" ht="15" x14ac:dyDescent="0.2">
      <c r="A556" s="86"/>
      <c r="B556" s="151"/>
      <c r="C556" s="111"/>
      <c r="D556" s="112"/>
      <c r="E556" s="76"/>
      <c r="F556" s="73">
        <f>SUM(F553:F555)</f>
        <v>87.55</v>
      </c>
      <c r="G556" s="60"/>
      <c r="H556" s="322"/>
    </row>
    <row r="557" spans="1:8" ht="15" x14ac:dyDescent="0.2">
      <c r="A557" s="86"/>
      <c r="B557" s="151"/>
      <c r="C557" s="111"/>
      <c r="D557" s="112"/>
      <c r="E557" s="74" t="str">
        <f>"odhad 50% povrchu:   0,50*"&amp;F556</f>
        <v>odhad 50% povrchu:   0,50*87,55</v>
      </c>
      <c r="F557" s="73">
        <f>F556*0.5</f>
        <v>43.774999999999999</v>
      </c>
      <c r="G557" s="60"/>
      <c r="H557" s="322"/>
    </row>
    <row r="558" spans="1:8" ht="15" x14ac:dyDescent="0.2">
      <c r="A558" s="86"/>
      <c r="B558" s="151"/>
      <c r="C558" s="111"/>
      <c r="D558" s="112"/>
      <c r="E558" s="75"/>
      <c r="F558" s="67"/>
      <c r="G558" s="60"/>
      <c r="H558" s="322"/>
    </row>
    <row r="559" spans="1:8" ht="25.5" x14ac:dyDescent="0.2">
      <c r="A559" s="86"/>
      <c r="B559" s="108" t="s">
        <v>414</v>
      </c>
      <c r="C559" s="108"/>
      <c r="D559" s="15"/>
      <c r="E559" s="109" t="s">
        <v>415</v>
      </c>
      <c r="F559" s="113"/>
      <c r="G559" s="60"/>
      <c r="H559" s="322"/>
    </row>
    <row r="560" spans="1:8" ht="15" x14ac:dyDescent="0.2">
      <c r="A560" s="86"/>
      <c r="B560" s="151"/>
      <c r="C560" s="111"/>
      <c r="D560" s="112"/>
      <c r="E560" s="75"/>
      <c r="F560" s="113"/>
      <c r="G560" s="60"/>
      <c r="H560" s="322"/>
    </row>
    <row r="561" spans="1:8" ht="15" x14ac:dyDescent="0.2">
      <c r="A561" s="162">
        <f>MAX(A$2:A559)+1</f>
        <v>88</v>
      </c>
      <c r="B561" s="323"/>
      <c r="C561" s="164" t="s">
        <v>445</v>
      </c>
      <c r="D561" s="165"/>
      <c r="E561" s="258" t="s">
        <v>446</v>
      </c>
      <c r="F561" s="324"/>
      <c r="G561" s="167" t="s">
        <v>12</v>
      </c>
      <c r="H561" s="325">
        <f>H562+H565+H571</f>
        <v>219.0488</v>
      </c>
    </row>
    <row r="562" spans="1:8" ht="24.75" customHeight="1" x14ac:dyDescent="0.2">
      <c r="A562" s="199"/>
      <c r="B562" s="323"/>
      <c r="C562" s="260"/>
      <c r="D562" s="171" t="s">
        <v>447</v>
      </c>
      <c r="E562" s="259" t="s">
        <v>448</v>
      </c>
      <c r="F562" s="207"/>
      <c r="G562" s="173" t="s">
        <v>12</v>
      </c>
      <c r="H562" s="326">
        <f>F563</f>
        <v>50</v>
      </c>
    </row>
    <row r="563" spans="1:8" ht="25.5" x14ac:dyDescent="0.2">
      <c r="A563" s="199"/>
      <c r="B563" s="323"/>
      <c r="C563" s="260"/>
      <c r="D563" s="261"/>
      <c r="E563" s="74" t="s">
        <v>566</v>
      </c>
      <c r="F563" s="73">
        <f>5*10</f>
        <v>50</v>
      </c>
      <c r="G563" s="175"/>
      <c r="H563" s="326"/>
    </row>
    <row r="564" spans="1:8" ht="15" x14ac:dyDescent="0.2">
      <c r="A564" s="199"/>
      <c r="B564" s="323"/>
      <c r="C564" s="260"/>
      <c r="D564" s="261"/>
      <c r="E564" s="177"/>
      <c r="F564" s="300"/>
      <c r="G564" s="175"/>
      <c r="H564" s="326"/>
    </row>
    <row r="565" spans="1:8" ht="15" x14ac:dyDescent="0.2">
      <c r="A565" s="199"/>
      <c r="B565" s="323"/>
      <c r="C565" s="260"/>
      <c r="D565" s="171" t="s">
        <v>449</v>
      </c>
      <c r="E565" s="259" t="s">
        <v>450</v>
      </c>
      <c r="F565" s="207"/>
      <c r="G565" s="173" t="s">
        <v>12</v>
      </c>
      <c r="H565" s="326">
        <f>F569</f>
        <v>87.55</v>
      </c>
    </row>
    <row r="566" spans="1:8" ht="25.5" x14ac:dyDescent="0.2">
      <c r="A566" s="199"/>
      <c r="B566" s="323"/>
      <c r="C566" s="260"/>
      <c r="D566" s="261"/>
      <c r="E566" s="74" t="s">
        <v>567</v>
      </c>
      <c r="F566" s="73">
        <f>2*0.35*6.5</f>
        <v>4.55</v>
      </c>
      <c r="G566" s="175"/>
      <c r="H566" s="326"/>
    </row>
    <row r="567" spans="1:8" ht="25.5" x14ac:dyDescent="0.2">
      <c r="A567" s="199"/>
      <c r="B567" s="323"/>
      <c r="C567" s="260"/>
      <c r="D567" s="261"/>
      <c r="E567" s="74" t="s">
        <v>568</v>
      </c>
      <c r="F567" s="73">
        <f>2*2.4*10</f>
        <v>48</v>
      </c>
      <c r="G567" s="175"/>
      <c r="H567" s="326"/>
    </row>
    <row r="568" spans="1:8" ht="25.5" x14ac:dyDescent="0.2">
      <c r="A568" s="199"/>
      <c r="B568" s="323"/>
      <c r="C568" s="260"/>
      <c r="D568" s="261"/>
      <c r="E568" s="178" t="s">
        <v>569</v>
      </c>
      <c r="F568" s="248">
        <f>17.5*2</f>
        <v>35</v>
      </c>
      <c r="G568" s="175"/>
      <c r="H568" s="326"/>
    </row>
    <row r="569" spans="1:8" ht="15" x14ac:dyDescent="0.2">
      <c r="A569" s="199"/>
      <c r="B569" s="323"/>
      <c r="C569" s="260"/>
      <c r="D569" s="261"/>
      <c r="E569" s="197" t="s">
        <v>298</v>
      </c>
      <c r="F569" s="73">
        <f>SUM(F566:F568)</f>
        <v>87.55</v>
      </c>
      <c r="G569" s="175"/>
      <c r="H569" s="326"/>
    </row>
    <row r="570" spans="1:8" ht="15" x14ac:dyDescent="0.2">
      <c r="A570" s="199"/>
      <c r="B570" s="323"/>
      <c r="C570" s="260"/>
      <c r="D570" s="261"/>
      <c r="E570" s="177"/>
      <c r="F570" s="300"/>
      <c r="G570" s="175"/>
      <c r="H570" s="326"/>
    </row>
    <row r="571" spans="1:8" ht="25.5" x14ac:dyDescent="0.2">
      <c r="A571" s="199"/>
      <c r="B571" s="323"/>
      <c r="C571" s="260"/>
      <c r="D571" s="171" t="s">
        <v>451</v>
      </c>
      <c r="E571" s="259" t="s">
        <v>452</v>
      </c>
      <c r="F571" s="207"/>
      <c r="G571" s="173" t="s">
        <v>12</v>
      </c>
      <c r="H571" s="326">
        <f>F574</f>
        <v>81.498799999999989</v>
      </c>
    </row>
    <row r="572" spans="1:8" ht="15" x14ac:dyDescent="0.2">
      <c r="A572" s="199"/>
      <c r="B572" s="323"/>
      <c r="C572" s="260"/>
      <c r="D572" s="261"/>
      <c r="E572" s="178" t="s">
        <v>570</v>
      </c>
      <c r="F572" s="73">
        <f xml:space="preserve"> (11.9+8.96)*(0.25+0.6+1.08)</f>
        <v>40.259800000000006</v>
      </c>
      <c r="G572" s="175"/>
      <c r="H572" s="326"/>
    </row>
    <row r="573" spans="1:8" ht="15" x14ac:dyDescent="0.2">
      <c r="A573" s="199"/>
      <c r="B573" s="323"/>
      <c r="C573" s="260"/>
      <c r="D573" s="261"/>
      <c r="E573" s="178" t="s">
        <v>571</v>
      </c>
      <c r="F573" s="248">
        <f>(15.36+9.94)*(0.3+0.6+0.73)</f>
        <v>41.23899999999999</v>
      </c>
      <c r="G573" s="175"/>
      <c r="H573" s="326"/>
    </row>
    <row r="574" spans="1:8" ht="15" x14ac:dyDescent="0.2">
      <c r="A574" s="199"/>
      <c r="B574" s="323"/>
      <c r="C574" s="260"/>
      <c r="D574" s="261"/>
      <c r="E574" s="177"/>
      <c r="F574" s="73">
        <f>SUM(F572:F573)</f>
        <v>81.498799999999989</v>
      </c>
      <c r="G574" s="175"/>
      <c r="H574" s="326"/>
    </row>
    <row r="575" spans="1:8" ht="13.5" thickBot="1" x14ac:dyDescent="0.25">
      <c r="A575" s="153"/>
      <c r="B575" s="154"/>
      <c r="C575" s="155"/>
      <c r="D575" s="155"/>
      <c r="E575" s="156"/>
      <c r="F575" s="241"/>
      <c r="G575" s="155"/>
      <c r="H575" s="329"/>
    </row>
    <row r="578" spans="2:8" ht="15.75" customHeight="1" x14ac:dyDescent="0.2">
      <c r="B578" s="157"/>
      <c r="C578" s="158"/>
      <c r="D578" s="158"/>
      <c r="G578" s="158"/>
      <c r="H578" s="331"/>
    </row>
  </sheetData>
  <mergeCells count="5">
    <mergeCell ref="A3:C3"/>
    <mergeCell ref="E3:F4"/>
    <mergeCell ref="G3:G4"/>
    <mergeCell ref="H3:H4"/>
    <mergeCell ref="I108:J10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&amp;LVýkaz výmer-Vzor&amp;CMOST ...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P363"/>
  <sheetViews>
    <sheetView zoomScaleNormal="100" zoomScaleSheetLayoutView="70" workbookViewId="0">
      <pane ySplit="5" topLeftCell="A203" activePane="bottomLeft" state="frozen"/>
      <selection pane="bottomLeft" activeCell="E214" sqref="E214"/>
    </sheetView>
  </sheetViews>
  <sheetFormatPr defaultRowHeight="12.75" x14ac:dyDescent="0.2"/>
  <cols>
    <col min="1" max="1" width="4.7109375" style="8" customWidth="1"/>
    <col min="2" max="2" width="8.85546875" style="8" customWidth="1"/>
    <col min="3" max="3" width="9.85546875" style="128" customWidth="1"/>
    <col min="4" max="4" width="11" style="128" customWidth="1"/>
    <col min="5" max="5" width="52.7109375" style="128" customWidth="1"/>
    <col min="6" max="6" width="10.5703125" style="242" bestFit="1" customWidth="1"/>
    <col min="7" max="7" width="4.5703125" style="128" customWidth="1"/>
    <col min="8" max="8" width="9" style="330" customWidth="1"/>
    <col min="9" max="9" width="14.85546875" style="120" customWidth="1"/>
    <col min="10" max="10" width="15.28515625" style="299" customWidth="1"/>
    <col min="11" max="11" width="6.28515625" style="128" customWidth="1"/>
    <col min="12" max="16384" width="9.140625" style="128"/>
  </cols>
  <sheetData>
    <row r="1" spans="1:16" x14ac:dyDescent="0.2">
      <c r="A1" s="33" t="s">
        <v>626</v>
      </c>
      <c r="E1" s="36" t="s">
        <v>625</v>
      </c>
    </row>
    <row r="2" spans="1:16" x14ac:dyDescent="0.2">
      <c r="A2" s="33" t="s">
        <v>149</v>
      </c>
      <c r="B2" s="33"/>
      <c r="C2" s="34"/>
      <c r="D2" s="35"/>
      <c r="E2" s="36" t="s">
        <v>627</v>
      </c>
      <c r="F2" s="201"/>
      <c r="G2" s="37"/>
      <c r="H2" s="38"/>
    </row>
    <row r="3" spans="1:16" ht="13.5" thickBot="1" x14ac:dyDescent="0.25">
      <c r="A3" s="41" t="s">
        <v>150</v>
      </c>
      <c r="B3" s="33"/>
      <c r="C3" s="34"/>
      <c r="D3" s="35"/>
      <c r="E3" s="42">
        <v>2141</v>
      </c>
      <c r="F3" s="201"/>
      <c r="G3" s="43"/>
      <c r="H3" s="38"/>
    </row>
    <row r="4" spans="1:16" x14ac:dyDescent="0.2">
      <c r="A4" s="957" t="s">
        <v>151</v>
      </c>
      <c r="B4" s="958"/>
      <c r="C4" s="958"/>
      <c r="D4" s="44"/>
      <c r="E4" s="959" t="s">
        <v>152</v>
      </c>
      <c r="F4" s="960"/>
      <c r="G4" s="963" t="s">
        <v>153</v>
      </c>
      <c r="H4" s="969" t="s">
        <v>154</v>
      </c>
    </row>
    <row r="5" spans="1:16" ht="13.5" thickBot="1" x14ac:dyDescent="0.25">
      <c r="A5" s="45" t="s">
        <v>155</v>
      </c>
      <c r="B5" s="46" t="s">
        <v>285</v>
      </c>
      <c r="C5" s="46" t="s">
        <v>286</v>
      </c>
      <c r="D5" s="46" t="s">
        <v>287</v>
      </c>
      <c r="E5" s="961"/>
      <c r="F5" s="962"/>
      <c r="G5" s="964"/>
      <c r="H5" s="970"/>
    </row>
    <row r="6" spans="1:16" x14ac:dyDescent="0.2">
      <c r="A6" s="47"/>
      <c r="B6" s="48"/>
      <c r="C6" s="48"/>
      <c r="D6" s="49"/>
      <c r="E6" s="377"/>
      <c r="F6" s="202"/>
      <c r="G6" s="51"/>
      <c r="H6" s="52"/>
    </row>
    <row r="7" spans="1:16" ht="15.75" x14ac:dyDescent="0.2">
      <c r="A7" s="53"/>
      <c r="B7" s="59" t="s">
        <v>288</v>
      </c>
      <c r="C7" s="378"/>
      <c r="D7" s="379"/>
      <c r="E7" s="380" t="s">
        <v>289</v>
      </c>
      <c r="F7" s="203"/>
      <c r="G7" s="57"/>
      <c r="H7" s="58"/>
    </row>
    <row r="8" spans="1:16" x14ac:dyDescent="0.2">
      <c r="A8" s="53"/>
      <c r="B8" s="59"/>
      <c r="C8" s="59"/>
      <c r="D8" s="60"/>
      <c r="E8" s="61"/>
      <c r="F8" s="203"/>
      <c r="G8" s="57"/>
      <c r="H8" s="58"/>
    </row>
    <row r="9" spans="1:16" ht="25.5" x14ac:dyDescent="0.2">
      <c r="A9" s="162">
        <f>MAX(A$3:A7)+1</f>
        <v>1</v>
      </c>
      <c r="B9" s="163"/>
      <c r="C9" s="164" t="s">
        <v>290</v>
      </c>
      <c r="D9" s="165"/>
      <c r="E9" s="166" t="s">
        <v>291</v>
      </c>
      <c r="F9" s="204"/>
      <c r="G9" s="167" t="s">
        <v>51</v>
      </c>
      <c r="H9" s="63">
        <f>F17</f>
        <v>52.407905000000007</v>
      </c>
      <c r="I9" s="120">
        <v>2.4</v>
      </c>
      <c r="J9" s="299">
        <f>H9*I9</f>
        <v>125.77897200000001</v>
      </c>
    </row>
    <row r="10" spans="1:16" s="8" customFormat="1" ht="13.5" customHeight="1" x14ac:dyDescent="0.2">
      <c r="A10" s="405"/>
      <c r="B10" s="406"/>
      <c r="C10" s="200"/>
      <c r="D10" s="195"/>
      <c r="E10" s="74" t="s">
        <v>469</v>
      </c>
      <c r="F10" s="73"/>
      <c r="G10" s="194"/>
      <c r="H10" s="407"/>
      <c r="J10" s="160"/>
      <c r="M10" s="128"/>
      <c r="N10" s="128"/>
      <c r="O10" s="128"/>
      <c r="P10" s="128"/>
    </row>
    <row r="11" spans="1:16" s="8" customFormat="1" ht="13.5" customHeight="1" x14ac:dyDescent="0.2">
      <c r="A11" s="405"/>
      <c r="B11" s="406"/>
      <c r="C11" s="200"/>
      <c r="D11" s="195"/>
      <c r="E11" s="69" t="s">
        <v>628</v>
      </c>
      <c r="F11" s="70">
        <f>14.2*(1.1+0.11)*0.3</f>
        <v>5.1546000000000003</v>
      </c>
      <c r="G11" s="194"/>
      <c r="H11" s="407"/>
      <c r="J11" s="160"/>
      <c r="M11" s="128"/>
      <c r="N11" s="128"/>
      <c r="O11" s="128"/>
      <c r="P11" s="128"/>
    </row>
    <row r="12" spans="1:16" s="8" customFormat="1" ht="13.5" customHeight="1" x14ac:dyDescent="0.2">
      <c r="A12" s="405"/>
      <c r="B12" s="406"/>
      <c r="C12" s="200"/>
      <c r="D12" s="195"/>
      <c r="E12" s="69" t="s">
        <v>646</v>
      </c>
      <c r="F12" s="70">
        <f>19.96*(1.1+0.11)*0.3</f>
        <v>7.2454800000000015</v>
      </c>
      <c r="G12" s="194"/>
      <c r="H12" s="407"/>
      <c r="J12" s="160"/>
    </row>
    <row r="13" spans="1:16" s="8" customFormat="1" ht="25.5" x14ac:dyDescent="0.2">
      <c r="A13" s="405"/>
      <c r="B13" s="406"/>
      <c r="C13" s="200"/>
      <c r="D13" s="195"/>
      <c r="E13" s="69" t="s">
        <v>633</v>
      </c>
      <c r="F13" s="70">
        <f>10.15*((1.015*0.5)+(0.5*0.5))</f>
        <v>7.688625</v>
      </c>
      <c r="G13" s="194"/>
      <c r="H13" s="407"/>
      <c r="J13" s="160"/>
    </row>
    <row r="14" spans="1:16" s="8" customFormat="1" x14ac:dyDescent="0.2">
      <c r="A14" s="405"/>
      <c r="B14" s="406"/>
      <c r="C14" s="200"/>
      <c r="D14" s="195"/>
      <c r="E14" s="69" t="s">
        <v>643</v>
      </c>
      <c r="F14" s="70">
        <f>14.2*9.5*0.2</f>
        <v>26.980000000000004</v>
      </c>
      <c r="G14" s="194"/>
      <c r="H14" s="407"/>
      <c r="J14" s="160"/>
    </row>
    <row r="15" spans="1:16" s="8" customFormat="1" x14ac:dyDescent="0.2">
      <c r="A15" s="405"/>
      <c r="B15" s="406"/>
      <c r="C15" s="200"/>
      <c r="D15" s="195"/>
      <c r="E15" s="69" t="s">
        <v>641</v>
      </c>
      <c r="F15" s="71">
        <f>2*(0.71*0.4*9.4)</f>
        <v>5.3391999999999999</v>
      </c>
      <c r="G15" s="194"/>
      <c r="H15" s="407"/>
      <c r="J15" s="160"/>
    </row>
    <row r="16" spans="1:16" s="8" customFormat="1" x14ac:dyDescent="0.2">
      <c r="A16" s="405"/>
      <c r="B16" s="406"/>
      <c r="C16" s="200"/>
      <c r="D16" s="195"/>
      <c r="E16" s="69" t="s">
        <v>642</v>
      </c>
      <c r="F16" s="71"/>
      <c r="G16" s="194"/>
      <c r="H16" s="407"/>
      <c r="J16" s="160"/>
    </row>
    <row r="17" spans="1:10" s="8" customFormat="1" ht="13.5" customHeight="1" x14ac:dyDescent="0.2">
      <c r="A17" s="405"/>
      <c r="B17" s="406"/>
      <c r="C17" s="200"/>
      <c r="D17" s="195"/>
      <c r="E17" s="74"/>
      <c r="F17" s="73">
        <f>SUM(F11:F15)</f>
        <v>52.407905000000007</v>
      </c>
      <c r="G17" s="194"/>
      <c r="H17" s="407"/>
      <c r="J17" s="160"/>
    </row>
    <row r="18" spans="1:10" ht="13.5" customHeight="1" x14ac:dyDescent="0.2">
      <c r="A18" s="53"/>
      <c r="B18" s="59"/>
      <c r="C18" s="59"/>
      <c r="D18" s="60"/>
      <c r="E18" s="61"/>
      <c r="F18" s="203"/>
      <c r="G18" s="57"/>
      <c r="H18" s="58"/>
    </row>
    <row r="19" spans="1:10" ht="25.5" customHeight="1" x14ac:dyDescent="0.2">
      <c r="A19" s="162">
        <f>MAX(A$3:A10)+1</f>
        <v>2</v>
      </c>
      <c r="B19" s="163"/>
      <c r="C19" s="164" t="s">
        <v>292</v>
      </c>
      <c r="D19" s="165"/>
      <c r="E19" s="166" t="s">
        <v>293</v>
      </c>
      <c r="F19" s="204"/>
      <c r="G19" s="167" t="s">
        <v>12</v>
      </c>
      <c r="H19" s="63">
        <f>F20</f>
        <v>166.14</v>
      </c>
      <c r="I19" s="120">
        <v>0.02</v>
      </c>
      <c r="J19" s="299">
        <f t="shared" ref="J19" si="0">H19*I19</f>
        <v>3.3228</v>
      </c>
    </row>
    <row r="20" spans="1:10" ht="13.5" customHeight="1" x14ac:dyDescent="0.2">
      <c r="A20" s="169"/>
      <c r="B20" s="163"/>
      <c r="C20" s="163"/>
      <c r="D20" s="175"/>
      <c r="E20" s="74" t="s">
        <v>629</v>
      </c>
      <c r="F20" s="205">
        <f>14.2*11.7</f>
        <v>166.14</v>
      </c>
      <c r="G20" s="176"/>
      <c r="H20" s="174"/>
    </row>
    <row r="21" spans="1:10" ht="13.5" customHeight="1" x14ac:dyDescent="0.2">
      <c r="A21" s="169"/>
      <c r="B21" s="163"/>
      <c r="C21" s="163"/>
      <c r="D21" s="175"/>
      <c r="E21" s="74"/>
      <c r="F21" s="205"/>
      <c r="G21" s="176"/>
      <c r="H21" s="174"/>
    </row>
    <row r="22" spans="1:10" ht="25.5" x14ac:dyDescent="0.2">
      <c r="A22" s="162">
        <f>MAX(A$6:A20)+1</f>
        <v>3</v>
      </c>
      <c r="B22" s="163"/>
      <c r="C22" s="315" t="s">
        <v>630</v>
      </c>
      <c r="D22" s="316"/>
      <c r="E22" s="166" t="s">
        <v>631</v>
      </c>
      <c r="F22" s="166"/>
      <c r="G22" s="167" t="s">
        <v>8</v>
      </c>
      <c r="H22" s="63">
        <f>F23</f>
        <v>1</v>
      </c>
    </row>
    <row r="23" spans="1:10" ht="13.5" customHeight="1" x14ac:dyDescent="0.2">
      <c r="A23" s="169"/>
      <c r="B23" s="163"/>
      <c r="C23" s="163"/>
      <c r="D23" s="175"/>
      <c r="E23" s="74" t="s">
        <v>632</v>
      </c>
      <c r="F23" s="205">
        <v>1</v>
      </c>
      <c r="G23" s="176"/>
      <c r="H23" s="174"/>
    </row>
    <row r="24" spans="1:10" x14ac:dyDescent="0.2">
      <c r="A24" s="53"/>
      <c r="B24" s="59"/>
      <c r="C24" s="59"/>
      <c r="D24" s="60"/>
      <c r="E24" s="61"/>
      <c r="F24" s="203"/>
      <c r="G24" s="57"/>
      <c r="H24" s="58"/>
    </row>
    <row r="25" spans="1:10" ht="25.5" x14ac:dyDescent="0.2">
      <c r="A25" s="162">
        <f>MAX(A$3:A23)+1</f>
        <v>4</v>
      </c>
      <c r="B25" s="163"/>
      <c r="C25" s="164" t="s">
        <v>294</v>
      </c>
      <c r="D25" s="165"/>
      <c r="E25" s="166" t="s">
        <v>295</v>
      </c>
      <c r="F25" s="204"/>
      <c r="G25" s="167" t="s">
        <v>12</v>
      </c>
      <c r="H25" s="63">
        <f>F27</f>
        <v>134.9</v>
      </c>
      <c r="I25" s="120">
        <v>0.22</v>
      </c>
      <c r="J25" s="299">
        <f>H25*I25</f>
        <v>29.678000000000001</v>
      </c>
    </row>
    <row r="26" spans="1:10" ht="25.5" x14ac:dyDescent="0.2">
      <c r="A26" s="169"/>
      <c r="B26" s="163"/>
      <c r="C26" s="163"/>
      <c r="D26" s="195" t="s">
        <v>296</v>
      </c>
      <c r="E26" s="196" t="s">
        <v>297</v>
      </c>
      <c r="F26" s="206"/>
      <c r="G26" s="194" t="s">
        <v>12</v>
      </c>
      <c r="H26" s="174"/>
    </row>
    <row r="27" spans="1:10" ht="30" customHeight="1" x14ac:dyDescent="0.2">
      <c r="A27" s="169"/>
      <c r="B27" s="163"/>
      <c r="C27" s="163"/>
      <c r="D27" s="175"/>
      <c r="E27" s="74" t="s">
        <v>638</v>
      </c>
      <c r="F27" s="205">
        <f>14.2*9.5</f>
        <v>134.9</v>
      </c>
      <c r="G27" s="176"/>
      <c r="H27" s="174"/>
    </row>
    <row r="28" spans="1:10" x14ac:dyDescent="0.2">
      <c r="A28" s="53"/>
      <c r="B28" s="59"/>
      <c r="C28" s="59"/>
      <c r="D28" s="60"/>
      <c r="E28" s="61"/>
      <c r="F28" s="203"/>
      <c r="G28" s="57"/>
      <c r="H28" s="58"/>
    </row>
    <row r="29" spans="1:10" ht="25.5" customHeight="1" x14ac:dyDescent="0.2">
      <c r="A29" s="162">
        <f>MAX(A$3:A27)+1</f>
        <v>5</v>
      </c>
      <c r="B29" s="59"/>
      <c r="C29" s="164" t="s">
        <v>299</v>
      </c>
      <c r="D29" s="165"/>
      <c r="E29" s="166" t="s">
        <v>300</v>
      </c>
      <c r="F29" s="204"/>
      <c r="G29" s="167" t="s">
        <v>12</v>
      </c>
      <c r="H29" s="63">
        <f>F31</f>
        <v>12</v>
      </c>
      <c r="I29" s="120">
        <v>0.4</v>
      </c>
      <c r="J29" s="299">
        <f>H29*I29</f>
        <v>4.8000000000000007</v>
      </c>
    </row>
    <row r="30" spans="1:10" ht="38.25" x14ac:dyDescent="0.2">
      <c r="A30" s="53"/>
      <c r="B30" s="59"/>
      <c r="C30" s="163"/>
      <c r="D30" s="171" t="s">
        <v>301</v>
      </c>
      <c r="E30" s="172" t="s">
        <v>302</v>
      </c>
      <c r="F30" s="205"/>
      <c r="G30" s="194" t="s">
        <v>12</v>
      </c>
      <c r="H30" s="174">
        <f>F31</f>
        <v>12</v>
      </c>
    </row>
    <row r="31" spans="1:10" ht="25.5" x14ac:dyDescent="0.2">
      <c r="A31" s="53"/>
      <c r="B31" s="59"/>
      <c r="C31" s="163"/>
      <c r="D31" s="175"/>
      <c r="E31" s="177" t="s">
        <v>478</v>
      </c>
      <c r="F31" s="205">
        <f>2*(2*10*0.3)</f>
        <v>12</v>
      </c>
      <c r="G31" s="176"/>
      <c r="H31" s="174"/>
    </row>
    <row r="32" spans="1:10" x14ac:dyDescent="0.2">
      <c r="A32" s="53"/>
      <c r="B32" s="59"/>
      <c r="C32" s="59"/>
      <c r="D32" s="60"/>
      <c r="E32" s="61"/>
      <c r="F32" s="203"/>
      <c r="G32" s="57"/>
      <c r="H32" s="58"/>
    </row>
    <row r="33" spans="1:10" ht="25.5" customHeight="1" x14ac:dyDescent="0.2">
      <c r="A33" s="162">
        <f>MAX(A$3:A31)+1</f>
        <v>6</v>
      </c>
      <c r="B33" s="163"/>
      <c r="C33" s="164" t="s">
        <v>303</v>
      </c>
      <c r="D33" s="165"/>
      <c r="E33" s="166" t="s">
        <v>304</v>
      </c>
      <c r="F33" s="204"/>
      <c r="G33" s="167" t="s">
        <v>25</v>
      </c>
      <c r="H33" s="63">
        <f>F37</f>
        <v>34.159999999999997</v>
      </c>
      <c r="I33" s="288">
        <v>0.23</v>
      </c>
      <c r="J33" s="381">
        <f>H33*I33</f>
        <v>7.8567999999999998</v>
      </c>
    </row>
    <row r="34" spans="1:10" ht="25.5" x14ac:dyDescent="0.2">
      <c r="A34" s="169"/>
      <c r="B34" s="163"/>
      <c r="C34" s="170"/>
      <c r="D34" s="171" t="s">
        <v>305</v>
      </c>
      <c r="E34" s="172" t="s">
        <v>306</v>
      </c>
      <c r="F34" s="208"/>
      <c r="G34" s="173" t="s">
        <v>25</v>
      </c>
      <c r="H34" s="174"/>
    </row>
    <row r="35" spans="1:10" ht="30" customHeight="1" x14ac:dyDescent="0.2">
      <c r="A35" s="169"/>
      <c r="B35" s="163"/>
      <c r="C35" s="163"/>
      <c r="D35" s="175"/>
      <c r="E35" s="74" t="s">
        <v>647</v>
      </c>
      <c r="F35" s="205">
        <v>19.96</v>
      </c>
      <c r="G35" s="176"/>
      <c r="H35" s="174"/>
    </row>
    <row r="36" spans="1:10" ht="24.75" customHeight="1" x14ac:dyDescent="0.2">
      <c r="A36" s="169"/>
      <c r="B36" s="163"/>
      <c r="C36" s="163"/>
      <c r="D36" s="175"/>
      <c r="E36" s="74" t="s">
        <v>648</v>
      </c>
      <c r="F36" s="413">
        <v>14.2</v>
      </c>
      <c r="G36" s="176"/>
      <c r="H36" s="174"/>
    </row>
    <row r="37" spans="1:10" ht="18" customHeight="1" x14ac:dyDescent="0.2">
      <c r="A37" s="169"/>
      <c r="B37" s="163"/>
      <c r="C37" s="163"/>
      <c r="D37" s="175"/>
      <c r="E37" s="74"/>
      <c r="F37" s="205">
        <f>SUM(F35:F36)</f>
        <v>34.159999999999997</v>
      </c>
      <c r="G37" s="176"/>
      <c r="H37" s="174"/>
    </row>
    <row r="38" spans="1:10" x14ac:dyDescent="0.2">
      <c r="A38" s="53"/>
      <c r="B38" s="59"/>
      <c r="C38" s="59"/>
      <c r="D38" s="60"/>
      <c r="E38" s="61"/>
      <c r="F38" s="203"/>
      <c r="G38" s="57"/>
      <c r="H38" s="58"/>
    </row>
    <row r="39" spans="1:10" ht="25.5" customHeight="1" x14ac:dyDescent="0.2">
      <c r="A39" s="162">
        <f>MAX(A$3:A35)+1</f>
        <v>7</v>
      </c>
      <c r="B39" s="163"/>
      <c r="C39" s="164" t="s">
        <v>307</v>
      </c>
      <c r="D39" s="165"/>
      <c r="E39" s="166" t="s">
        <v>308</v>
      </c>
      <c r="F39" s="204"/>
      <c r="G39" s="167" t="s">
        <v>25</v>
      </c>
      <c r="H39" s="63">
        <f>F42</f>
        <v>34.159999999999997</v>
      </c>
      <c r="I39" s="288">
        <v>0.03</v>
      </c>
      <c r="J39" s="381">
        <f>H39*I39</f>
        <v>1.0247999999999999</v>
      </c>
    </row>
    <row r="40" spans="1:10" ht="18" customHeight="1" x14ac:dyDescent="0.2">
      <c r="A40" s="169"/>
      <c r="B40" s="163"/>
      <c r="C40" s="163"/>
      <c r="D40" s="175"/>
      <c r="E40" s="74" t="s">
        <v>644</v>
      </c>
      <c r="F40" s="205">
        <v>19.96</v>
      </c>
      <c r="G40" s="176"/>
      <c r="H40" s="174"/>
    </row>
    <row r="41" spans="1:10" x14ac:dyDescent="0.2">
      <c r="A41" s="169"/>
      <c r="B41" s="163"/>
      <c r="C41" s="163"/>
      <c r="D41" s="175"/>
      <c r="E41" s="74" t="s">
        <v>645</v>
      </c>
      <c r="F41" s="413">
        <v>14.2</v>
      </c>
      <c r="G41" s="176"/>
      <c r="H41" s="174"/>
    </row>
    <row r="42" spans="1:10" x14ac:dyDescent="0.2">
      <c r="A42" s="169"/>
      <c r="B42" s="163"/>
      <c r="C42" s="163"/>
      <c r="D42" s="175"/>
      <c r="E42" s="74"/>
      <c r="F42" s="205">
        <f>SUM(F40:F41)</f>
        <v>34.159999999999997</v>
      </c>
      <c r="G42" s="176"/>
      <c r="H42" s="174"/>
    </row>
    <row r="43" spans="1:10" x14ac:dyDescent="0.2">
      <c r="A43" s="53"/>
      <c r="B43" s="59"/>
      <c r="C43" s="59"/>
      <c r="D43" s="60"/>
      <c r="E43" s="61"/>
      <c r="F43" s="203"/>
      <c r="G43" s="57"/>
      <c r="H43" s="58"/>
    </row>
    <row r="44" spans="1:10" ht="25.5" x14ac:dyDescent="0.2">
      <c r="A44" s="162">
        <f>MAX(A$3:A43)+1</f>
        <v>8</v>
      </c>
      <c r="B44" s="163"/>
      <c r="C44" s="164" t="s">
        <v>313</v>
      </c>
      <c r="D44" s="165"/>
      <c r="E44" s="166" t="s">
        <v>314</v>
      </c>
      <c r="F44" s="204"/>
      <c r="G44" s="167" t="s">
        <v>15</v>
      </c>
      <c r="H44" s="63">
        <f>F46</f>
        <v>15</v>
      </c>
      <c r="I44" s="288"/>
      <c r="J44" s="381"/>
    </row>
    <row r="45" spans="1:10" ht="25.5" x14ac:dyDescent="0.2">
      <c r="A45" s="169"/>
      <c r="B45" s="163"/>
      <c r="C45" s="170"/>
      <c r="D45" s="171" t="s">
        <v>315</v>
      </c>
      <c r="E45" s="172" t="s">
        <v>316</v>
      </c>
      <c r="F45" s="208"/>
      <c r="G45" s="173" t="s">
        <v>15</v>
      </c>
      <c r="H45" s="174"/>
    </row>
    <row r="46" spans="1:10" ht="38.25" x14ac:dyDescent="0.2">
      <c r="A46" s="169"/>
      <c r="B46" s="163"/>
      <c r="C46" s="163"/>
      <c r="D46" s="175"/>
      <c r="E46" s="178" t="s">
        <v>317</v>
      </c>
      <c r="F46" s="205">
        <v>15</v>
      </c>
      <c r="G46" s="176"/>
      <c r="H46" s="174"/>
    </row>
    <row r="47" spans="1:10" x14ac:dyDescent="0.2">
      <c r="A47" s="53"/>
      <c r="B47" s="59"/>
      <c r="C47" s="59"/>
      <c r="D47" s="60"/>
      <c r="E47" s="76"/>
      <c r="F47" s="203"/>
      <c r="G47" s="57"/>
      <c r="H47" s="58"/>
    </row>
    <row r="48" spans="1:10" ht="25.5" x14ac:dyDescent="0.2">
      <c r="A48" s="162">
        <f>MAX(A$3:A46)+1</f>
        <v>9</v>
      </c>
      <c r="B48" s="163"/>
      <c r="C48" s="164" t="s">
        <v>318</v>
      </c>
      <c r="D48" s="165"/>
      <c r="E48" s="166" t="s">
        <v>319</v>
      </c>
      <c r="F48" s="204"/>
      <c r="G48" s="167" t="s">
        <v>12</v>
      </c>
      <c r="H48" s="63">
        <f>F49</f>
        <v>134.9</v>
      </c>
      <c r="I48" s="120">
        <f>0.127*2</f>
        <v>0.254</v>
      </c>
      <c r="J48" s="381">
        <f>H48*I48</f>
        <v>34.264600000000002</v>
      </c>
    </row>
    <row r="49" spans="1:10" ht="25.5" x14ac:dyDescent="0.2">
      <c r="A49" s="53"/>
      <c r="B49" s="59"/>
      <c r="C49" s="59"/>
      <c r="D49" s="60"/>
      <c r="E49" s="74" t="s">
        <v>638</v>
      </c>
      <c r="F49" s="205">
        <f>14.2*9.5</f>
        <v>134.9</v>
      </c>
      <c r="G49" s="57"/>
      <c r="H49" s="58"/>
    </row>
    <row r="50" spans="1:10" x14ac:dyDescent="0.2">
      <c r="A50" s="53"/>
      <c r="B50" s="59"/>
      <c r="C50" s="59"/>
      <c r="D50" s="60"/>
      <c r="E50" s="72"/>
      <c r="F50" s="203"/>
      <c r="G50" s="57"/>
      <c r="H50" s="58"/>
    </row>
    <row r="51" spans="1:10" x14ac:dyDescent="0.2">
      <c r="A51" s="162">
        <f>MAX(A$3:A49)+1</f>
        <v>10</v>
      </c>
      <c r="B51" s="163"/>
      <c r="C51" s="315" t="s">
        <v>546</v>
      </c>
      <c r="D51" s="316"/>
      <c r="E51" s="166" t="s">
        <v>547</v>
      </c>
      <c r="F51" s="166"/>
      <c r="G51" s="167" t="s">
        <v>548</v>
      </c>
      <c r="H51" s="63">
        <f>F54</f>
        <v>27828</v>
      </c>
    </row>
    <row r="52" spans="1:10" ht="25.5" x14ac:dyDescent="0.2">
      <c r="A52" s="169"/>
      <c r="B52" s="163"/>
      <c r="C52" s="163"/>
      <c r="D52" s="175"/>
      <c r="E52" s="74" t="s">
        <v>651</v>
      </c>
      <c r="F52" s="205">
        <f>2346*10</f>
        <v>23460</v>
      </c>
      <c r="G52" s="176"/>
      <c r="H52" s="174"/>
    </row>
    <row r="53" spans="1:10" ht="25.5" x14ac:dyDescent="0.2">
      <c r="A53" s="169"/>
      <c r="B53" s="163"/>
      <c r="C53" s="163"/>
      <c r="D53" s="175"/>
      <c r="E53" s="74" t="s">
        <v>654</v>
      </c>
      <c r="F53" s="413">
        <f>42*104</f>
        <v>4368</v>
      </c>
      <c r="G53" s="176"/>
      <c r="H53" s="174"/>
    </row>
    <row r="54" spans="1:10" x14ac:dyDescent="0.2">
      <c r="A54" s="169"/>
      <c r="B54" s="163"/>
      <c r="C54" s="163"/>
      <c r="D54" s="175"/>
      <c r="E54" s="74"/>
      <c r="F54" s="205">
        <f>SUM(F52:F53)</f>
        <v>27828</v>
      </c>
      <c r="G54" s="176"/>
      <c r="H54" s="174"/>
    </row>
    <row r="55" spans="1:10" x14ac:dyDescent="0.2">
      <c r="A55" s="53"/>
      <c r="B55" s="59"/>
      <c r="C55" s="59"/>
      <c r="D55" s="60"/>
      <c r="E55" s="72"/>
      <c r="F55" s="203"/>
      <c r="G55" s="57"/>
      <c r="H55" s="58"/>
    </row>
    <row r="56" spans="1:10" ht="25.5" x14ac:dyDescent="0.2">
      <c r="A56" s="162">
        <f>MAX(A$3:A52)+1</f>
        <v>11</v>
      </c>
      <c r="B56" s="163"/>
      <c r="C56" s="164" t="s">
        <v>309</v>
      </c>
      <c r="D56" s="165"/>
      <c r="E56" s="166" t="s">
        <v>639</v>
      </c>
      <c r="F56" s="204"/>
      <c r="G56" s="167" t="s">
        <v>5</v>
      </c>
      <c r="H56" s="63">
        <f>F57</f>
        <v>206.72597200000001</v>
      </c>
      <c r="I56" s="259"/>
      <c r="J56" s="414"/>
    </row>
    <row r="57" spans="1:10" ht="25.5" x14ac:dyDescent="0.2">
      <c r="A57" s="169"/>
      <c r="B57" s="163"/>
      <c r="C57" s="163"/>
      <c r="D57" s="175"/>
      <c r="E57" s="178" t="s">
        <v>467</v>
      </c>
      <c r="F57" s="205">
        <f>J57</f>
        <v>206.72597200000001</v>
      </c>
      <c r="G57" s="176"/>
      <c r="H57" s="174"/>
      <c r="I57" s="259"/>
      <c r="J57" s="414">
        <f>SUM(J7:J56)</f>
        <v>206.72597200000001</v>
      </c>
    </row>
    <row r="58" spans="1:10" ht="114.75" x14ac:dyDescent="0.2">
      <c r="A58" s="169"/>
      <c r="B58" s="163"/>
      <c r="C58" s="163"/>
      <c r="D58" s="175"/>
      <c r="E58" s="415" t="s">
        <v>640</v>
      </c>
      <c r="F58" s="205"/>
      <c r="G58" s="176"/>
      <c r="H58" s="174"/>
      <c r="I58" s="259"/>
      <c r="J58" s="414"/>
    </row>
    <row r="59" spans="1:10" x14ac:dyDescent="0.2">
      <c r="A59" s="53"/>
      <c r="B59" s="59"/>
      <c r="C59" s="59"/>
      <c r="D59" s="60"/>
      <c r="E59" s="72"/>
      <c r="F59" s="203"/>
      <c r="G59" s="57"/>
      <c r="H59" s="58"/>
    </row>
    <row r="60" spans="1:10" x14ac:dyDescent="0.2">
      <c r="A60" s="53"/>
      <c r="B60" s="382" t="s">
        <v>322</v>
      </c>
      <c r="C60" s="383"/>
      <c r="D60" s="18"/>
      <c r="E60" s="384" t="s">
        <v>323</v>
      </c>
      <c r="F60" s="203"/>
      <c r="G60" s="57"/>
      <c r="H60" s="58"/>
    </row>
    <row r="61" spans="1:10" s="120" customFormat="1" x14ac:dyDescent="0.2">
      <c r="A61" s="53"/>
      <c r="B61" s="59"/>
      <c r="C61" s="59"/>
      <c r="D61" s="60"/>
      <c r="E61" s="76"/>
      <c r="F61" s="203"/>
      <c r="G61" s="57"/>
      <c r="H61" s="58"/>
      <c r="J61" s="299"/>
    </row>
    <row r="62" spans="1:10" s="120" customFormat="1" x14ac:dyDescent="0.2">
      <c r="A62" s="162">
        <f>MAX(A$3:A60)+1</f>
        <v>12</v>
      </c>
      <c r="B62" s="163"/>
      <c r="C62" s="183" t="s">
        <v>324</v>
      </c>
      <c r="D62" s="184"/>
      <c r="E62" s="185" t="s">
        <v>325</v>
      </c>
      <c r="F62" s="211"/>
      <c r="G62" s="186" t="s">
        <v>12</v>
      </c>
      <c r="H62" s="179">
        <f>F64</f>
        <v>200</v>
      </c>
      <c r="J62" s="299"/>
    </row>
    <row r="63" spans="1:10" s="120" customFormat="1" x14ac:dyDescent="0.2">
      <c r="A63" s="169"/>
      <c r="B63" s="163"/>
      <c r="C63" s="187"/>
      <c r="D63" s="188" t="s">
        <v>326</v>
      </c>
      <c r="E63" s="189" t="s">
        <v>327</v>
      </c>
      <c r="F63" s="212"/>
      <c r="G63" s="190" t="s">
        <v>12</v>
      </c>
      <c r="H63" s="180"/>
      <c r="J63" s="299"/>
    </row>
    <row r="64" spans="1:10" s="120" customFormat="1" x14ac:dyDescent="0.2">
      <c r="A64" s="169"/>
      <c r="B64" s="163"/>
      <c r="C64" s="187"/>
      <c r="D64" s="191"/>
      <c r="E64" s="192" t="s">
        <v>328</v>
      </c>
      <c r="F64" s="213">
        <v>200</v>
      </c>
      <c r="G64" s="193"/>
      <c r="H64" s="180"/>
      <c r="J64" s="299"/>
    </row>
    <row r="65" spans="1:16" s="120" customFormat="1" ht="7.5" customHeight="1" x14ac:dyDescent="0.2">
      <c r="A65" s="169"/>
      <c r="B65" s="163"/>
      <c r="C65" s="187"/>
      <c r="D65" s="191"/>
      <c r="E65" s="192"/>
      <c r="F65" s="213"/>
      <c r="G65" s="193"/>
      <c r="H65" s="180"/>
      <c r="J65" s="299"/>
    </row>
    <row r="66" spans="1:16" s="120" customFormat="1" x14ac:dyDescent="0.2">
      <c r="A66" s="162">
        <f>MAX(A$3:A64)+1</f>
        <v>13</v>
      </c>
      <c r="B66" s="163"/>
      <c r="C66" s="183" t="s">
        <v>329</v>
      </c>
      <c r="D66" s="184"/>
      <c r="E66" s="185" t="s">
        <v>330</v>
      </c>
      <c r="F66" s="211"/>
      <c r="G66" s="186" t="s">
        <v>12</v>
      </c>
      <c r="H66" s="179">
        <f>F68</f>
        <v>100</v>
      </c>
      <c r="J66" s="299"/>
    </row>
    <row r="67" spans="1:16" s="120" customFormat="1" x14ac:dyDescent="0.2">
      <c r="A67" s="169"/>
      <c r="B67" s="163"/>
      <c r="C67" s="187"/>
      <c r="D67" s="188" t="s">
        <v>331</v>
      </c>
      <c r="E67" s="189" t="s">
        <v>332</v>
      </c>
      <c r="F67" s="212"/>
      <c r="G67" s="190" t="s">
        <v>12</v>
      </c>
      <c r="H67" s="180"/>
      <c r="J67" s="299"/>
    </row>
    <row r="68" spans="1:16" s="120" customFormat="1" x14ac:dyDescent="0.2">
      <c r="A68" s="169"/>
      <c r="B68" s="163"/>
      <c r="C68" s="187"/>
      <c r="D68" s="191"/>
      <c r="E68" s="192" t="s">
        <v>328</v>
      </c>
      <c r="F68" s="213">
        <v>100</v>
      </c>
      <c r="G68" s="193"/>
      <c r="H68" s="180"/>
      <c r="J68" s="299"/>
    </row>
    <row r="69" spans="1:16" s="120" customFormat="1" x14ac:dyDescent="0.2">
      <c r="A69" s="53"/>
      <c r="B69" s="59"/>
      <c r="C69" s="59"/>
      <c r="D69" s="60"/>
      <c r="E69" s="76"/>
      <c r="F69" s="203"/>
      <c r="G69" s="57"/>
      <c r="H69" s="58"/>
      <c r="J69" s="299"/>
    </row>
    <row r="70" spans="1:16" s="120" customFormat="1" x14ac:dyDescent="0.2">
      <c r="A70" s="53"/>
      <c r="B70" s="382" t="s">
        <v>333</v>
      </c>
      <c r="C70" s="383"/>
      <c r="D70" s="18"/>
      <c r="E70" s="380" t="s">
        <v>177</v>
      </c>
      <c r="F70" s="203"/>
      <c r="G70" s="57"/>
      <c r="H70" s="58"/>
      <c r="J70" s="299"/>
    </row>
    <row r="71" spans="1:16" s="120" customFormat="1" x14ac:dyDescent="0.2">
      <c r="A71" s="53"/>
      <c r="B71" s="382"/>
      <c r="C71" s="383"/>
      <c r="D71" s="18"/>
      <c r="E71" s="380"/>
      <c r="F71" s="203"/>
      <c r="G71" s="57"/>
      <c r="H71" s="58"/>
      <c r="J71" s="299"/>
    </row>
    <row r="72" spans="1:16" s="120" customFormat="1" x14ac:dyDescent="0.2">
      <c r="A72" s="162">
        <f>MAX(A$3:A71)+1</f>
        <v>14</v>
      </c>
      <c r="B72" s="416"/>
      <c r="C72" s="315" t="s">
        <v>704</v>
      </c>
      <c r="D72" s="316"/>
      <c r="E72" s="166" t="s">
        <v>705</v>
      </c>
      <c r="F72" s="166"/>
      <c r="G72" s="167" t="s">
        <v>51</v>
      </c>
      <c r="H72" s="63">
        <f>F73</f>
        <v>10</v>
      </c>
      <c r="J72" s="299"/>
    </row>
    <row r="73" spans="1:16" s="120" customFormat="1" x14ac:dyDescent="0.2">
      <c r="A73" s="169"/>
      <c r="B73" s="416"/>
      <c r="C73" s="417"/>
      <c r="D73" s="251"/>
      <c r="E73" s="192" t="s">
        <v>706</v>
      </c>
      <c r="F73" s="205">
        <v>10</v>
      </c>
      <c r="G73" s="176"/>
      <c r="H73" s="174"/>
      <c r="J73" s="299"/>
    </row>
    <row r="74" spans="1:16" s="120" customFormat="1" x14ac:dyDescent="0.2">
      <c r="A74" s="169"/>
      <c r="B74" s="416"/>
      <c r="C74" s="417"/>
      <c r="D74" s="251"/>
      <c r="E74" s="192" t="s">
        <v>559</v>
      </c>
      <c r="F74" s="205"/>
      <c r="G74" s="176"/>
      <c r="H74" s="174"/>
      <c r="J74" s="299"/>
    </row>
    <row r="75" spans="1:16" s="120" customFormat="1" x14ac:dyDescent="0.2">
      <c r="A75" s="169"/>
      <c r="B75" s="416"/>
      <c r="C75" s="417"/>
      <c r="D75" s="251"/>
      <c r="E75" s="192" t="s">
        <v>650</v>
      </c>
      <c r="F75" s="205"/>
      <c r="G75" s="176"/>
      <c r="H75" s="174"/>
      <c r="J75" s="299"/>
    </row>
    <row r="76" spans="1:16" s="120" customFormat="1" x14ac:dyDescent="0.2">
      <c r="A76" s="53"/>
      <c r="B76" s="59"/>
      <c r="C76" s="59"/>
      <c r="D76" s="60"/>
      <c r="F76" s="203"/>
      <c r="G76" s="57"/>
      <c r="H76" s="58"/>
      <c r="J76" s="299"/>
    </row>
    <row r="77" spans="1:16" s="120" customFormat="1" x14ac:dyDescent="0.2">
      <c r="A77" s="162">
        <f>MAX(A$3:A71)+1</f>
        <v>14</v>
      </c>
      <c r="B77" s="163"/>
      <c r="C77" s="164" t="s">
        <v>165</v>
      </c>
      <c r="D77" s="165"/>
      <c r="E77" s="166" t="s">
        <v>166</v>
      </c>
      <c r="F77" s="204"/>
      <c r="G77" s="167" t="s">
        <v>51</v>
      </c>
      <c r="H77" s="179">
        <f>F80</f>
        <v>47.5</v>
      </c>
      <c r="J77" s="299"/>
    </row>
    <row r="78" spans="1:16" s="120" customFormat="1" x14ac:dyDescent="0.2">
      <c r="A78" s="169"/>
      <c r="B78" s="163"/>
      <c r="C78" s="163"/>
      <c r="D78" s="171" t="s">
        <v>167</v>
      </c>
      <c r="E78" s="172" t="s">
        <v>168</v>
      </c>
      <c r="F78" s="208"/>
      <c r="G78" s="173" t="s">
        <v>51</v>
      </c>
      <c r="H78" s="180"/>
      <c r="J78" s="299"/>
      <c r="K78" s="128"/>
      <c r="L78" s="128"/>
      <c r="M78" s="128"/>
      <c r="N78" s="128"/>
      <c r="O78" s="128"/>
      <c r="P78" s="128"/>
    </row>
    <row r="79" spans="1:16" s="120" customFormat="1" ht="21" customHeight="1" x14ac:dyDescent="0.2">
      <c r="A79" s="169"/>
      <c r="B79" s="163"/>
      <c r="C79" s="163"/>
      <c r="D79" s="175"/>
      <c r="E79" s="74" t="s">
        <v>334</v>
      </c>
      <c r="F79" s="205"/>
      <c r="G79" s="176"/>
      <c r="H79" s="180"/>
      <c r="J79" s="299"/>
      <c r="K79" s="128"/>
      <c r="L79" s="128"/>
      <c r="M79" s="128"/>
      <c r="N79" s="128"/>
      <c r="O79" s="128"/>
      <c r="P79" s="128"/>
    </row>
    <row r="80" spans="1:16" s="120" customFormat="1" x14ac:dyDescent="0.2">
      <c r="A80" s="169"/>
      <c r="B80" s="163"/>
      <c r="C80" s="163"/>
      <c r="D80" s="175"/>
      <c r="E80" s="178" t="s">
        <v>649</v>
      </c>
      <c r="F80" s="205">
        <f>2*(2.5*9.5)</f>
        <v>47.5</v>
      </c>
      <c r="G80" s="176"/>
      <c r="H80" s="180"/>
      <c r="J80" s="299"/>
      <c r="K80" s="128"/>
      <c r="L80" s="128"/>
      <c r="M80" s="128"/>
      <c r="N80" s="128"/>
      <c r="O80" s="128"/>
      <c r="P80" s="128"/>
    </row>
    <row r="81" spans="1:16" s="120" customFormat="1" x14ac:dyDescent="0.2">
      <c r="A81" s="53"/>
      <c r="B81" s="59"/>
      <c r="C81" s="59"/>
      <c r="D81" s="60"/>
      <c r="E81" s="76"/>
      <c r="F81" s="203"/>
      <c r="G81" s="57"/>
      <c r="H81" s="181"/>
      <c r="J81" s="299"/>
      <c r="K81" s="128"/>
      <c r="L81" s="128"/>
      <c r="M81" s="128"/>
      <c r="N81" s="128"/>
      <c r="O81" s="128"/>
      <c r="P81" s="128"/>
    </row>
    <row r="82" spans="1:16" s="372" customFormat="1" x14ac:dyDescent="0.2">
      <c r="A82" s="162">
        <f>MAX(A$3:A81)+1</f>
        <v>15</v>
      </c>
      <c r="B82" s="314"/>
      <c r="C82" s="315" t="s">
        <v>542</v>
      </c>
      <c r="D82" s="316"/>
      <c r="E82" s="185" t="s">
        <v>578</v>
      </c>
      <c r="F82" s="166"/>
      <c r="G82" s="167" t="s">
        <v>543</v>
      </c>
      <c r="H82" s="179">
        <v>2</v>
      </c>
      <c r="I82" s="288"/>
      <c r="J82" s="381"/>
    </row>
    <row r="83" spans="1:16" s="372" customFormat="1" ht="14.25" customHeight="1" x14ac:dyDescent="0.2">
      <c r="A83" s="276"/>
      <c r="B83" s="314"/>
      <c r="C83" s="277"/>
      <c r="D83" s="188"/>
      <c r="E83" s="318" t="s">
        <v>545</v>
      </c>
      <c r="F83" s="317"/>
      <c r="G83" s="190"/>
      <c r="H83" s="180"/>
      <c r="I83" s="288"/>
      <c r="J83" s="381"/>
    </row>
    <row r="84" spans="1:16" s="372" customFormat="1" ht="12" customHeight="1" x14ac:dyDescent="0.2">
      <c r="A84" s="276"/>
      <c r="B84" s="314"/>
      <c r="C84" s="277"/>
      <c r="D84" s="188"/>
      <c r="E84" s="318" t="s">
        <v>544</v>
      </c>
      <c r="F84" s="317"/>
      <c r="G84" s="190"/>
      <c r="H84" s="180"/>
      <c r="I84" s="288"/>
      <c r="J84" s="381"/>
    </row>
    <row r="85" spans="1:16" ht="7.5" customHeight="1" x14ac:dyDescent="0.2">
      <c r="A85" s="86"/>
      <c r="B85" s="87"/>
      <c r="C85" s="66"/>
      <c r="D85" s="25"/>
      <c r="E85" s="75"/>
      <c r="F85" s="219"/>
      <c r="G85" s="26"/>
      <c r="H85" s="58"/>
    </row>
    <row r="86" spans="1:16" x14ac:dyDescent="0.2">
      <c r="A86" s="86"/>
      <c r="B86" s="382" t="s">
        <v>178</v>
      </c>
      <c r="C86" s="383"/>
      <c r="D86" s="18"/>
      <c r="E86" s="384" t="s">
        <v>179</v>
      </c>
      <c r="F86" s="389"/>
      <c r="G86" s="26"/>
      <c r="H86" s="58"/>
    </row>
    <row r="87" spans="1:16" ht="12.75" customHeight="1" x14ac:dyDescent="0.2">
      <c r="A87" s="86"/>
      <c r="B87" s="87"/>
      <c r="C87" s="66"/>
      <c r="D87" s="25"/>
      <c r="E87" s="75"/>
      <c r="F87" s="219"/>
      <c r="G87" s="26"/>
      <c r="H87" s="58"/>
    </row>
    <row r="88" spans="1:16" s="8" customFormat="1" x14ac:dyDescent="0.2">
      <c r="A88" s="162">
        <f>MAX(A$3:A87)+1</f>
        <v>16</v>
      </c>
      <c r="B88" s="198"/>
      <c r="C88" s="164" t="s">
        <v>161</v>
      </c>
      <c r="D88" s="165"/>
      <c r="E88" s="166" t="s">
        <v>162</v>
      </c>
      <c r="F88" s="204"/>
      <c r="G88" s="167" t="s">
        <v>51</v>
      </c>
      <c r="H88" s="179">
        <f>F90</f>
        <v>47.5</v>
      </c>
      <c r="I88" s="106"/>
      <c r="J88" s="160"/>
    </row>
    <row r="89" spans="1:16" s="8" customFormat="1" ht="25.5" x14ac:dyDescent="0.2">
      <c r="A89" s="199"/>
      <c r="B89" s="198"/>
      <c r="C89" s="243"/>
      <c r="D89" s="171" t="s">
        <v>163</v>
      </c>
      <c r="E89" s="172" t="s">
        <v>164</v>
      </c>
      <c r="F89" s="208"/>
      <c r="G89" s="173" t="s">
        <v>51</v>
      </c>
      <c r="H89" s="180"/>
      <c r="I89" s="106"/>
      <c r="J89" s="160"/>
    </row>
    <row r="90" spans="1:16" s="8" customFormat="1" x14ac:dyDescent="0.2">
      <c r="A90" s="199"/>
      <c r="B90" s="198"/>
      <c r="C90" s="243"/>
      <c r="D90" s="244"/>
      <c r="E90" s="177" t="s">
        <v>339</v>
      </c>
      <c r="F90" s="245">
        <f>F80</f>
        <v>47.5</v>
      </c>
      <c r="G90" s="175"/>
      <c r="H90" s="180"/>
      <c r="I90" s="120"/>
      <c r="J90" s="160"/>
    </row>
    <row r="91" spans="1:16" s="8" customFormat="1" ht="9.75" customHeight="1" x14ac:dyDescent="0.2">
      <c r="A91" s="86"/>
      <c r="B91" s="87"/>
      <c r="C91" s="98"/>
      <c r="D91" s="99"/>
      <c r="E91" s="75"/>
      <c r="F91" s="210"/>
      <c r="G91" s="60"/>
      <c r="H91" s="58"/>
      <c r="I91" s="120"/>
      <c r="J91" s="160"/>
    </row>
    <row r="92" spans="1:16" s="8" customFormat="1" x14ac:dyDescent="0.2">
      <c r="A92" s="86"/>
      <c r="B92" s="390" t="s">
        <v>156</v>
      </c>
      <c r="C92" s="390"/>
      <c r="D92" s="18"/>
      <c r="E92" s="391" t="s">
        <v>180</v>
      </c>
      <c r="F92" s="392"/>
      <c r="G92" s="26"/>
      <c r="H92" s="58"/>
      <c r="I92" s="106"/>
      <c r="J92" s="160"/>
    </row>
    <row r="93" spans="1:16" s="8" customFormat="1" ht="7.5" customHeight="1" x14ac:dyDescent="0.2">
      <c r="A93" s="86"/>
      <c r="B93" s="267"/>
      <c r="C93" s="269"/>
      <c r="D93" s="270"/>
      <c r="E93" s="72"/>
      <c r="F93" s="113"/>
      <c r="G93" s="60"/>
      <c r="H93" s="58"/>
      <c r="I93" s="106"/>
      <c r="J93" s="160"/>
    </row>
    <row r="94" spans="1:16" ht="25.5" x14ac:dyDescent="0.2">
      <c r="A94" s="162">
        <f>MAX(A$3:A92)+1</f>
        <v>17</v>
      </c>
      <c r="B94" s="249"/>
      <c r="C94" s="250" t="s">
        <v>94</v>
      </c>
      <c r="D94" s="251"/>
      <c r="E94" s="252" t="s">
        <v>95</v>
      </c>
      <c r="F94" s="253"/>
      <c r="G94" s="254" t="s">
        <v>51</v>
      </c>
      <c r="H94" s="63">
        <f>F96</f>
        <v>5.3391999999999999</v>
      </c>
    </row>
    <row r="95" spans="1:16" ht="25.5" x14ac:dyDescent="0.2">
      <c r="A95" s="199"/>
      <c r="B95" s="249"/>
      <c r="C95" s="200"/>
      <c r="D95" s="255" t="s">
        <v>340</v>
      </c>
      <c r="E95" s="256" t="s">
        <v>341</v>
      </c>
      <c r="F95" s="257"/>
      <c r="G95" s="175" t="s">
        <v>51</v>
      </c>
      <c r="H95" s="174"/>
    </row>
    <row r="96" spans="1:16" ht="15" x14ac:dyDescent="0.2">
      <c r="A96" s="199"/>
      <c r="B96" s="249"/>
      <c r="C96" s="200"/>
      <c r="D96" s="255"/>
      <c r="E96" s="177" t="s">
        <v>652</v>
      </c>
      <c r="F96" s="246">
        <f>2*(0.4*0.71*9.4)</f>
        <v>5.3391999999999999</v>
      </c>
      <c r="G96" s="175"/>
      <c r="H96" s="174"/>
    </row>
    <row r="97" spans="1:16" s="120" customFormat="1" ht="15" x14ac:dyDescent="0.2">
      <c r="A97" s="86"/>
      <c r="B97" s="267"/>
      <c r="C97" s="269"/>
      <c r="D97" s="270"/>
      <c r="E97" s="75" t="s">
        <v>261</v>
      </c>
      <c r="F97" s="113"/>
      <c r="G97" s="60"/>
      <c r="H97" s="58"/>
      <c r="J97" s="299"/>
      <c r="K97" s="128"/>
      <c r="L97" s="128"/>
      <c r="M97" s="128"/>
      <c r="N97" s="128"/>
      <c r="O97" s="128"/>
      <c r="P97" s="128"/>
    </row>
    <row r="98" spans="1:16" s="120" customFormat="1" ht="15" x14ac:dyDescent="0.2">
      <c r="A98" s="86"/>
      <c r="B98" s="267"/>
      <c r="C98" s="269"/>
      <c r="D98" s="270"/>
      <c r="E98" s="393"/>
      <c r="F98" s="113"/>
      <c r="G98" s="60"/>
      <c r="H98" s="58"/>
      <c r="J98" s="299"/>
      <c r="K98" s="128"/>
      <c r="L98" s="128"/>
      <c r="M98" s="128"/>
      <c r="N98" s="128"/>
      <c r="O98" s="128"/>
      <c r="P98" s="128"/>
    </row>
    <row r="99" spans="1:16" s="120" customFormat="1" ht="25.5" x14ac:dyDescent="0.2">
      <c r="A99" s="162">
        <f>MAX(A$3:A97)+1</f>
        <v>18</v>
      </c>
      <c r="B99" s="249"/>
      <c r="C99" s="164" t="s">
        <v>96</v>
      </c>
      <c r="D99" s="165"/>
      <c r="E99" s="258" t="s">
        <v>97</v>
      </c>
      <c r="F99" s="204"/>
      <c r="G99" s="167" t="s">
        <v>12</v>
      </c>
      <c r="H99" s="63">
        <f>F101</f>
        <v>13.915999999999999</v>
      </c>
      <c r="J99" s="299"/>
      <c r="K99" s="128"/>
      <c r="L99" s="128"/>
      <c r="M99" s="128"/>
      <c r="N99" s="128"/>
      <c r="O99" s="128"/>
      <c r="P99" s="128"/>
    </row>
    <row r="100" spans="1:16" s="120" customFormat="1" ht="25.5" x14ac:dyDescent="0.2">
      <c r="A100" s="199"/>
      <c r="B100" s="249"/>
      <c r="C100" s="200"/>
      <c r="D100" s="171" t="s">
        <v>98</v>
      </c>
      <c r="E100" s="259" t="s">
        <v>99</v>
      </c>
      <c r="F100" s="208"/>
      <c r="G100" s="173" t="s">
        <v>12</v>
      </c>
      <c r="H100" s="174"/>
      <c r="J100" s="299"/>
      <c r="K100" s="128"/>
      <c r="L100" s="128"/>
      <c r="M100" s="128"/>
      <c r="N100" s="128"/>
      <c r="O100" s="128"/>
      <c r="P100" s="128"/>
    </row>
    <row r="101" spans="1:16" s="120" customFormat="1" ht="15" x14ac:dyDescent="0.2">
      <c r="A101" s="86"/>
      <c r="B101" s="267"/>
      <c r="C101" s="66"/>
      <c r="D101" s="5"/>
      <c r="E101" s="177" t="s">
        <v>653</v>
      </c>
      <c r="F101" s="246">
        <f>2*(0.4*0.71)+2*(0.71*9.4)</f>
        <v>13.915999999999999</v>
      </c>
      <c r="G101" s="7"/>
      <c r="H101" s="58"/>
      <c r="J101" s="299"/>
      <c r="K101" s="128"/>
      <c r="L101" s="128"/>
      <c r="M101" s="128"/>
      <c r="N101" s="128"/>
      <c r="O101" s="128"/>
      <c r="P101" s="128"/>
    </row>
    <row r="102" spans="1:16" s="120" customFormat="1" ht="15" x14ac:dyDescent="0.2">
      <c r="A102" s="86"/>
      <c r="B102" s="267"/>
      <c r="C102" s="269"/>
      <c r="D102" s="270"/>
      <c r="E102" s="393"/>
      <c r="F102" s="113"/>
      <c r="G102" s="60"/>
      <c r="H102" s="58"/>
      <c r="J102" s="299"/>
      <c r="K102" s="128"/>
      <c r="L102" s="128"/>
      <c r="M102" s="128"/>
      <c r="N102" s="128"/>
      <c r="O102" s="128"/>
      <c r="P102" s="128"/>
    </row>
    <row r="103" spans="1:16" s="120" customFormat="1" ht="25.5" x14ac:dyDescent="0.2">
      <c r="A103" s="162">
        <f>MAX(A$3:A101)+1</f>
        <v>19</v>
      </c>
      <c r="B103" s="249"/>
      <c r="C103" s="164" t="s">
        <v>100</v>
      </c>
      <c r="D103" s="165"/>
      <c r="E103" s="258" t="s">
        <v>101</v>
      </c>
      <c r="F103" s="204"/>
      <c r="G103" s="167" t="s">
        <v>5</v>
      </c>
      <c r="H103" s="179">
        <f>F108</f>
        <v>0.76700000000000002</v>
      </c>
      <c r="J103" s="299"/>
      <c r="K103" s="128"/>
      <c r="L103" s="128"/>
      <c r="M103" s="128"/>
      <c r="N103" s="128"/>
      <c r="O103" s="128"/>
      <c r="P103" s="128"/>
    </row>
    <row r="104" spans="1:16" s="299" customFormat="1" ht="25.5" x14ac:dyDescent="0.2">
      <c r="A104" s="199"/>
      <c r="B104" s="249"/>
      <c r="C104" s="200"/>
      <c r="D104" s="171" t="s">
        <v>102</v>
      </c>
      <c r="E104" s="259" t="s">
        <v>103</v>
      </c>
      <c r="F104" s="208"/>
      <c r="G104" s="173" t="s">
        <v>5</v>
      </c>
      <c r="H104" s="180"/>
      <c r="I104" s="120"/>
      <c r="K104" s="128"/>
      <c r="L104" s="128"/>
      <c r="M104" s="128"/>
      <c r="N104" s="128"/>
      <c r="O104" s="128"/>
      <c r="P104" s="128"/>
    </row>
    <row r="105" spans="1:16" s="299" customFormat="1" ht="15" x14ac:dyDescent="0.2">
      <c r="A105" s="199"/>
      <c r="B105" s="249"/>
      <c r="C105" s="260"/>
      <c r="D105" s="261"/>
      <c r="E105" s="177" t="s">
        <v>251</v>
      </c>
      <c r="F105" s="206"/>
      <c r="G105" s="175"/>
      <c r="H105" s="180"/>
      <c r="I105" s="120"/>
      <c r="K105" s="128"/>
      <c r="L105" s="128"/>
      <c r="M105" s="128"/>
      <c r="N105" s="128"/>
      <c r="O105" s="128"/>
      <c r="P105" s="128"/>
    </row>
    <row r="106" spans="1:16" s="299" customFormat="1" ht="15" x14ac:dyDescent="0.2">
      <c r="A106" s="199"/>
      <c r="B106" s="249"/>
      <c r="C106" s="260"/>
      <c r="D106" s="261"/>
      <c r="E106" s="177" t="s">
        <v>653</v>
      </c>
      <c r="F106" s="206"/>
      <c r="G106" s="175"/>
      <c r="H106" s="180"/>
      <c r="I106" s="120"/>
      <c r="K106" s="128"/>
      <c r="L106" s="128"/>
      <c r="M106" s="128"/>
      <c r="N106" s="128"/>
      <c r="O106" s="128"/>
      <c r="P106" s="128"/>
    </row>
    <row r="107" spans="1:16" s="299" customFormat="1" ht="15" x14ac:dyDescent="0.2">
      <c r="A107" s="199"/>
      <c r="B107" s="249"/>
      <c r="C107" s="260"/>
      <c r="D107" s="261"/>
      <c r="E107" s="177" t="s">
        <v>655</v>
      </c>
      <c r="F107" s="337">
        <f>0.183+0.539+0.045</f>
        <v>0.76700000000000002</v>
      </c>
      <c r="G107" s="175"/>
      <c r="H107" s="180"/>
      <c r="I107" s="120"/>
      <c r="K107" s="128"/>
      <c r="L107" s="128"/>
      <c r="M107" s="128"/>
      <c r="N107" s="128"/>
      <c r="O107" s="128"/>
      <c r="P107" s="128"/>
    </row>
    <row r="108" spans="1:16" s="299" customFormat="1" ht="15" x14ac:dyDescent="0.2">
      <c r="A108" s="199"/>
      <c r="B108" s="249"/>
      <c r="C108" s="260"/>
      <c r="D108" s="261"/>
      <c r="E108" s="197" t="s">
        <v>298</v>
      </c>
      <c r="F108" s="73">
        <f>SUM(F106:F107)</f>
        <v>0.76700000000000002</v>
      </c>
      <c r="G108" s="175"/>
      <c r="H108" s="180"/>
      <c r="I108" s="120"/>
      <c r="K108" s="128"/>
      <c r="L108" s="128"/>
      <c r="M108" s="128"/>
      <c r="N108" s="128"/>
      <c r="O108" s="128"/>
      <c r="P108" s="128"/>
    </row>
    <row r="109" spans="1:16" s="299" customFormat="1" ht="15" x14ac:dyDescent="0.2">
      <c r="A109" s="86"/>
      <c r="B109" s="267"/>
      <c r="C109" s="269"/>
      <c r="D109" s="270"/>
      <c r="E109" s="393"/>
      <c r="F109" s="113"/>
      <c r="G109" s="60"/>
      <c r="H109" s="181"/>
      <c r="I109" s="120"/>
      <c r="K109" s="128"/>
      <c r="L109" s="128"/>
      <c r="M109" s="128"/>
      <c r="N109" s="128"/>
      <c r="O109" s="128"/>
      <c r="P109" s="128"/>
    </row>
    <row r="110" spans="1:16" s="299" customFormat="1" ht="25.5" x14ac:dyDescent="0.2">
      <c r="A110" s="162">
        <f>MAX(A$3:A109)+1</f>
        <v>20</v>
      </c>
      <c r="B110" s="249"/>
      <c r="C110" s="164" t="s">
        <v>127</v>
      </c>
      <c r="D110" s="165"/>
      <c r="E110" s="258" t="s">
        <v>128</v>
      </c>
      <c r="F110" s="204"/>
      <c r="G110" s="167" t="s">
        <v>51</v>
      </c>
      <c r="H110" s="179">
        <f>F115</f>
        <v>11.800712000000001</v>
      </c>
      <c r="I110" s="120"/>
      <c r="K110" s="128"/>
      <c r="L110" s="128"/>
      <c r="M110" s="128"/>
      <c r="N110" s="128"/>
      <c r="O110" s="128"/>
      <c r="P110" s="128"/>
    </row>
    <row r="111" spans="1:16" s="299" customFormat="1" ht="25.5" x14ac:dyDescent="0.2">
      <c r="A111" s="199"/>
      <c r="B111" s="249"/>
      <c r="C111" s="200"/>
      <c r="D111" s="262" t="s">
        <v>129</v>
      </c>
      <c r="E111" s="263" t="s">
        <v>130</v>
      </c>
      <c r="F111" s="264"/>
      <c r="G111" s="175" t="s">
        <v>51</v>
      </c>
      <c r="H111" s="180"/>
      <c r="I111" s="120"/>
      <c r="K111" s="128"/>
      <c r="L111" s="128"/>
      <c r="M111" s="128"/>
      <c r="N111" s="128"/>
      <c r="O111" s="128"/>
      <c r="P111" s="128"/>
    </row>
    <row r="112" spans="1:16" s="299" customFormat="1" ht="39.75" x14ac:dyDescent="0.2">
      <c r="A112" s="199"/>
      <c r="B112" s="249"/>
      <c r="C112" s="200"/>
      <c r="D112" s="255"/>
      <c r="E112" s="74" t="s">
        <v>495</v>
      </c>
      <c r="F112" s="257"/>
      <c r="G112" s="175"/>
      <c r="H112" s="180"/>
      <c r="I112" s="120"/>
      <c r="K112" s="128"/>
      <c r="L112" s="128"/>
      <c r="M112" s="128"/>
      <c r="N112" s="128"/>
      <c r="O112" s="128"/>
      <c r="P112" s="128"/>
    </row>
    <row r="113" spans="1:16" s="299" customFormat="1" ht="15" x14ac:dyDescent="0.2">
      <c r="A113" s="199"/>
      <c r="B113" s="249"/>
      <c r="C113" s="200"/>
      <c r="D113" s="255"/>
      <c r="E113" s="177" t="s">
        <v>656</v>
      </c>
      <c r="F113" s="221">
        <f>(0.53*0.41*14.2)+(0.22*1.025*14.2)</f>
        <v>6.2877599999999996</v>
      </c>
      <c r="G113" s="175"/>
      <c r="H113" s="180"/>
      <c r="I113" s="120"/>
      <c r="K113" s="128"/>
      <c r="L113" s="128"/>
      <c r="M113" s="128"/>
      <c r="N113" s="128"/>
      <c r="O113" s="128"/>
      <c r="P113" s="128"/>
    </row>
    <row r="114" spans="1:16" s="120" customFormat="1" ht="15" x14ac:dyDescent="0.2">
      <c r="A114" s="199"/>
      <c r="B114" s="249"/>
      <c r="C114" s="200"/>
      <c r="D114" s="255"/>
      <c r="E114" s="177" t="s">
        <v>657</v>
      </c>
      <c r="F114" s="221">
        <f>(0.145*0.38*19.96)+(0.22*1.005*19.96)</f>
        <v>5.5129520000000003</v>
      </c>
      <c r="G114" s="175"/>
      <c r="H114" s="180"/>
      <c r="J114" s="299"/>
      <c r="K114" s="128"/>
      <c r="L114" s="128"/>
      <c r="M114" s="128"/>
      <c r="N114" s="128"/>
      <c r="O114" s="128"/>
      <c r="P114" s="128"/>
    </row>
    <row r="115" spans="1:16" s="120" customFormat="1" ht="15" x14ac:dyDescent="0.2">
      <c r="A115" s="199"/>
      <c r="B115" s="249"/>
      <c r="C115" s="260"/>
      <c r="D115" s="261"/>
      <c r="E115" s="197" t="s">
        <v>298</v>
      </c>
      <c r="F115" s="266">
        <f>SUM(F113:F114)</f>
        <v>11.800712000000001</v>
      </c>
      <c r="G115" s="175"/>
      <c r="H115" s="180"/>
      <c r="J115" s="299"/>
      <c r="K115" s="128"/>
      <c r="L115" s="128"/>
      <c r="M115" s="128"/>
      <c r="N115" s="128"/>
      <c r="O115" s="128"/>
      <c r="P115" s="128"/>
    </row>
    <row r="116" spans="1:16" s="120" customFormat="1" ht="15" x14ac:dyDescent="0.2">
      <c r="A116" s="86"/>
      <c r="B116" s="267"/>
      <c r="C116" s="269"/>
      <c r="D116" s="270"/>
      <c r="E116" s="74" t="s">
        <v>253</v>
      </c>
      <c r="F116" s="113"/>
      <c r="G116" s="60"/>
      <c r="H116" s="181"/>
      <c r="J116" s="299"/>
      <c r="K116" s="128"/>
      <c r="L116" s="128"/>
      <c r="M116" s="128"/>
      <c r="N116" s="128"/>
      <c r="O116" s="128"/>
      <c r="P116" s="128"/>
    </row>
    <row r="117" spans="1:16" s="120" customFormat="1" ht="15" x14ac:dyDescent="0.2">
      <c r="A117" s="86"/>
      <c r="B117" s="267"/>
      <c r="C117" s="269"/>
      <c r="D117" s="270"/>
      <c r="E117" s="74" t="s">
        <v>496</v>
      </c>
      <c r="F117" s="113"/>
      <c r="G117" s="60"/>
      <c r="H117" s="181"/>
      <c r="J117" s="299"/>
      <c r="K117" s="128"/>
      <c r="L117" s="128"/>
      <c r="M117" s="128"/>
      <c r="N117" s="128"/>
      <c r="O117" s="128"/>
      <c r="P117" s="128"/>
    </row>
    <row r="118" spans="1:16" s="120" customFormat="1" ht="15" x14ac:dyDescent="0.2">
      <c r="A118" s="86"/>
      <c r="B118" s="267"/>
      <c r="C118" s="269"/>
      <c r="D118" s="270"/>
      <c r="E118" s="393"/>
      <c r="F118" s="113"/>
      <c r="G118" s="60"/>
      <c r="H118" s="181"/>
      <c r="J118" s="299"/>
      <c r="K118" s="128"/>
      <c r="L118" s="128"/>
      <c r="M118" s="128"/>
      <c r="N118" s="128"/>
      <c r="O118" s="128"/>
      <c r="P118" s="128"/>
    </row>
    <row r="119" spans="1:16" s="120" customFormat="1" ht="25.5" x14ac:dyDescent="0.2">
      <c r="A119" s="162">
        <f>MAX(A$3:A117)+1</f>
        <v>21</v>
      </c>
      <c r="B119" s="249"/>
      <c r="C119" s="164" t="s">
        <v>131</v>
      </c>
      <c r="D119" s="165"/>
      <c r="E119" s="258" t="s">
        <v>184</v>
      </c>
      <c r="F119" s="204"/>
      <c r="G119" s="167" t="s">
        <v>12</v>
      </c>
      <c r="H119" s="179">
        <f>F123</f>
        <v>24.6068</v>
      </c>
      <c r="J119" s="299"/>
      <c r="K119" s="128"/>
      <c r="L119" s="128"/>
      <c r="M119" s="128"/>
      <c r="N119" s="128"/>
      <c r="O119" s="128"/>
      <c r="P119" s="128"/>
    </row>
    <row r="120" spans="1:16" s="120" customFormat="1" ht="25.5" x14ac:dyDescent="0.2">
      <c r="A120" s="199"/>
      <c r="B120" s="249"/>
      <c r="C120" s="200"/>
      <c r="D120" s="171" t="s">
        <v>132</v>
      </c>
      <c r="E120" s="259" t="s">
        <v>185</v>
      </c>
      <c r="F120" s="208"/>
      <c r="G120" s="173" t="s">
        <v>12</v>
      </c>
      <c r="H120" s="180"/>
      <c r="J120" s="299"/>
      <c r="K120" s="128"/>
      <c r="L120" s="128"/>
      <c r="M120" s="128"/>
      <c r="N120" s="128"/>
      <c r="O120" s="128"/>
      <c r="P120" s="128"/>
    </row>
    <row r="121" spans="1:16" s="120" customFormat="1" ht="15" x14ac:dyDescent="0.2">
      <c r="A121" s="199"/>
      <c r="B121" s="249"/>
      <c r="C121" s="260"/>
      <c r="D121" s="261"/>
      <c r="E121" s="177" t="s">
        <v>658</v>
      </c>
      <c r="F121" s="221">
        <f>14.45* (0.53+0.41)+2*(0.53*0.41)</f>
        <v>14.017599999999998</v>
      </c>
      <c r="G121" s="175"/>
      <c r="H121" s="180"/>
      <c r="J121" s="299"/>
      <c r="K121" s="128"/>
      <c r="L121" s="128"/>
      <c r="M121" s="128"/>
      <c r="N121" s="128"/>
      <c r="O121" s="128"/>
      <c r="P121" s="128"/>
    </row>
    <row r="122" spans="1:16" s="120" customFormat="1" ht="15" x14ac:dyDescent="0.2">
      <c r="A122" s="199"/>
      <c r="B122" s="249"/>
      <c r="C122" s="260"/>
      <c r="D122" s="261"/>
      <c r="E122" s="177" t="s">
        <v>659</v>
      </c>
      <c r="F122" s="265">
        <f>19.96*(0.145+0.38)+2*(0.145*0.38)</f>
        <v>10.589200000000002</v>
      </c>
      <c r="G122" s="175"/>
      <c r="H122" s="180"/>
      <c r="J122" s="299"/>
      <c r="K122" s="128"/>
      <c r="L122" s="128"/>
      <c r="M122" s="128"/>
      <c r="N122" s="128"/>
      <c r="O122" s="128"/>
      <c r="P122" s="128"/>
    </row>
    <row r="123" spans="1:16" s="120" customFormat="1" ht="15" x14ac:dyDescent="0.2">
      <c r="A123" s="199"/>
      <c r="B123" s="249"/>
      <c r="C123" s="260"/>
      <c r="D123" s="261"/>
      <c r="E123" s="177" t="s">
        <v>250</v>
      </c>
      <c r="F123" s="266">
        <f>SUM(F121:F122)</f>
        <v>24.6068</v>
      </c>
      <c r="G123" s="175"/>
      <c r="H123" s="180"/>
      <c r="J123" s="299"/>
      <c r="K123" s="128"/>
      <c r="L123" s="128"/>
      <c r="M123" s="128"/>
      <c r="N123" s="128"/>
      <c r="O123" s="128"/>
      <c r="P123" s="128"/>
    </row>
    <row r="124" spans="1:16" s="120" customFormat="1" ht="9" customHeight="1" x14ac:dyDescent="0.2">
      <c r="A124" s="86"/>
      <c r="B124" s="267"/>
      <c r="C124" s="269"/>
      <c r="D124" s="270"/>
      <c r="E124" s="75"/>
      <c r="F124" s="107"/>
      <c r="G124" s="60"/>
      <c r="H124" s="181"/>
      <c r="J124" s="299"/>
      <c r="K124" s="128"/>
      <c r="L124" s="128"/>
      <c r="M124" s="128"/>
      <c r="N124" s="128"/>
      <c r="O124" s="128"/>
      <c r="P124" s="128"/>
    </row>
    <row r="125" spans="1:16" s="120" customFormat="1" ht="25.5" x14ac:dyDescent="0.2">
      <c r="A125" s="162">
        <f>MAX(A$3:A124)+1</f>
        <v>22</v>
      </c>
      <c r="B125" s="249"/>
      <c r="C125" s="164" t="s">
        <v>133</v>
      </c>
      <c r="D125" s="165"/>
      <c r="E125" s="258" t="s">
        <v>186</v>
      </c>
      <c r="F125" s="204"/>
      <c r="G125" s="167" t="s">
        <v>5</v>
      </c>
      <c r="H125" s="179">
        <f>F129</f>
        <v>2.2199999999999998</v>
      </c>
      <c r="J125" s="299"/>
      <c r="K125" s="128"/>
      <c r="L125" s="128"/>
      <c r="M125" s="128"/>
      <c r="N125" s="128"/>
      <c r="O125" s="128"/>
      <c r="P125" s="128"/>
    </row>
    <row r="126" spans="1:16" s="120" customFormat="1" ht="25.5" x14ac:dyDescent="0.2">
      <c r="A126" s="199"/>
      <c r="B126" s="249"/>
      <c r="C126" s="200"/>
      <c r="D126" s="171" t="s">
        <v>134</v>
      </c>
      <c r="E126" s="259" t="s">
        <v>187</v>
      </c>
      <c r="F126" s="259"/>
      <c r="G126" s="173" t="s">
        <v>5</v>
      </c>
      <c r="H126" s="180"/>
      <c r="J126" s="299"/>
      <c r="K126" s="128"/>
      <c r="L126" s="128"/>
      <c r="M126" s="128"/>
      <c r="N126" s="128"/>
      <c r="O126" s="128"/>
      <c r="P126" s="128"/>
    </row>
    <row r="127" spans="1:16" s="120" customFormat="1" ht="15" x14ac:dyDescent="0.2">
      <c r="A127" s="199"/>
      <c r="B127" s="249"/>
      <c r="C127" s="260"/>
      <c r="D127" s="261"/>
      <c r="E127" s="177" t="s">
        <v>251</v>
      </c>
      <c r="F127" s="208">
        <v>1.835</v>
      </c>
      <c r="G127" s="175"/>
      <c r="H127" s="180"/>
      <c r="J127" s="299"/>
      <c r="K127" s="128"/>
      <c r="L127" s="128"/>
      <c r="M127" s="128"/>
      <c r="N127" s="128"/>
      <c r="O127" s="128"/>
      <c r="P127" s="128"/>
    </row>
    <row r="128" spans="1:16" s="120" customFormat="1" ht="15" x14ac:dyDescent="0.2">
      <c r="A128" s="199"/>
      <c r="B128" s="249"/>
      <c r="C128" s="260"/>
      <c r="D128" s="261"/>
      <c r="E128" s="177" t="s">
        <v>660</v>
      </c>
      <c r="F128" s="248">
        <v>0.38500000000000001</v>
      </c>
      <c r="G128" s="175"/>
      <c r="H128" s="180"/>
      <c r="J128" s="299"/>
      <c r="K128" s="128"/>
      <c r="L128" s="128"/>
      <c r="M128" s="128"/>
      <c r="N128" s="128"/>
      <c r="O128" s="128"/>
      <c r="P128" s="128"/>
    </row>
    <row r="129" spans="1:16" s="120" customFormat="1" ht="15" x14ac:dyDescent="0.2">
      <c r="A129" s="199"/>
      <c r="B129" s="249"/>
      <c r="C129" s="260"/>
      <c r="D129" s="261"/>
      <c r="E129" s="177"/>
      <c r="F129" s="73">
        <f>SUM(F127:F128)</f>
        <v>2.2199999999999998</v>
      </c>
      <c r="G129" s="175"/>
      <c r="H129" s="180"/>
      <c r="J129" s="299"/>
      <c r="K129" s="128"/>
      <c r="L129" s="128"/>
      <c r="M129" s="128"/>
      <c r="N129" s="128"/>
      <c r="O129" s="128"/>
      <c r="P129" s="128"/>
    </row>
    <row r="130" spans="1:16" s="120" customFormat="1" ht="15" x14ac:dyDescent="0.2">
      <c r="A130" s="199"/>
      <c r="B130" s="249"/>
      <c r="C130" s="260"/>
      <c r="D130" s="261"/>
      <c r="E130" s="177"/>
      <c r="F130" s="73"/>
      <c r="G130" s="175"/>
      <c r="H130" s="180"/>
      <c r="J130" s="299"/>
      <c r="K130" s="128"/>
      <c r="L130" s="128"/>
      <c r="M130" s="128"/>
      <c r="N130" s="128"/>
      <c r="O130" s="128"/>
      <c r="P130" s="128"/>
    </row>
    <row r="131" spans="1:16" s="120" customFormat="1" ht="25.5" x14ac:dyDescent="0.2">
      <c r="A131" s="162">
        <f>MAX(A$3:A130)+1</f>
        <v>23</v>
      </c>
      <c r="B131" s="249"/>
      <c r="C131" s="164" t="s">
        <v>135</v>
      </c>
      <c r="D131" s="165"/>
      <c r="E131" s="321" t="s">
        <v>188</v>
      </c>
      <c r="F131" s="258"/>
      <c r="G131" s="167" t="s">
        <v>51</v>
      </c>
      <c r="H131" s="179">
        <f>F133</f>
        <v>8.2720000000000002</v>
      </c>
      <c r="J131" s="299"/>
      <c r="K131" s="128"/>
      <c r="L131" s="128"/>
      <c r="M131" s="128"/>
      <c r="N131" s="128"/>
      <c r="O131" s="128"/>
      <c r="P131" s="128"/>
    </row>
    <row r="132" spans="1:16" s="120" customFormat="1" ht="25.5" x14ac:dyDescent="0.2">
      <c r="A132" s="199"/>
      <c r="B132" s="249"/>
      <c r="C132" s="260"/>
      <c r="D132" s="262" t="s">
        <v>672</v>
      </c>
      <c r="E132" s="263" t="s">
        <v>673</v>
      </c>
      <c r="F132" s="263"/>
      <c r="G132" s="173" t="s">
        <v>51</v>
      </c>
      <c r="H132" s="180"/>
      <c r="J132" s="299"/>
      <c r="K132" s="128"/>
      <c r="L132" s="128"/>
      <c r="M132" s="128"/>
      <c r="N132" s="128"/>
      <c r="O132" s="128"/>
      <c r="P132" s="128"/>
    </row>
    <row r="133" spans="1:16" s="120" customFormat="1" ht="15" x14ac:dyDescent="0.2">
      <c r="A133" s="199"/>
      <c r="B133" s="249"/>
      <c r="C133" s="260"/>
      <c r="D133" s="261"/>
      <c r="E133" s="177" t="s">
        <v>674</v>
      </c>
      <c r="F133" s="73">
        <f>2*(2*9.4*0.22)</f>
        <v>8.2720000000000002</v>
      </c>
      <c r="G133" s="175"/>
      <c r="H133" s="180"/>
      <c r="J133" s="299"/>
      <c r="K133" s="128"/>
      <c r="L133" s="128"/>
      <c r="M133" s="128"/>
      <c r="N133" s="128"/>
      <c r="O133" s="128"/>
      <c r="P133" s="128"/>
    </row>
    <row r="134" spans="1:16" s="120" customFormat="1" ht="15" x14ac:dyDescent="0.2">
      <c r="A134" s="199"/>
      <c r="B134" s="249"/>
      <c r="C134" s="260"/>
      <c r="D134" s="261"/>
      <c r="E134" s="177"/>
      <c r="F134" s="73"/>
      <c r="G134" s="175"/>
      <c r="H134" s="180"/>
      <c r="J134" s="299"/>
      <c r="K134" s="128"/>
      <c r="L134" s="128"/>
      <c r="M134" s="128"/>
      <c r="N134" s="128"/>
      <c r="O134" s="128"/>
      <c r="P134" s="128"/>
    </row>
    <row r="135" spans="1:16" s="120" customFormat="1" ht="25.5" x14ac:dyDescent="0.2">
      <c r="A135" s="162">
        <f>MAX(A$3:A134)+1</f>
        <v>24</v>
      </c>
      <c r="B135" s="249"/>
      <c r="C135" s="164" t="s">
        <v>136</v>
      </c>
      <c r="D135" s="165"/>
      <c r="E135" s="258" t="s">
        <v>137</v>
      </c>
      <c r="F135" s="258"/>
      <c r="G135" s="167" t="s">
        <v>12</v>
      </c>
      <c r="H135" s="179">
        <f>F136</f>
        <v>10.032</v>
      </c>
      <c r="J135" s="299"/>
      <c r="K135" s="128"/>
      <c r="L135" s="128"/>
      <c r="M135" s="128"/>
      <c r="N135" s="128"/>
      <c r="O135" s="128"/>
      <c r="P135" s="128"/>
    </row>
    <row r="136" spans="1:16" s="120" customFormat="1" ht="15" x14ac:dyDescent="0.2">
      <c r="A136" s="199"/>
      <c r="B136" s="249"/>
      <c r="C136" s="260"/>
      <c r="D136" s="261"/>
      <c r="E136" s="177" t="s">
        <v>675</v>
      </c>
      <c r="F136" s="73">
        <f>(4*(2+9.4))*0.22</f>
        <v>10.032</v>
      </c>
      <c r="G136" s="175"/>
      <c r="H136" s="180"/>
      <c r="J136" s="299"/>
      <c r="K136" s="128"/>
      <c r="L136" s="128"/>
      <c r="M136" s="128"/>
      <c r="N136" s="128"/>
      <c r="O136" s="128"/>
      <c r="P136" s="128"/>
    </row>
    <row r="137" spans="1:16" s="120" customFormat="1" ht="15" x14ac:dyDescent="0.2">
      <c r="A137" s="199"/>
      <c r="B137" s="249"/>
      <c r="C137" s="260"/>
      <c r="D137" s="261"/>
      <c r="E137" s="177"/>
      <c r="F137" s="73"/>
      <c r="G137" s="175"/>
      <c r="H137" s="180"/>
      <c r="J137" s="299"/>
      <c r="K137" s="128"/>
      <c r="L137" s="128"/>
      <c r="M137" s="128"/>
      <c r="N137" s="128"/>
      <c r="O137" s="128"/>
      <c r="P137" s="128"/>
    </row>
    <row r="138" spans="1:16" s="120" customFormat="1" ht="25.5" x14ac:dyDescent="0.2">
      <c r="A138" s="162">
        <f>MAX(A$3:A137)+1</f>
        <v>25</v>
      </c>
      <c r="B138" s="249"/>
      <c r="C138" s="164" t="s">
        <v>140</v>
      </c>
      <c r="D138" s="165"/>
      <c r="E138" s="258" t="s">
        <v>141</v>
      </c>
      <c r="F138" s="258"/>
      <c r="G138" s="167" t="s">
        <v>5</v>
      </c>
      <c r="H138" s="179">
        <f>F139</f>
        <v>0.82800000000000007</v>
      </c>
      <c r="J138" s="299"/>
      <c r="K138" s="128"/>
      <c r="L138" s="128"/>
      <c r="M138" s="128"/>
      <c r="N138" s="128"/>
      <c r="O138" s="128"/>
      <c r="P138" s="128"/>
    </row>
    <row r="139" spans="1:16" s="120" customFormat="1" ht="15" x14ac:dyDescent="0.2">
      <c r="A139" s="199"/>
      <c r="B139" s="249"/>
      <c r="C139" s="260"/>
      <c r="D139" s="261"/>
      <c r="E139" s="177" t="s">
        <v>676</v>
      </c>
      <c r="F139" s="73">
        <f>2*(0.137+0.277)</f>
        <v>0.82800000000000007</v>
      </c>
      <c r="G139" s="175"/>
      <c r="H139" s="180"/>
      <c r="J139" s="299"/>
      <c r="K139" s="128"/>
      <c r="L139" s="128"/>
      <c r="M139" s="128"/>
      <c r="N139" s="128"/>
      <c r="O139" s="128"/>
      <c r="P139" s="128"/>
    </row>
    <row r="140" spans="1:16" s="120" customFormat="1" ht="15" x14ac:dyDescent="0.2">
      <c r="A140" s="86"/>
      <c r="B140" s="267"/>
      <c r="C140" s="269"/>
      <c r="D140" s="270"/>
      <c r="E140" s="393"/>
      <c r="F140" s="113"/>
      <c r="G140" s="60"/>
      <c r="H140" s="181"/>
      <c r="J140" s="299"/>
      <c r="K140" s="128"/>
      <c r="L140" s="128"/>
      <c r="M140" s="128"/>
      <c r="N140" s="128"/>
      <c r="O140" s="128"/>
      <c r="P140" s="128"/>
    </row>
    <row r="141" spans="1:16" s="120" customFormat="1" ht="25.5" x14ac:dyDescent="0.2">
      <c r="A141" s="162">
        <f>MAX(A$3:A140)+1</f>
        <v>26</v>
      </c>
      <c r="B141" s="249"/>
      <c r="C141" s="164" t="s">
        <v>144</v>
      </c>
      <c r="D141" s="165"/>
      <c r="E141" s="258" t="s">
        <v>189</v>
      </c>
      <c r="F141" s="204"/>
      <c r="G141" s="167" t="s">
        <v>51</v>
      </c>
      <c r="H141" s="179">
        <f>F144</f>
        <v>19.03125</v>
      </c>
      <c r="J141" s="299"/>
      <c r="K141" s="128"/>
      <c r="L141" s="128"/>
      <c r="M141" s="128"/>
      <c r="N141" s="128"/>
      <c r="O141" s="128"/>
      <c r="P141" s="128"/>
    </row>
    <row r="142" spans="1:16" s="120" customFormat="1" ht="25.5" x14ac:dyDescent="0.2">
      <c r="A142" s="199"/>
      <c r="B142" s="249"/>
      <c r="C142" s="200"/>
      <c r="D142" s="262" t="s">
        <v>360</v>
      </c>
      <c r="E142" s="263" t="s">
        <v>361</v>
      </c>
      <c r="F142" s="264"/>
      <c r="G142" s="175" t="s">
        <v>51</v>
      </c>
      <c r="H142" s="180"/>
      <c r="J142" s="299"/>
      <c r="K142" s="128"/>
      <c r="L142" s="128"/>
      <c r="M142" s="128"/>
      <c r="N142" s="128"/>
      <c r="O142" s="128"/>
      <c r="P142" s="128"/>
    </row>
    <row r="143" spans="1:16" s="120" customFormat="1" ht="15" x14ac:dyDescent="0.2">
      <c r="A143" s="199"/>
      <c r="B143" s="249"/>
      <c r="C143" s="260"/>
      <c r="D143" s="261"/>
      <c r="E143" s="74" t="s">
        <v>661</v>
      </c>
      <c r="F143" s="73">
        <f>2*(1.55*0.13*10.15)+(9.2*10.15*0.16)</f>
        <v>19.03125</v>
      </c>
      <c r="G143" s="175"/>
      <c r="H143" s="180"/>
      <c r="J143" s="299"/>
      <c r="K143" s="128"/>
      <c r="L143" s="128"/>
      <c r="M143" s="128"/>
      <c r="N143" s="128"/>
      <c r="O143" s="128"/>
      <c r="P143" s="128"/>
    </row>
    <row r="144" spans="1:16" s="120" customFormat="1" ht="15" x14ac:dyDescent="0.2">
      <c r="A144" s="199"/>
      <c r="B144" s="249"/>
      <c r="C144" s="260"/>
      <c r="D144" s="261"/>
      <c r="E144" s="197" t="s">
        <v>298</v>
      </c>
      <c r="F144" s="73">
        <f>SUM(F143:F143)</f>
        <v>19.03125</v>
      </c>
      <c r="G144" s="175"/>
      <c r="H144" s="180"/>
      <c r="J144" s="299"/>
      <c r="K144" s="128"/>
      <c r="L144" s="128"/>
      <c r="M144" s="128"/>
      <c r="N144" s="128"/>
      <c r="O144" s="128"/>
      <c r="P144" s="128"/>
    </row>
    <row r="145" spans="1:16" s="299" customFormat="1" ht="15" x14ac:dyDescent="0.2">
      <c r="A145" s="86"/>
      <c r="B145" s="267"/>
      <c r="C145" s="269"/>
      <c r="D145" s="270"/>
      <c r="E145" s="72"/>
      <c r="F145" s="113"/>
      <c r="G145" s="60"/>
      <c r="H145" s="181"/>
      <c r="I145" s="120"/>
      <c r="K145" s="128"/>
      <c r="L145" s="128"/>
      <c r="M145" s="128"/>
      <c r="N145" s="128"/>
      <c r="O145" s="128"/>
      <c r="P145" s="128"/>
    </row>
    <row r="146" spans="1:16" s="299" customFormat="1" ht="25.5" x14ac:dyDescent="0.2">
      <c r="A146" s="162">
        <f>MAX(A$3:A145)+1</f>
        <v>27</v>
      </c>
      <c r="B146" s="249"/>
      <c r="C146" s="164" t="s">
        <v>145</v>
      </c>
      <c r="D146" s="165"/>
      <c r="E146" s="258" t="s">
        <v>190</v>
      </c>
      <c r="F146" s="204"/>
      <c r="G146" s="167" t="s">
        <v>12</v>
      </c>
      <c r="H146" s="179">
        <f>F148</f>
        <v>8.7919999999999998</v>
      </c>
      <c r="I146" s="120"/>
      <c r="K146" s="128"/>
      <c r="L146" s="128"/>
      <c r="M146" s="128"/>
      <c r="N146" s="128"/>
      <c r="O146" s="128"/>
      <c r="P146" s="128"/>
    </row>
    <row r="147" spans="1:16" s="299" customFormat="1" ht="25.5" x14ac:dyDescent="0.2">
      <c r="A147" s="199"/>
      <c r="B147" s="249"/>
      <c r="C147" s="200"/>
      <c r="D147" s="171" t="s">
        <v>146</v>
      </c>
      <c r="E147" s="259" t="s">
        <v>191</v>
      </c>
      <c r="F147" s="208"/>
      <c r="G147" s="173" t="s">
        <v>12</v>
      </c>
      <c r="H147" s="180"/>
      <c r="I147" s="120"/>
      <c r="K147" s="128"/>
      <c r="L147" s="128"/>
      <c r="M147" s="128"/>
      <c r="N147" s="128"/>
      <c r="O147" s="128"/>
      <c r="P147" s="128"/>
    </row>
    <row r="148" spans="1:16" s="299" customFormat="1" ht="15" x14ac:dyDescent="0.2">
      <c r="A148" s="199"/>
      <c r="B148" s="249"/>
      <c r="C148" s="260"/>
      <c r="D148" s="261"/>
      <c r="E148" s="74" t="s">
        <v>662</v>
      </c>
      <c r="F148" s="73">
        <f>(11.83+11.83+10.15+10.15)*0.2</f>
        <v>8.7919999999999998</v>
      </c>
      <c r="G148" s="175"/>
      <c r="H148" s="180"/>
      <c r="I148" s="120"/>
      <c r="K148" s="128"/>
      <c r="L148" s="128"/>
      <c r="M148" s="128"/>
      <c r="N148" s="128"/>
      <c r="O148" s="128"/>
      <c r="P148" s="128"/>
    </row>
    <row r="149" spans="1:16" s="299" customFormat="1" ht="15" x14ac:dyDescent="0.2">
      <c r="A149" s="86"/>
      <c r="B149" s="267"/>
      <c r="C149" s="269"/>
      <c r="D149" s="270"/>
      <c r="E149" s="393"/>
      <c r="F149" s="113"/>
      <c r="G149" s="60"/>
      <c r="H149" s="181"/>
      <c r="I149" s="120"/>
      <c r="K149" s="128"/>
      <c r="L149" s="128"/>
      <c r="M149" s="128"/>
      <c r="N149" s="128"/>
      <c r="O149" s="128"/>
      <c r="P149" s="128"/>
    </row>
    <row r="150" spans="1:16" s="299" customFormat="1" ht="25.5" x14ac:dyDescent="0.2">
      <c r="A150" s="162">
        <f>MAX(A$3:A148)+1</f>
        <v>28</v>
      </c>
      <c r="B150" s="249"/>
      <c r="C150" s="164" t="s">
        <v>147</v>
      </c>
      <c r="D150" s="165"/>
      <c r="E150" s="258" t="s">
        <v>192</v>
      </c>
      <c r="F150" s="204"/>
      <c r="G150" s="167" t="s">
        <v>5</v>
      </c>
      <c r="H150" s="179">
        <f>F155</f>
        <v>6.2799999999999994</v>
      </c>
      <c r="I150" s="120"/>
      <c r="K150" s="128"/>
      <c r="L150" s="128"/>
      <c r="M150" s="128"/>
      <c r="N150" s="128"/>
      <c r="O150" s="128"/>
      <c r="P150" s="128"/>
    </row>
    <row r="151" spans="1:16" s="299" customFormat="1" ht="25.5" x14ac:dyDescent="0.2">
      <c r="A151" s="199"/>
      <c r="B151" s="249"/>
      <c r="C151" s="200"/>
      <c r="D151" s="171" t="s">
        <v>148</v>
      </c>
      <c r="E151" s="259" t="s">
        <v>193</v>
      </c>
      <c r="F151" s="208"/>
      <c r="G151" s="173" t="s">
        <v>5</v>
      </c>
      <c r="H151" s="180"/>
      <c r="I151" s="120"/>
      <c r="K151" s="128"/>
      <c r="L151" s="128"/>
      <c r="M151" s="128"/>
      <c r="N151" s="128"/>
      <c r="O151" s="128"/>
      <c r="P151" s="128"/>
    </row>
    <row r="152" spans="1:16" s="299" customFormat="1" ht="15" x14ac:dyDescent="0.2">
      <c r="A152" s="199"/>
      <c r="B152" s="249"/>
      <c r="C152" s="260"/>
      <c r="D152" s="261"/>
      <c r="E152" s="177" t="s">
        <v>583</v>
      </c>
      <c r="F152" s="73">
        <v>4.59</v>
      </c>
      <c r="G152" s="175"/>
      <c r="H152" s="180"/>
      <c r="I152" s="120"/>
      <c r="K152" s="128"/>
      <c r="L152" s="128"/>
      <c r="M152" s="128"/>
      <c r="N152" s="128"/>
      <c r="O152" s="128"/>
      <c r="P152" s="128"/>
    </row>
    <row r="153" spans="1:16" s="299" customFormat="1" ht="25.5" x14ac:dyDescent="0.2">
      <c r="A153" s="199"/>
      <c r="B153" s="249"/>
      <c r="C153" s="260"/>
      <c r="D153" s="171" t="s">
        <v>362</v>
      </c>
      <c r="E153" s="259" t="s">
        <v>363</v>
      </c>
      <c r="F153" s="208"/>
      <c r="G153" s="173" t="s">
        <v>5</v>
      </c>
      <c r="H153" s="180"/>
      <c r="I153" s="120"/>
      <c r="K153" s="128"/>
      <c r="L153" s="128"/>
      <c r="M153" s="128"/>
      <c r="N153" s="128"/>
      <c r="O153" s="128"/>
      <c r="P153" s="128"/>
    </row>
    <row r="154" spans="1:16" s="299" customFormat="1" ht="15" x14ac:dyDescent="0.2">
      <c r="A154" s="199"/>
      <c r="B154" s="249"/>
      <c r="C154" s="260"/>
      <c r="D154" s="261"/>
      <c r="E154" s="74" t="s">
        <v>502</v>
      </c>
      <c r="F154" s="248">
        <v>1.69</v>
      </c>
      <c r="G154" s="175"/>
      <c r="H154" s="180"/>
      <c r="I154" s="120"/>
      <c r="K154" s="128"/>
      <c r="L154" s="128"/>
      <c r="M154" s="128"/>
      <c r="N154" s="128"/>
      <c r="O154" s="128"/>
      <c r="P154" s="128"/>
    </row>
    <row r="155" spans="1:16" s="299" customFormat="1" ht="15" x14ac:dyDescent="0.2">
      <c r="A155" s="199"/>
      <c r="B155" s="249"/>
      <c r="C155" s="260"/>
      <c r="D155" s="261"/>
      <c r="E155" s="197" t="s">
        <v>298</v>
      </c>
      <c r="F155" s="73">
        <f>F152+F154</f>
        <v>6.2799999999999994</v>
      </c>
      <c r="G155" s="175"/>
      <c r="H155" s="180"/>
      <c r="I155" s="120"/>
      <c r="K155" s="128"/>
      <c r="L155" s="128"/>
      <c r="M155" s="128"/>
      <c r="N155" s="128"/>
      <c r="O155" s="128"/>
      <c r="P155" s="128"/>
    </row>
    <row r="156" spans="1:16" s="299" customFormat="1" ht="15" x14ac:dyDescent="0.2">
      <c r="A156" s="199"/>
      <c r="B156" s="249"/>
      <c r="C156" s="260"/>
      <c r="D156" s="261"/>
      <c r="E156" s="197"/>
      <c r="F156" s="73"/>
      <c r="G156" s="175"/>
      <c r="H156" s="180"/>
      <c r="I156" s="120"/>
      <c r="K156" s="128"/>
      <c r="L156" s="128"/>
      <c r="M156" s="128"/>
      <c r="N156" s="128"/>
      <c r="O156" s="128"/>
      <c r="P156" s="128"/>
    </row>
    <row r="157" spans="1:16" s="299" customFormat="1" ht="25.5" x14ac:dyDescent="0.2">
      <c r="A157" s="162">
        <f>MAX(A$3:A155)+1</f>
        <v>29</v>
      </c>
      <c r="B157" s="249"/>
      <c r="C157" s="439" t="s">
        <v>208</v>
      </c>
      <c r="D157" s="184"/>
      <c r="E157" s="440" t="s">
        <v>209</v>
      </c>
      <c r="F157" s="441"/>
      <c r="G157" s="186" t="s">
        <v>51</v>
      </c>
      <c r="H157" s="179">
        <f>F158</f>
        <v>40</v>
      </c>
      <c r="I157" s="120"/>
      <c r="K157" s="128"/>
      <c r="L157" s="128"/>
      <c r="M157" s="128"/>
      <c r="N157" s="128"/>
      <c r="O157" s="128"/>
      <c r="P157" s="128"/>
    </row>
    <row r="158" spans="1:16" s="299" customFormat="1" ht="15" x14ac:dyDescent="0.2">
      <c r="A158" s="199"/>
      <c r="B158" s="249"/>
      <c r="C158" s="442"/>
      <c r="D158" s="302"/>
      <c r="E158" s="281" t="s">
        <v>689</v>
      </c>
      <c r="F158" s="70">
        <f>2*(2*1*10)</f>
        <v>40</v>
      </c>
      <c r="G158" s="191"/>
      <c r="H158" s="179"/>
      <c r="I158" s="120"/>
      <c r="K158" s="128"/>
      <c r="L158" s="128"/>
      <c r="M158" s="128"/>
      <c r="N158" s="128"/>
      <c r="O158" s="128"/>
      <c r="P158" s="128"/>
    </row>
    <row r="159" spans="1:16" s="299" customFormat="1" ht="15" x14ac:dyDescent="0.2">
      <c r="A159" s="86"/>
      <c r="B159" s="267"/>
      <c r="C159" s="269"/>
      <c r="D159" s="270"/>
      <c r="E159" s="77"/>
      <c r="F159" s="67"/>
      <c r="G159" s="60"/>
      <c r="H159" s="181"/>
      <c r="I159" s="120"/>
      <c r="K159" s="128"/>
      <c r="L159" s="128"/>
      <c r="M159" s="128"/>
      <c r="N159" s="128"/>
      <c r="O159" s="128"/>
      <c r="P159" s="128"/>
    </row>
    <row r="160" spans="1:16" s="120" customFormat="1" ht="15" x14ac:dyDescent="0.2">
      <c r="A160" s="162">
        <f>MAX(A$3:A159)+1</f>
        <v>30</v>
      </c>
      <c r="B160" s="249"/>
      <c r="C160" s="164" t="s">
        <v>370</v>
      </c>
      <c r="D160" s="165"/>
      <c r="E160" s="258" t="s">
        <v>371</v>
      </c>
      <c r="F160" s="204"/>
      <c r="G160" s="167" t="s">
        <v>25</v>
      </c>
      <c r="H160" s="179">
        <f>F162</f>
        <v>34.159999999999997</v>
      </c>
      <c r="J160" s="299"/>
      <c r="K160" s="128"/>
      <c r="L160" s="128"/>
      <c r="M160" s="128"/>
      <c r="N160" s="128"/>
      <c r="O160" s="128"/>
      <c r="P160" s="128"/>
    </row>
    <row r="161" spans="1:16" s="120" customFormat="1" ht="15" x14ac:dyDescent="0.2">
      <c r="A161" s="199"/>
      <c r="B161" s="249"/>
      <c r="C161" s="250"/>
      <c r="D161" s="251"/>
      <c r="E161" s="177" t="s">
        <v>513</v>
      </c>
      <c r="F161" s="279"/>
      <c r="G161" s="254"/>
      <c r="H161" s="180"/>
      <c r="J161" s="299"/>
      <c r="K161" s="128"/>
      <c r="L161" s="128"/>
      <c r="M161" s="128"/>
      <c r="N161" s="128"/>
      <c r="O161" s="128"/>
      <c r="P161" s="128"/>
    </row>
    <row r="162" spans="1:16" s="120" customFormat="1" ht="15" x14ac:dyDescent="0.2">
      <c r="A162" s="199"/>
      <c r="B162" s="249"/>
      <c r="C162" s="250"/>
      <c r="D162" s="251"/>
      <c r="E162" s="177" t="s">
        <v>663</v>
      </c>
      <c r="F162" s="279">
        <f>19.96+14.2</f>
        <v>34.159999999999997</v>
      </c>
      <c r="G162" s="254"/>
      <c r="H162" s="180"/>
      <c r="J162" s="299"/>
      <c r="K162" s="128"/>
      <c r="L162" s="128"/>
      <c r="M162" s="128"/>
      <c r="N162" s="128"/>
      <c r="O162" s="128"/>
      <c r="P162" s="128"/>
    </row>
    <row r="163" spans="1:16" s="120" customFormat="1" ht="25.5" x14ac:dyDescent="0.2">
      <c r="A163" s="199"/>
      <c r="B163" s="249"/>
      <c r="C163" s="250"/>
      <c r="D163" s="251"/>
      <c r="E163" s="177" t="s">
        <v>585</v>
      </c>
      <c r="F163" s="253"/>
      <c r="G163" s="254"/>
      <c r="H163" s="180"/>
      <c r="J163" s="299"/>
      <c r="K163" s="128"/>
      <c r="L163" s="128"/>
      <c r="M163" s="128"/>
      <c r="N163" s="128"/>
      <c r="O163" s="128"/>
      <c r="P163" s="128"/>
    </row>
    <row r="164" spans="1:16" s="120" customFormat="1" ht="15" x14ac:dyDescent="0.2">
      <c r="A164" s="86"/>
      <c r="B164" s="267"/>
      <c r="C164" s="17"/>
      <c r="D164" s="18"/>
      <c r="E164" s="103"/>
      <c r="F164" s="226"/>
      <c r="G164" s="20"/>
      <c r="H164" s="58"/>
      <c r="J164" s="299"/>
      <c r="K164" s="128"/>
      <c r="L164" s="128"/>
      <c r="M164" s="128"/>
      <c r="N164" s="128"/>
      <c r="O164" s="128"/>
      <c r="P164" s="128"/>
    </row>
    <row r="165" spans="1:16" s="120" customFormat="1" ht="25.5" x14ac:dyDescent="0.2">
      <c r="A165" s="162">
        <f>MAX(A$3:A163)+1</f>
        <v>31</v>
      </c>
      <c r="B165" s="249"/>
      <c r="C165" s="183" t="s">
        <v>214</v>
      </c>
      <c r="D165" s="184"/>
      <c r="E165" s="275" t="s">
        <v>215</v>
      </c>
      <c r="F165" s="211"/>
      <c r="G165" s="186" t="s">
        <v>8</v>
      </c>
      <c r="H165" s="179">
        <f>F166</f>
        <v>2</v>
      </c>
      <c r="J165" s="299"/>
      <c r="K165" s="128"/>
      <c r="L165" s="128"/>
      <c r="M165" s="128"/>
      <c r="N165" s="128"/>
      <c r="O165" s="128"/>
      <c r="P165" s="128"/>
    </row>
    <row r="166" spans="1:16" s="120" customFormat="1" ht="25.5" x14ac:dyDescent="0.2">
      <c r="A166" s="199"/>
      <c r="B166" s="249"/>
      <c r="C166" s="183"/>
      <c r="D166" s="184"/>
      <c r="E166" s="281" t="s">
        <v>514</v>
      </c>
      <c r="F166" s="282">
        <v>2</v>
      </c>
      <c r="G166" s="186"/>
      <c r="H166" s="180"/>
      <c r="J166" s="299"/>
      <c r="K166" s="128"/>
      <c r="L166" s="128"/>
      <c r="M166" s="128"/>
      <c r="N166" s="128"/>
      <c r="O166" s="128"/>
      <c r="P166" s="128"/>
    </row>
    <row r="167" spans="1:16" s="120" customFormat="1" ht="15" x14ac:dyDescent="0.2">
      <c r="A167" s="86"/>
      <c r="B167" s="267"/>
      <c r="C167" s="17"/>
      <c r="D167" s="18"/>
      <c r="E167" s="103"/>
      <c r="F167" s="226"/>
      <c r="G167" s="20"/>
      <c r="H167" s="58"/>
      <c r="J167" s="299"/>
      <c r="K167" s="128"/>
      <c r="L167" s="128"/>
      <c r="M167" s="128"/>
      <c r="N167" s="128"/>
      <c r="O167" s="128"/>
      <c r="P167" s="128"/>
    </row>
    <row r="168" spans="1:16" s="299" customFormat="1" ht="25.5" x14ac:dyDescent="0.2">
      <c r="A168" s="62"/>
      <c r="B168" s="267"/>
      <c r="C168" s="1" t="s">
        <v>218</v>
      </c>
      <c r="D168" s="2"/>
      <c r="E168" s="119" t="s">
        <v>219</v>
      </c>
      <c r="F168" s="209"/>
      <c r="G168" s="4" t="s">
        <v>12</v>
      </c>
      <c r="H168" s="268">
        <f>F173</f>
        <v>0</v>
      </c>
      <c r="I168" s="120"/>
      <c r="K168" s="128"/>
      <c r="L168" s="128"/>
      <c r="M168" s="128"/>
      <c r="N168" s="128"/>
      <c r="O168" s="128"/>
      <c r="P168" s="128"/>
    </row>
    <row r="169" spans="1:16" s="299" customFormat="1" ht="25.5" x14ac:dyDescent="0.2">
      <c r="A169" s="86"/>
      <c r="B169" s="267"/>
      <c r="C169" s="17"/>
      <c r="D169" s="5" t="s">
        <v>220</v>
      </c>
      <c r="E169" s="120" t="s">
        <v>221</v>
      </c>
      <c r="F169" s="210"/>
      <c r="G169" s="7" t="s">
        <v>12</v>
      </c>
      <c r="H169" s="181"/>
      <c r="I169" s="120"/>
      <c r="K169" s="128"/>
      <c r="L169" s="128"/>
      <c r="M169" s="128"/>
      <c r="N169" s="128"/>
      <c r="O169" s="128"/>
      <c r="P169" s="128"/>
    </row>
    <row r="170" spans="1:16" s="299" customFormat="1" ht="33" customHeight="1" x14ac:dyDescent="0.2">
      <c r="A170" s="86"/>
      <c r="B170" s="267"/>
      <c r="C170" s="17"/>
      <c r="D170" s="5"/>
      <c r="E170" s="75" t="s">
        <v>606</v>
      </c>
      <c r="F170" s="235"/>
      <c r="G170" s="7"/>
      <c r="H170" s="181"/>
      <c r="I170" s="120"/>
      <c r="K170" s="128"/>
      <c r="L170" s="128"/>
      <c r="M170" s="128"/>
      <c r="N170" s="128"/>
      <c r="O170" s="128"/>
      <c r="P170" s="128"/>
    </row>
    <row r="171" spans="1:16" s="299" customFormat="1" ht="15" x14ac:dyDescent="0.2">
      <c r="A171" s="86"/>
      <c r="B171" s="267"/>
      <c r="C171" s="17"/>
      <c r="D171" s="5"/>
      <c r="E171" s="75" t="s">
        <v>586</v>
      </c>
      <c r="F171" s="235"/>
      <c r="G171" s="7"/>
      <c r="H171" s="181"/>
      <c r="I171" s="120"/>
      <c r="K171" s="128"/>
      <c r="L171" s="128"/>
      <c r="M171" s="128"/>
      <c r="N171" s="128"/>
      <c r="O171" s="128"/>
      <c r="P171" s="128"/>
    </row>
    <row r="172" spans="1:16" s="299" customFormat="1" ht="15" x14ac:dyDescent="0.2">
      <c r="A172" s="86"/>
      <c r="B172" s="267"/>
      <c r="C172" s="17"/>
      <c r="D172" s="25"/>
      <c r="E172" s="75" t="s">
        <v>607</v>
      </c>
      <c r="F172" s="395"/>
      <c r="G172" s="26"/>
      <c r="H172" s="181"/>
      <c r="I172" s="120"/>
      <c r="K172" s="128"/>
      <c r="L172" s="128"/>
      <c r="M172" s="128"/>
      <c r="N172" s="128"/>
      <c r="O172" s="128"/>
      <c r="P172" s="128"/>
    </row>
    <row r="173" spans="1:16" s="299" customFormat="1" ht="15" x14ac:dyDescent="0.2">
      <c r="A173" s="86"/>
      <c r="B173" s="267"/>
      <c r="C173" s="17"/>
      <c r="D173" s="25"/>
      <c r="E173" s="77" t="s">
        <v>298</v>
      </c>
      <c r="F173" s="233">
        <f>SUM(F170:F172)</f>
        <v>0</v>
      </c>
      <c r="G173" s="26"/>
      <c r="H173" s="181"/>
      <c r="I173" s="120"/>
      <c r="K173" s="128"/>
      <c r="L173" s="128"/>
      <c r="M173" s="128"/>
      <c r="N173" s="128"/>
      <c r="O173" s="128"/>
      <c r="P173" s="128"/>
    </row>
    <row r="174" spans="1:16" s="299" customFormat="1" ht="15" x14ac:dyDescent="0.2">
      <c r="A174" s="86"/>
      <c r="B174" s="267"/>
      <c r="C174" s="17"/>
      <c r="D174" s="18"/>
      <c r="E174" s="103"/>
      <c r="F174" s="226"/>
      <c r="G174" s="20"/>
      <c r="H174" s="181"/>
      <c r="I174" s="120"/>
      <c r="K174" s="128"/>
      <c r="L174" s="128"/>
      <c r="M174" s="128"/>
      <c r="N174" s="128"/>
      <c r="O174" s="128"/>
      <c r="P174" s="128"/>
    </row>
    <row r="175" spans="1:16" s="299" customFormat="1" ht="25.5" x14ac:dyDescent="0.2">
      <c r="A175" s="162">
        <f>MAX(A$3:A172)+1</f>
        <v>32</v>
      </c>
      <c r="B175" s="249"/>
      <c r="C175" s="164" t="s">
        <v>222</v>
      </c>
      <c r="D175" s="165"/>
      <c r="E175" s="258" t="s">
        <v>223</v>
      </c>
      <c r="F175" s="204"/>
      <c r="G175" s="167" t="s">
        <v>25</v>
      </c>
      <c r="H175" s="179">
        <f>F177</f>
        <v>34.409999999999997</v>
      </c>
      <c r="I175" s="120"/>
      <c r="K175" s="128"/>
      <c r="L175" s="128"/>
      <c r="M175" s="128"/>
      <c r="N175" s="128"/>
      <c r="O175" s="128"/>
      <c r="P175" s="128"/>
    </row>
    <row r="176" spans="1:16" s="299" customFormat="1" ht="25.5" x14ac:dyDescent="0.2">
      <c r="A176" s="199"/>
      <c r="B176" s="249"/>
      <c r="C176" s="250"/>
      <c r="D176" s="195" t="s">
        <v>224</v>
      </c>
      <c r="E176" s="284" t="s">
        <v>225</v>
      </c>
      <c r="F176" s="206"/>
      <c r="G176" s="194" t="s">
        <v>25</v>
      </c>
      <c r="H176" s="180"/>
      <c r="I176" s="120"/>
      <c r="K176" s="128"/>
      <c r="L176" s="128"/>
      <c r="M176" s="128"/>
      <c r="N176" s="128"/>
      <c r="O176" s="128"/>
      <c r="P176" s="128"/>
    </row>
    <row r="177" spans="1:16" s="299" customFormat="1" ht="25.5" x14ac:dyDescent="0.2">
      <c r="A177" s="199"/>
      <c r="B177" s="249"/>
      <c r="C177" s="250"/>
      <c r="D177" s="195"/>
      <c r="E177" s="284" t="s">
        <v>666</v>
      </c>
      <c r="F177" s="206">
        <f>14.45+19.96</f>
        <v>34.409999999999997</v>
      </c>
      <c r="G177" s="194"/>
      <c r="H177" s="180"/>
      <c r="I177" s="120"/>
      <c r="K177" s="128"/>
      <c r="L177" s="128"/>
      <c r="M177" s="128"/>
      <c r="N177" s="128"/>
      <c r="O177" s="128"/>
      <c r="P177" s="128"/>
    </row>
    <row r="178" spans="1:16" s="299" customFormat="1" ht="15" x14ac:dyDescent="0.2">
      <c r="A178" s="86"/>
      <c r="B178" s="267"/>
      <c r="C178" s="17"/>
      <c r="D178" s="25"/>
      <c r="E178" s="106"/>
      <c r="F178" s="227"/>
      <c r="G178" s="26"/>
      <c r="H178" s="181"/>
      <c r="I178" s="120"/>
      <c r="K178" s="128"/>
      <c r="L178" s="128"/>
      <c r="M178" s="128"/>
      <c r="N178" s="128"/>
      <c r="O178" s="128"/>
      <c r="P178" s="128"/>
    </row>
    <row r="179" spans="1:16" ht="25.5" x14ac:dyDescent="0.2">
      <c r="A179" s="162">
        <f>MAX(A$3:A178)+1</f>
        <v>33</v>
      </c>
      <c r="B179" s="249"/>
      <c r="C179" s="164" t="s">
        <v>372</v>
      </c>
      <c r="D179" s="165"/>
      <c r="E179" s="258" t="s">
        <v>373</v>
      </c>
      <c r="F179" s="204"/>
      <c r="G179" s="167" t="s">
        <v>25</v>
      </c>
      <c r="H179" s="179">
        <f>F181</f>
        <v>23.8</v>
      </c>
    </row>
    <row r="180" spans="1:16" s="8" customFormat="1" ht="25.5" x14ac:dyDescent="0.2">
      <c r="A180" s="199"/>
      <c r="B180" s="249"/>
      <c r="C180" s="200"/>
      <c r="D180" s="195"/>
      <c r="E180" s="178" t="s">
        <v>531</v>
      </c>
      <c r="F180" s="206"/>
      <c r="G180" s="194"/>
      <c r="H180" s="180"/>
      <c r="I180" s="106"/>
      <c r="J180" s="160"/>
    </row>
    <row r="181" spans="1:16" ht="15" x14ac:dyDescent="0.2">
      <c r="A181" s="199"/>
      <c r="B181" s="249"/>
      <c r="C181" s="200"/>
      <c r="D181" s="195"/>
      <c r="E181" s="284" t="s">
        <v>665</v>
      </c>
      <c r="F181" s="279">
        <f>11.9*2</f>
        <v>23.8</v>
      </c>
      <c r="G181" s="194"/>
      <c r="H181" s="180"/>
    </row>
    <row r="182" spans="1:16" ht="25.5" x14ac:dyDescent="0.2">
      <c r="A182" s="199"/>
      <c r="B182" s="249"/>
      <c r="C182" s="260"/>
      <c r="D182" s="261"/>
      <c r="E182" s="177" t="s">
        <v>664</v>
      </c>
      <c r="F182" s="300"/>
      <c r="G182" s="175"/>
      <c r="H182" s="180"/>
    </row>
    <row r="183" spans="1:16" ht="15" x14ac:dyDescent="0.2">
      <c r="A183" s="86"/>
      <c r="B183" s="267"/>
      <c r="C183" s="269"/>
      <c r="D183" s="270"/>
      <c r="E183" s="75"/>
      <c r="F183" s="113"/>
      <c r="G183" s="60"/>
      <c r="H183" s="181"/>
    </row>
    <row r="184" spans="1:16" ht="15" x14ac:dyDescent="0.2">
      <c r="A184" s="162">
        <f>MAX(A$3:A180)+1</f>
        <v>34</v>
      </c>
      <c r="B184" s="249"/>
      <c r="C184" s="164" t="s">
        <v>226</v>
      </c>
      <c r="D184" s="165"/>
      <c r="E184" s="258" t="s">
        <v>227</v>
      </c>
      <c r="F184" s="204"/>
      <c r="G184" s="167" t="s">
        <v>8</v>
      </c>
      <c r="H184" s="179">
        <f>F189</f>
        <v>74</v>
      </c>
    </row>
    <row r="185" spans="1:16" ht="15" x14ac:dyDescent="0.2">
      <c r="A185" s="199"/>
      <c r="B185" s="249"/>
      <c r="C185" s="260"/>
      <c r="D185" s="261"/>
      <c r="E185" s="177" t="s">
        <v>532</v>
      </c>
      <c r="F185" s="73">
        <v>72</v>
      </c>
      <c r="G185" s="175"/>
      <c r="H185" s="180"/>
    </row>
    <row r="186" spans="1:16" ht="25.5" x14ac:dyDescent="0.2">
      <c r="A186" s="199"/>
      <c r="B186" s="249"/>
      <c r="C186" s="260"/>
      <c r="D186" s="261"/>
      <c r="E186" s="177" t="s">
        <v>279</v>
      </c>
      <c r="F186" s="248"/>
      <c r="G186" s="175"/>
      <c r="H186" s="180"/>
    </row>
    <row r="187" spans="1:16" ht="38.25" x14ac:dyDescent="0.2">
      <c r="A187" s="86"/>
      <c r="B187" s="267"/>
      <c r="C187" s="269"/>
      <c r="D187" s="270"/>
      <c r="E187" s="177" t="s">
        <v>267</v>
      </c>
      <c r="F187" s="248"/>
      <c r="G187" s="60"/>
      <c r="H187" s="181"/>
    </row>
    <row r="188" spans="1:16" ht="66.75" customHeight="1" x14ac:dyDescent="0.2">
      <c r="A188" s="86"/>
      <c r="B188" s="267"/>
      <c r="C188" s="269"/>
      <c r="D188" s="270"/>
      <c r="E188" s="333" t="s">
        <v>533</v>
      </c>
      <c r="F188" s="248">
        <v>2</v>
      </c>
      <c r="G188" s="60"/>
      <c r="H188" s="181"/>
    </row>
    <row r="189" spans="1:16" ht="15" x14ac:dyDescent="0.2">
      <c r="A189" s="86"/>
      <c r="B189" s="267"/>
      <c r="C189" s="269"/>
      <c r="D189" s="270"/>
      <c r="E189" s="197" t="s">
        <v>298</v>
      </c>
      <c r="F189" s="73">
        <f>F185+F188</f>
        <v>74</v>
      </c>
      <c r="G189" s="60"/>
      <c r="H189" s="181"/>
    </row>
    <row r="190" spans="1:16" ht="15" x14ac:dyDescent="0.2">
      <c r="A190" s="86"/>
      <c r="B190" s="267"/>
      <c r="C190" s="269"/>
      <c r="D190" s="270"/>
      <c r="E190" s="77"/>
      <c r="F190" s="67"/>
      <c r="G190" s="60"/>
      <c r="H190" s="181"/>
    </row>
    <row r="191" spans="1:16" ht="21" customHeight="1" x14ac:dyDescent="0.2">
      <c r="A191" s="86"/>
      <c r="B191" s="390" t="s">
        <v>505</v>
      </c>
      <c r="C191" s="390"/>
      <c r="D191" s="18"/>
      <c r="E191" s="391" t="s">
        <v>506</v>
      </c>
      <c r="F191" s="67"/>
      <c r="G191" s="60"/>
      <c r="H191" s="181"/>
    </row>
    <row r="192" spans="1:16" ht="15" x14ac:dyDescent="0.2">
      <c r="A192" s="86"/>
      <c r="B192" s="267"/>
      <c r="C192" s="269"/>
      <c r="D192" s="270"/>
      <c r="E192" s="77"/>
      <c r="F192" s="67"/>
      <c r="G192" s="60"/>
      <c r="H192" s="181"/>
    </row>
    <row r="193" spans="1:8" ht="29.25" customHeight="1" x14ac:dyDescent="0.2">
      <c r="A193" s="62"/>
      <c r="B193" s="267"/>
      <c r="C193" s="1" t="s">
        <v>507</v>
      </c>
      <c r="D193" s="2"/>
      <c r="E193" s="119" t="s">
        <v>508</v>
      </c>
      <c r="F193" s="119"/>
      <c r="G193" s="4" t="s">
        <v>51</v>
      </c>
      <c r="H193" s="268">
        <f>F194</f>
        <v>0</v>
      </c>
    </row>
    <row r="194" spans="1:8" ht="15" x14ac:dyDescent="0.2">
      <c r="A194" s="86"/>
      <c r="B194" s="267"/>
      <c r="C194" s="269"/>
      <c r="D194" s="270"/>
      <c r="E194" s="72" t="s">
        <v>509</v>
      </c>
      <c r="F194" s="67"/>
      <c r="G194" s="60"/>
      <c r="H194" s="181"/>
    </row>
    <row r="195" spans="1:8" ht="15" x14ac:dyDescent="0.2">
      <c r="A195" s="86"/>
      <c r="B195" s="267"/>
      <c r="C195" s="269"/>
      <c r="D195" s="270"/>
      <c r="E195" s="72"/>
      <c r="F195" s="67"/>
      <c r="G195" s="60"/>
      <c r="H195" s="181"/>
    </row>
    <row r="196" spans="1:8" ht="25.5" x14ac:dyDescent="0.2">
      <c r="A196" s="86"/>
      <c r="B196" s="424" t="s">
        <v>681</v>
      </c>
      <c r="C196" s="418"/>
      <c r="D196" s="425"/>
      <c r="E196" s="426" t="s">
        <v>682</v>
      </c>
      <c r="F196" s="67"/>
      <c r="G196" s="60"/>
      <c r="H196" s="181"/>
    </row>
    <row r="197" spans="1:8" x14ac:dyDescent="0.2">
      <c r="A197" s="86"/>
      <c r="B197" s="424"/>
      <c r="C197" s="418"/>
      <c r="D197" s="425"/>
      <c r="E197" s="444"/>
      <c r="F197" s="67"/>
      <c r="G197" s="60"/>
      <c r="H197" s="181"/>
    </row>
    <row r="198" spans="1:8" ht="25.5" x14ac:dyDescent="0.2">
      <c r="A198" s="162">
        <f>MAX(A$3:A195)+1</f>
        <v>35</v>
      </c>
      <c r="B198" s="445"/>
      <c r="C198" s="164" t="s">
        <v>692</v>
      </c>
      <c r="D198" s="165"/>
      <c r="E198" s="258" t="s">
        <v>693</v>
      </c>
      <c r="F198" s="258"/>
      <c r="G198" s="167" t="s">
        <v>12</v>
      </c>
      <c r="H198" s="179">
        <f>F202</f>
        <v>8</v>
      </c>
    </row>
    <row r="199" spans="1:8" x14ac:dyDescent="0.2">
      <c r="A199" s="199"/>
      <c r="B199" s="445"/>
      <c r="C199" s="419"/>
      <c r="D199" s="446"/>
      <c r="E199" s="447" t="s">
        <v>694</v>
      </c>
      <c r="F199" s="73"/>
      <c r="G199" s="175"/>
      <c r="H199" s="180"/>
    </row>
    <row r="200" spans="1:8" x14ac:dyDescent="0.2">
      <c r="A200" s="199"/>
      <c r="B200" s="445"/>
      <c r="C200" s="419"/>
      <c r="D200" s="446"/>
      <c r="E200" s="177" t="s">
        <v>695</v>
      </c>
      <c r="F200" s="73">
        <f>2*2</f>
        <v>4</v>
      </c>
      <c r="G200" s="175"/>
      <c r="H200" s="180"/>
    </row>
    <row r="201" spans="1:8" x14ac:dyDescent="0.2">
      <c r="A201" s="199"/>
      <c r="B201" s="445"/>
      <c r="C201" s="419"/>
      <c r="D201" s="446"/>
      <c r="E201" s="177" t="s">
        <v>695</v>
      </c>
      <c r="F201" s="248">
        <f>2*2</f>
        <v>4</v>
      </c>
      <c r="G201" s="175"/>
      <c r="H201" s="180"/>
    </row>
    <row r="202" spans="1:8" x14ac:dyDescent="0.2">
      <c r="A202" s="199"/>
      <c r="B202" s="445"/>
      <c r="C202" s="419"/>
      <c r="D202" s="446"/>
      <c r="E202" s="447"/>
      <c r="F202" s="73">
        <f>SUM(F200:F201)</f>
        <v>8</v>
      </c>
      <c r="G202" s="175"/>
      <c r="H202" s="180"/>
    </row>
    <row r="203" spans="1:8" x14ac:dyDescent="0.2">
      <c r="A203" s="86"/>
      <c r="B203" s="424"/>
      <c r="C203" s="418"/>
      <c r="D203" s="425"/>
      <c r="E203" s="444"/>
      <c r="F203" s="67"/>
      <c r="G203" s="60"/>
      <c r="H203" s="181"/>
    </row>
    <row r="204" spans="1:8" ht="25.5" x14ac:dyDescent="0.2">
      <c r="A204" s="162">
        <f>MAX(A$3:A195)+1</f>
        <v>35</v>
      </c>
      <c r="B204" s="249"/>
      <c r="C204" s="419" t="s">
        <v>683</v>
      </c>
      <c r="D204" s="420"/>
      <c r="E204" s="421" t="s">
        <v>684</v>
      </c>
      <c r="F204" s="422"/>
      <c r="G204" s="423" t="s">
        <v>12</v>
      </c>
      <c r="H204" s="458">
        <f>F205</f>
        <v>30</v>
      </c>
    </row>
    <row r="205" spans="1:8" ht="15" x14ac:dyDescent="0.2">
      <c r="A205" s="199"/>
      <c r="B205" s="249"/>
      <c r="C205" s="260"/>
      <c r="D205" s="261"/>
      <c r="E205" s="74" t="s">
        <v>685</v>
      </c>
      <c r="F205" s="73">
        <v>30</v>
      </c>
      <c r="G205" s="175"/>
      <c r="H205" s="180"/>
    </row>
    <row r="206" spans="1:8" ht="15" x14ac:dyDescent="0.2">
      <c r="A206" s="86"/>
      <c r="B206" s="267"/>
      <c r="C206" s="269"/>
      <c r="D206" s="270"/>
      <c r="E206" s="72"/>
      <c r="F206" s="67"/>
      <c r="G206" s="60"/>
      <c r="H206" s="181"/>
    </row>
    <row r="207" spans="1:8" ht="25.5" x14ac:dyDescent="0.2">
      <c r="A207" s="86"/>
      <c r="B207" s="390" t="s">
        <v>612</v>
      </c>
      <c r="C207" s="390"/>
      <c r="D207" s="18"/>
      <c r="E207" s="391" t="s">
        <v>613</v>
      </c>
      <c r="F207" s="131"/>
      <c r="G207" s="60"/>
      <c r="H207" s="181"/>
    </row>
    <row r="208" spans="1:8" x14ac:dyDescent="0.2">
      <c r="A208" s="86"/>
      <c r="B208" s="390"/>
      <c r="C208" s="390"/>
      <c r="D208" s="18"/>
      <c r="E208" s="391"/>
      <c r="F208" s="131"/>
      <c r="G208" s="60"/>
      <c r="H208" s="181"/>
    </row>
    <row r="209" spans="1:8" ht="25.5" x14ac:dyDescent="0.2">
      <c r="A209" s="62"/>
      <c r="B209" s="267"/>
      <c r="C209" s="1" t="s">
        <v>374</v>
      </c>
      <c r="D209" s="2"/>
      <c r="E209" s="119" t="s">
        <v>375</v>
      </c>
      <c r="F209" s="209"/>
      <c r="G209" s="4" t="s">
        <v>51</v>
      </c>
      <c r="H209" s="268">
        <f>F210</f>
        <v>0</v>
      </c>
    </row>
    <row r="210" spans="1:8" ht="25.5" x14ac:dyDescent="0.2">
      <c r="A210" s="86"/>
      <c r="B210" s="267"/>
      <c r="C210" s="269"/>
      <c r="D210" s="270"/>
      <c r="E210" s="76" t="s">
        <v>549</v>
      </c>
      <c r="F210" s="67"/>
      <c r="G210" s="60"/>
      <c r="H210" s="181"/>
    </row>
    <row r="211" spans="1:8" ht="15" x14ac:dyDescent="0.2">
      <c r="A211" s="86"/>
      <c r="B211" s="267"/>
      <c r="C211" s="269"/>
      <c r="D211" s="270"/>
      <c r="E211" s="77"/>
      <c r="F211" s="131"/>
      <c r="G211" s="60"/>
      <c r="H211" s="181"/>
    </row>
    <row r="212" spans="1:8" ht="25.5" x14ac:dyDescent="0.2">
      <c r="A212" s="62"/>
      <c r="B212" s="267"/>
      <c r="C212" s="1" t="s">
        <v>376</v>
      </c>
      <c r="D212" s="2"/>
      <c r="E212" s="119" t="s">
        <v>377</v>
      </c>
      <c r="F212" s="209"/>
      <c r="G212" s="4" t="s">
        <v>12</v>
      </c>
      <c r="H212" s="268">
        <f>F214</f>
        <v>0</v>
      </c>
    </row>
    <row r="213" spans="1:8" ht="25.5" x14ac:dyDescent="0.2">
      <c r="A213" s="86"/>
      <c r="B213" s="267"/>
      <c r="C213" s="1"/>
      <c r="D213" s="5" t="s">
        <v>378</v>
      </c>
      <c r="E213" s="120" t="s">
        <v>379</v>
      </c>
      <c r="F213" s="235"/>
      <c r="G213" s="7" t="s">
        <v>12</v>
      </c>
      <c r="H213" s="181"/>
    </row>
    <row r="214" spans="1:8" ht="37.5" customHeight="1" x14ac:dyDescent="0.2">
      <c r="A214" s="86"/>
      <c r="B214" s="267"/>
      <c r="C214" s="269"/>
      <c r="D214" s="270"/>
      <c r="E214" s="76" t="s">
        <v>550</v>
      </c>
      <c r="F214" s="67"/>
      <c r="G214" s="60"/>
      <c r="H214" s="181"/>
    </row>
    <row r="215" spans="1:8" ht="15" x14ac:dyDescent="0.2">
      <c r="A215" s="86"/>
      <c r="B215" s="267"/>
      <c r="C215" s="269"/>
      <c r="D215" s="270"/>
      <c r="E215" s="77"/>
      <c r="F215" s="131"/>
      <c r="G215" s="60"/>
      <c r="H215" s="181"/>
    </row>
    <row r="216" spans="1:8" ht="25.5" x14ac:dyDescent="0.2">
      <c r="A216" s="86"/>
      <c r="B216" s="390" t="s">
        <v>248</v>
      </c>
      <c r="C216" s="390"/>
      <c r="D216" s="18"/>
      <c r="E216" s="391" t="s">
        <v>249</v>
      </c>
      <c r="F216" s="113"/>
      <c r="G216" s="60"/>
      <c r="H216" s="181"/>
    </row>
    <row r="217" spans="1:8" x14ac:dyDescent="0.2">
      <c r="A217" s="86"/>
      <c r="B217" s="390"/>
      <c r="C217" s="390"/>
      <c r="D217" s="18"/>
      <c r="E217" s="391"/>
      <c r="F217" s="113"/>
      <c r="G217" s="60"/>
      <c r="H217" s="181"/>
    </row>
    <row r="218" spans="1:8" ht="25.5" x14ac:dyDescent="0.2">
      <c r="A218" s="162">
        <f>MAX(A$2:A217)+1</f>
        <v>36</v>
      </c>
      <c r="B218" s="249"/>
      <c r="C218" s="164" t="s">
        <v>228</v>
      </c>
      <c r="D218" s="165"/>
      <c r="E218" s="258" t="s">
        <v>229</v>
      </c>
      <c r="F218" s="204"/>
      <c r="G218" s="167" t="s">
        <v>12</v>
      </c>
      <c r="H218" s="179">
        <f>F221</f>
        <v>269.8</v>
      </c>
    </row>
    <row r="219" spans="1:8" ht="15" x14ac:dyDescent="0.2">
      <c r="A219" s="199"/>
      <c r="B219" s="249"/>
      <c r="C219" s="260"/>
      <c r="D219" s="261"/>
      <c r="E219" s="177" t="s">
        <v>589</v>
      </c>
      <c r="F219" s="73"/>
      <c r="G219" s="175"/>
      <c r="H219" s="180"/>
    </row>
    <row r="220" spans="1:8" ht="25.5" x14ac:dyDescent="0.2">
      <c r="A220" s="199"/>
      <c r="B220" s="249"/>
      <c r="C220" s="260"/>
      <c r="D220" s="261"/>
      <c r="E220" s="177" t="s">
        <v>667</v>
      </c>
      <c r="F220" s="248">
        <f>14.2*9.5*2</f>
        <v>269.8</v>
      </c>
      <c r="G220" s="175"/>
      <c r="H220" s="180"/>
    </row>
    <row r="221" spans="1:8" ht="15" x14ac:dyDescent="0.2">
      <c r="A221" s="199"/>
      <c r="B221" s="249"/>
      <c r="C221" s="260"/>
      <c r="D221" s="261"/>
      <c r="E221" s="197" t="s">
        <v>298</v>
      </c>
      <c r="F221" s="73">
        <f>SUM(F219:F220)</f>
        <v>269.8</v>
      </c>
      <c r="G221" s="175"/>
      <c r="H221" s="180"/>
    </row>
    <row r="222" spans="1:8" ht="15" x14ac:dyDescent="0.2">
      <c r="A222" s="86"/>
      <c r="B222" s="267"/>
      <c r="C222" s="269"/>
      <c r="D222" s="270"/>
      <c r="E222" s="75"/>
      <c r="F222" s="113"/>
      <c r="G222" s="60"/>
      <c r="H222" s="181"/>
    </row>
    <row r="223" spans="1:8" ht="25.5" x14ac:dyDescent="0.2">
      <c r="A223" s="162">
        <f>MAX(A$2:A222)+1</f>
        <v>37</v>
      </c>
      <c r="B223" s="249"/>
      <c r="C223" s="164" t="s">
        <v>380</v>
      </c>
      <c r="D223" s="165"/>
      <c r="E223" s="258" t="s">
        <v>381</v>
      </c>
      <c r="F223" s="204"/>
      <c r="G223" s="167" t="s">
        <v>51</v>
      </c>
      <c r="H223" s="179">
        <f>F229</f>
        <v>28.4665</v>
      </c>
    </row>
    <row r="224" spans="1:8" ht="25.5" x14ac:dyDescent="0.2">
      <c r="A224" s="199"/>
      <c r="B224" s="249"/>
      <c r="C224" s="200"/>
      <c r="D224" s="171" t="s">
        <v>382</v>
      </c>
      <c r="E224" s="259" t="s">
        <v>383</v>
      </c>
      <c r="F224" s="208"/>
      <c r="G224" s="173" t="s">
        <v>51</v>
      </c>
      <c r="H224" s="180"/>
    </row>
    <row r="225" spans="1:8" ht="15" x14ac:dyDescent="0.2">
      <c r="A225" s="199"/>
      <c r="B225" s="249"/>
      <c r="C225" s="260"/>
      <c r="D225" s="261"/>
      <c r="E225" s="177" t="s">
        <v>668</v>
      </c>
      <c r="F225" s="73">
        <f>14.2*9.5*0.045</f>
        <v>6.0705</v>
      </c>
      <c r="G225" s="175"/>
      <c r="H225" s="180"/>
    </row>
    <row r="226" spans="1:8" ht="15" x14ac:dyDescent="0.2">
      <c r="A226" s="199"/>
      <c r="B226" s="249"/>
      <c r="C226" s="260"/>
      <c r="D226" s="261"/>
      <c r="E226" s="177" t="s">
        <v>669</v>
      </c>
      <c r="F226" s="73">
        <f>14.2*9.5*0.04</f>
        <v>5.3959999999999999</v>
      </c>
      <c r="G226" s="175"/>
      <c r="H226" s="180"/>
    </row>
    <row r="227" spans="1:8" ht="25.5" x14ac:dyDescent="0.2">
      <c r="A227" s="199"/>
      <c r="B227" s="249"/>
      <c r="C227" s="260"/>
      <c r="D227" s="261"/>
      <c r="E227" s="197" t="s">
        <v>551</v>
      </c>
      <c r="F227" s="73">
        <f>0.09*5*10*2</f>
        <v>9</v>
      </c>
      <c r="G227" s="175"/>
      <c r="H227" s="180"/>
    </row>
    <row r="228" spans="1:8" ht="25.5" x14ac:dyDescent="0.2">
      <c r="A228" s="199"/>
      <c r="B228" s="249"/>
      <c r="C228" s="260"/>
      <c r="D228" s="261"/>
      <c r="E228" s="197" t="s">
        <v>552</v>
      </c>
      <c r="F228" s="248">
        <f>0.1*4*10*2</f>
        <v>8</v>
      </c>
      <c r="G228" s="175"/>
      <c r="H228" s="180"/>
    </row>
    <row r="229" spans="1:8" ht="15" x14ac:dyDescent="0.2">
      <c r="A229" s="199"/>
      <c r="B229" s="249"/>
      <c r="C229" s="260"/>
      <c r="D229" s="261"/>
      <c r="E229" s="197"/>
      <c r="F229" s="73">
        <f>SUM(F225:F228)</f>
        <v>28.4665</v>
      </c>
      <c r="G229" s="175"/>
      <c r="H229" s="180"/>
    </row>
    <row r="230" spans="1:8" ht="15" x14ac:dyDescent="0.2">
      <c r="A230" s="86"/>
      <c r="B230" s="267"/>
      <c r="C230" s="269"/>
      <c r="D230" s="270"/>
      <c r="E230" s="77"/>
      <c r="F230" s="67"/>
      <c r="G230" s="60"/>
      <c r="H230" s="181"/>
    </row>
    <row r="231" spans="1:8" ht="25.5" x14ac:dyDescent="0.2">
      <c r="A231" s="162">
        <f>MAX(A$2:A230)+1</f>
        <v>38</v>
      </c>
      <c r="B231" s="249"/>
      <c r="C231" s="164" t="s">
        <v>230</v>
      </c>
      <c r="D231" s="165"/>
      <c r="E231" s="258" t="s">
        <v>231</v>
      </c>
      <c r="F231" s="204"/>
      <c r="G231" s="167" t="s">
        <v>12</v>
      </c>
      <c r="H231" s="179">
        <f>F233</f>
        <v>2.0300000000000002</v>
      </c>
    </row>
    <row r="232" spans="1:8" ht="25.5" x14ac:dyDescent="0.2">
      <c r="A232" s="199"/>
      <c r="B232" s="249"/>
      <c r="C232" s="200"/>
      <c r="D232" s="171" t="s">
        <v>232</v>
      </c>
      <c r="E232" s="259" t="s">
        <v>233</v>
      </c>
      <c r="F232" s="208"/>
      <c r="G232" s="173" t="s">
        <v>12</v>
      </c>
      <c r="H232" s="180"/>
    </row>
    <row r="233" spans="1:8" ht="25.5" x14ac:dyDescent="0.2">
      <c r="A233" s="199"/>
      <c r="B233" s="249"/>
      <c r="C233" s="200"/>
      <c r="D233" s="171"/>
      <c r="E233" s="283" t="s">
        <v>707</v>
      </c>
      <c r="F233" s="208">
        <f>2*(0.1*10.15)</f>
        <v>2.0300000000000002</v>
      </c>
      <c r="G233" s="173"/>
      <c r="H233" s="180"/>
    </row>
    <row r="234" spans="1:8" ht="15" x14ac:dyDescent="0.2">
      <c r="A234" s="86"/>
      <c r="B234" s="267"/>
      <c r="C234" s="66"/>
      <c r="D234" s="25"/>
      <c r="E234" s="106"/>
      <c r="F234" s="227"/>
      <c r="G234" s="26"/>
      <c r="H234" s="181"/>
    </row>
    <row r="235" spans="1:8" ht="25.5" x14ac:dyDescent="0.2">
      <c r="A235" s="396"/>
      <c r="B235" s="298"/>
      <c r="C235" s="385" t="s">
        <v>510</v>
      </c>
      <c r="D235" s="386"/>
      <c r="E235" s="394" t="s">
        <v>511</v>
      </c>
      <c r="F235" s="387"/>
      <c r="G235" s="388" t="s">
        <v>12</v>
      </c>
      <c r="H235" s="268">
        <f>F237</f>
        <v>0</v>
      </c>
    </row>
    <row r="236" spans="1:8" ht="25.5" x14ac:dyDescent="0.2">
      <c r="A236" s="285"/>
      <c r="B236" s="298"/>
      <c r="C236" s="286"/>
      <c r="D236" s="287"/>
      <c r="E236" s="288" t="s">
        <v>237</v>
      </c>
      <c r="F236" s="289"/>
      <c r="G236" s="290" t="s">
        <v>12</v>
      </c>
      <c r="H236" s="181"/>
    </row>
    <row r="237" spans="1:8" ht="25.5" x14ac:dyDescent="0.2">
      <c r="A237" s="285"/>
      <c r="B237" s="298"/>
      <c r="C237" s="286"/>
      <c r="D237" s="287"/>
      <c r="E237" s="288" t="s">
        <v>512</v>
      </c>
      <c r="F237" s="397"/>
      <c r="G237" s="290"/>
      <c r="H237" s="181"/>
    </row>
    <row r="238" spans="1:8" ht="15" x14ac:dyDescent="0.2">
      <c r="A238" s="285"/>
      <c r="B238" s="298"/>
      <c r="C238" s="286"/>
      <c r="D238" s="287"/>
      <c r="E238" s="288"/>
      <c r="F238" s="397"/>
      <c r="G238" s="290"/>
      <c r="H238" s="181"/>
    </row>
    <row r="239" spans="1:8" ht="25.5" x14ac:dyDescent="0.2">
      <c r="A239" s="273">
        <f>MAX(A$2:A238)+1</f>
        <v>39</v>
      </c>
      <c r="B239" s="274"/>
      <c r="C239" s="164" t="s">
        <v>539</v>
      </c>
      <c r="D239" s="165"/>
      <c r="E239" s="258" t="s">
        <v>624</v>
      </c>
      <c r="F239" s="258"/>
      <c r="G239" s="167" t="s">
        <v>25</v>
      </c>
      <c r="H239" s="179">
        <f>F241</f>
        <v>40</v>
      </c>
    </row>
    <row r="240" spans="1:8" ht="15" x14ac:dyDescent="0.2">
      <c r="A240" s="276"/>
      <c r="B240" s="274"/>
      <c r="C240" s="260"/>
      <c r="D240" s="261"/>
      <c r="E240" s="177" t="s">
        <v>592</v>
      </c>
      <c r="F240" s="73"/>
      <c r="G240" s="175"/>
      <c r="H240" s="180"/>
    </row>
    <row r="241" spans="1:8" ht="15" x14ac:dyDescent="0.2">
      <c r="A241" s="276"/>
      <c r="B241" s="274"/>
      <c r="C241" s="260"/>
      <c r="D241" s="261"/>
      <c r="E241" s="74" t="s">
        <v>541</v>
      </c>
      <c r="F241" s="327">
        <f>20*2</f>
        <v>40</v>
      </c>
      <c r="G241" s="175"/>
      <c r="H241" s="180"/>
    </row>
    <row r="242" spans="1:8" ht="15" x14ac:dyDescent="0.2">
      <c r="A242" s="285"/>
      <c r="B242" s="298"/>
      <c r="C242" s="286"/>
      <c r="D242" s="287"/>
      <c r="E242" s="288"/>
      <c r="F242" s="397"/>
      <c r="G242" s="290"/>
      <c r="H242" s="181"/>
    </row>
    <row r="243" spans="1:8" ht="25.5" x14ac:dyDescent="0.2">
      <c r="A243" s="162">
        <f>MAX(A$2:A242)+1</f>
        <v>40</v>
      </c>
      <c r="B243" s="249"/>
      <c r="C243" s="164" t="s">
        <v>238</v>
      </c>
      <c r="D243" s="165"/>
      <c r="E243" s="258" t="s">
        <v>239</v>
      </c>
      <c r="F243" s="204"/>
      <c r="G243" s="167" t="s">
        <v>8</v>
      </c>
      <c r="H243" s="179">
        <v>2</v>
      </c>
    </row>
    <row r="244" spans="1:8" ht="25.5" x14ac:dyDescent="0.2">
      <c r="A244" s="199"/>
      <c r="B244" s="249"/>
      <c r="C244" s="200"/>
      <c r="D244" s="171" t="s">
        <v>388</v>
      </c>
      <c r="E244" s="259" t="s">
        <v>389</v>
      </c>
      <c r="F244" s="208"/>
      <c r="G244" s="173" t="s">
        <v>8</v>
      </c>
      <c r="H244" s="180">
        <v>2</v>
      </c>
    </row>
    <row r="245" spans="1:8" ht="15" x14ac:dyDescent="0.2">
      <c r="A245" s="199"/>
      <c r="B245" s="249"/>
      <c r="C245" s="200"/>
      <c r="D245" s="195"/>
      <c r="E245" s="74" t="s">
        <v>269</v>
      </c>
      <c r="F245" s="327"/>
      <c r="G245" s="194"/>
      <c r="H245" s="180"/>
    </row>
    <row r="246" spans="1:8" ht="15" x14ac:dyDescent="0.2">
      <c r="A246" s="86"/>
      <c r="B246" s="267"/>
      <c r="C246" s="66"/>
      <c r="D246" s="25"/>
      <c r="E246" s="106"/>
      <c r="F246" s="227"/>
      <c r="G246" s="26"/>
      <c r="H246" s="181"/>
    </row>
    <row r="247" spans="1:8" ht="15" x14ac:dyDescent="0.2">
      <c r="A247" s="162">
        <f>MAX(A$2:A246)+1</f>
        <v>41</v>
      </c>
      <c r="B247" s="249"/>
      <c r="C247" s="164" t="s">
        <v>240</v>
      </c>
      <c r="D247" s="165"/>
      <c r="E247" s="258" t="s">
        <v>241</v>
      </c>
      <c r="F247" s="204"/>
      <c r="G247" s="167" t="s">
        <v>25</v>
      </c>
      <c r="H247" s="179">
        <f>F250</f>
        <v>34.409999999999997</v>
      </c>
    </row>
    <row r="248" spans="1:8" ht="15" x14ac:dyDescent="0.2">
      <c r="A248" s="199"/>
      <c r="B248" s="249"/>
      <c r="C248" s="200"/>
      <c r="D248" s="171" t="s">
        <v>523</v>
      </c>
      <c r="E248" s="259" t="s">
        <v>524</v>
      </c>
      <c r="F248" s="208"/>
      <c r="G248" s="173" t="s">
        <v>25</v>
      </c>
      <c r="H248" s="180"/>
    </row>
    <row r="249" spans="1:8" ht="15" x14ac:dyDescent="0.2">
      <c r="A249" s="199"/>
      <c r="B249" s="249"/>
      <c r="C249" s="200"/>
      <c r="D249" s="195"/>
      <c r="E249" s="74" t="s">
        <v>525</v>
      </c>
      <c r="F249" s="279"/>
      <c r="G249" s="194"/>
      <c r="H249" s="180"/>
    </row>
    <row r="250" spans="1:8" ht="15" x14ac:dyDescent="0.2">
      <c r="A250" s="199"/>
      <c r="B250" s="249"/>
      <c r="C250" s="200"/>
      <c r="D250" s="195"/>
      <c r="E250" s="74" t="s">
        <v>677</v>
      </c>
      <c r="F250" s="279">
        <f>14.45+19.96</f>
        <v>34.409999999999997</v>
      </c>
      <c r="G250" s="194"/>
      <c r="H250" s="180"/>
    </row>
    <row r="251" spans="1:8" ht="15" x14ac:dyDescent="0.2">
      <c r="A251" s="86"/>
      <c r="B251" s="267"/>
      <c r="C251" s="66"/>
      <c r="D251" s="25"/>
      <c r="E251" s="72"/>
      <c r="F251" s="233"/>
      <c r="G251" s="26"/>
      <c r="H251" s="181"/>
    </row>
    <row r="252" spans="1:8" ht="15" x14ac:dyDescent="0.2">
      <c r="A252" s="162">
        <f>MAX(A$2:A251)+1</f>
        <v>42</v>
      </c>
      <c r="B252" s="249"/>
      <c r="C252" s="183" t="s">
        <v>242</v>
      </c>
      <c r="D252" s="184"/>
      <c r="E252" s="275" t="s">
        <v>243</v>
      </c>
      <c r="F252" s="211"/>
      <c r="G252" s="186" t="s">
        <v>25</v>
      </c>
      <c r="H252" s="179">
        <f>F255</f>
        <v>23.8</v>
      </c>
    </row>
    <row r="253" spans="1:8" ht="15" x14ac:dyDescent="0.2">
      <c r="A253" s="199"/>
      <c r="B253" s="249"/>
      <c r="C253" s="277"/>
      <c r="D253" s="188" t="s">
        <v>244</v>
      </c>
      <c r="E253" s="278" t="s">
        <v>245</v>
      </c>
      <c r="F253" s="212"/>
      <c r="G253" s="190" t="s">
        <v>25</v>
      </c>
      <c r="H253" s="180"/>
    </row>
    <row r="254" spans="1:8" ht="15" x14ac:dyDescent="0.2">
      <c r="A254" s="199"/>
      <c r="B254" s="249"/>
      <c r="C254" s="277"/>
      <c r="D254" s="188"/>
      <c r="E254" s="69" t="s">
        <v>270</v>
      </c>
      <c r="F254" s="212"/>
      <c r="G254" s="190"/>
      <c r="H254" s="180"/>
    </row>
    <row r="255" spans="1:8" ht="15" x14ac:dyDescent="0.2">
      <c r="A255" s="199"/>
      <c r="B255" s="249"/>
      <c r="C255" s="277"/>
      <c r="D255" s="188"/>
      <c r="E255" s="69" t="s">
        <v>610</v>
      </c>
      <c r="F255" s="319">
        <f>F181</f>
        <v>23.8</v>
      </c>
      <c r="G255" s="190"/>
      <c r="H255" s="180"/>
    </row>
    <row r="256" spans="1:8" ht="15" x14ac:dyDescent="0.2">
      <c r="A256" s="199"/>
      <c r="B256" s="249"/>
      <c r="C256" s="277"/>
      <c r="D256" s="188"/>
      <c r="E256" s="69"/>
      <c r="F256" s="319"/>
      <c r="G256" s="190"/>
      <c r="H256" s="180"/>
    </row>
    <row r="257" spans="1:8" ht="25.5" x14ac:dyDescent="0.2">
      <c r="A257" s="162">
        <f>MAX(A$2:A256)+1</f>
        <v>43</v>
      </c>
      <c r="B257" s="249"/>
      <c r="C257" s="419" t="s">
        <v>678</v>
      </c>
      <c r="D257" s="420"/>
      <c r="E257" s="421" t="s">
        <v>679</v>
      </c>
      <c r="F257" s="422"/>
      <c r="G257" s="423" t="s">
        <v>12</v>
      </c>
      <c r="H257" s="458">
        <f>F258</f>
        <v>38</v>
      </c>
    </row>
    <row r="258" spans="1:8" ht="15" x14ac:dyDescent="0.2">
      <c r="A258" s="199"/>
      <c r="B258" s="249"/>
      <c r="C258" s="277"/>
      <c r="D258" s="188"/>
      <c r="E258" s="69" t="s">
        <v>680</v>
      </c>
      <c r="F258" s="319">
        <f>2*(2*9.5)</f>
        <v>38</v>
      </c>
      <c r="G258" s="190"/>
      <c r="H258" s="180"/>
    </row>
    <row r="259" spans="1:8" ht="15" x14ac:dyDescent="0.2">
      <c r="A259" s="199"/>
      <c r="B259" s="249"/>
      <c r="C259" s="277"/>
      <c r="D259" s="188"/>
      <c r="E259" s="69"/>
      <c r="F259" s="319"/>
      <c r="G259" s="190"/>
      <c r="H259" s="180"/>
    </row>
    <row r="260" spans="1:8" ht="25.5" x14ac:dyDescent="0.2">
      <c r="A260" s="199"/>
      <c r="B260" s="427" t="s">
        <v>70</v>
      </c>
      <c r="C260" s="428"/>
      <c r="D260" s="429"/>
      <c r="E260" s="430" t="s">
        <v>71</v>
      </c>
      <c r="F260" s="319"/>
      <c r="G260" s="190"/>
      <c r="H260" s="180"/>
    </row>
    <row r="261" spans="1:8" ht="15" x14ac:dyDescent="0.2">
      <c r="A261" s="199"/>
      <c r="B261" s="249"/>
      <c r="C261" s="277"/>
      <c r="D261" s="188"/>
      <c r="E261" s="69"/>
      <c r="F261" s="319"/>
      <c r="G261" s="190"/>
      <c r="H261" s="180"/>
    </row>
    <row r="262" spans="1:8" ht="15" x14ac:dyDescent="0.2">
      <c r="A262" s="162">
        <f>MAX(A$2:A261)+1</f>
        <v>44</v>
      </c>
      <c r="B262" s="249"/>
      <c r="C262" s="164" t="s">
        <v>74</v>
      </c>
      <c r="D262" s="165"/>
      <c r="E262" s="166" t="s">
        <v>75</v>
      </c>
      <c r="F262" s="443"/>
      <c r="G262" s="167" t="s">
        <v>12</v>
      </c>
      <c r="H262" s="179">
        <f>F263</f>
        <v>17</v>
      </c>
    </row>
    <row r="263" spans="1:8" ht="15" x14ac:dyDescent="0.2">
      <c r="A263" s="199"/>
      <c r="B263" s="249"/>
      <c r="C263" s="277"/>
      <c r="D263" s="188"/>
      <c r="E263" s="69" t="s">
        <v>690</v>
      </c>
      <c r="F263" s="319">
        <f>2*8.5</f>
        <v>17</v>
      </c>
      <c r="G263" s="190"/>
      <c r="H263" s="180"/>
    </row>
    <row r="264" spans="1:8" ht="15" x14ac:dyDescent="0.2">
      <c r="A264" s="199"/>
      <c r="B264" s="249"/>
      <c r="C264" s="277"/>
      <c r="D264" s="188"/>
      <c r="E264" s="69" t="s">
        <v>691</v>
      </c>
      <c r="F264" s="319"/>
      <c r="G264" s="190"/>
      <c r="H264" s="180"/>
    </row>
    <row r="265" spans="1:8" ht="15" x14ac:dyDescent="0.2">
      <c r="A265" s="199"/>
      <c r="B265" s="249"/>
      <c r="C265" s="277"/>
      <c r="D265" s="188"/>
      <c r="E265" s="69"/>
      <c r="F265" s="319"/>
      <c r="G265" s="190"/>
      <c r="H265" s="180"/>
    </row>
    <row r="266" spans="1:8" ht="15.75" x14ac:dyDescent="0.2">
      <c r="A266" s="199"/>
      <c r="B266" s="427" t="s">
        <v>696</v>
      </c>
      <c r="C266" s="428"/>
      <c r="D266" s="429"/>
      <c r="E266" s="430" t="s">
        <v>697</v>
      </c>
      <c r="F266" s="319"/>
      <c r="G266" s="190"/>
      <c r="H266" s="180"/>
    </row>
    <row r="267" spans="1:8" ht="15.75" x14ac:dyDescent="0.2">
      <c r="A267" s="199"/>
      <c r="B267" s="427"/>
      <c r="C267" s="428"/>
      <c r="D267" s="429"/>
      <c r="E267" s="430"/>
      <c r="F267" s="319"/>
      <c r="G267" s="190"/>
      <c r="H267" s="180"/>
    </row>
    <row r="268" spans="1:8" ht="25.5" x14ac:dyDescent="0.2">
      <c r="A268" s="162">
        <f>MAX(A$2:A267)+1</f>
        <v>45</v>
      </c>
      <c r="B268" s="448"/>
      <c r="C268" s="164" t="s">
        <v>698</v>
      </c>
      <c r="D268" s="165"/>
      <c r="E268" s="258" t="s">
        <v>699</v>
      </c>
      <c r="F268" s="258"/>
      <c r="G268" s="167" t="s">
        <v>8</v>
      </c>
      <c r="H268" s="179">
        <f>F269</f>
        <v>1</v>
      </c>
    </row>
    <row r="269" spans="1:8" ht="15.75" x14ac:dyDescent="0.2">
      <c r="A269" s="199"/>
      <c r="B269" s="448"/>
      <c r="C269" s="449"/>
      <c r="D269" s="450"/>
      <c r="E269" s="451" t="s">
        <v>700</v>
      </c>
      <c r="F269" s="319">
        <v>1</v>
      </c>
      <c r="G269" s="190"/>
      <c r="H269" s="180"/>
    </row>
    <row r="270" spans="1:8" ht="15" x14ac:dyDescent="0.2">
      <c r="A270" s="199"/>
      <c r="B270" s="249"/>
      <c r="C270" s="277"/>
      <c r="D270" s="188"/>
      <c r="E270" s="69"/>
      <c r="F270" s="319"/>
      <c r="G270" s="190"/>
      <c r="H270" s="180"/>
    </row>
    <row r="271" spans="1:8" ht="15" x14ac:dyDescent="0.2">
      <c r="A271" s="162">
        <f>MAX(A$2:A270)+1</f>
        <v>46</v>
      </c>
      <c r="B271" s="249"/>
      <c r="C271" s="431" t="s">
        <v>686</v>
      </c>
      <c r="D271" s="432"/>
      <c r="E271" s="433" t="s">
        <v>687</v>
      </c>
      <c r="F271" s="434"/>
      <c r="G271" s="435" t="s">
        <v>51</v>
      </c>
      <c r="H271" s="458">
        <f>F272</f>
        <v>1.72</v>
      </c>
    </row>
    <row r="272" spans="1:8" ht="15" x14ac:dyDescent="0.2">
      <c r="A272" s="162"/>
      <c r="B272" s="249"/>
      <c r="C272" s="436"/>
      <c r="D272" s="437"/>
      <c r="E272" s="69" t="s">
        <v>688</v>
      </c>
      <c r="F272" s="319">
        <f>0.5*8.6*0.4</f>
        <v>1.72</v>
      </c>
      <c r="G272" s="438"/>
      <c r="H272" s="459"/>
    </row>
    <row r="273" spans="1:8" ht="15" x14ac:dyDescent="0.2">
      <c r="A273" s="162"/>
      <c r="B273" s="249"/>
      <c r="C273" s="436"/>
      <c r="D273" s="437"/>
      <c r="E273" s="69"/>
      <c r="F273" s="319"/>
      <c r="G273" s="438"/>
      <c r="H273" s="459"/>
    </row>
    <row r="274" spans="1:8" ht="25.5" x14ac:dyDescent="0.2">
      <c r="A274" s="162">
        <f>MAX(A$2:A273)+1</f>
        <v>47</v>
      </c>
      <c r="B274" s="249"/>
      <c r="C274" s="439" t="s">
        <v>52</v>
      </c>
      <c r="D274" s="184"/>
      <c r="E274" s="440" t="s">
        <v>55</v>
      </c>
      <c r="F274" s="441"/>
      <c r="G274" s="186" t="s">
        <v>51</v>
      </c>
      <c r="H274" s="179">
        <f>F277</f>
        <v>2.0900000000000003</v>
      </c>
    </row>
    <row r="275" spans="1:8" ht="15" x14ac:dyDescent="0.2">
      <c r="A275" s="162"/>
      <c r="B275" s="249"/>
      <c r="C275" s="452"/>
      <c r="D275" s="453"/>
      <c r="E275" s="454" t="s">
        <v>701</v>
      </c>
      <c r="F275" s="455"/>
      <c r="G275" s="191" t="s">
        <v>51</v>
      </c>
      <c r="H275" s="179"/>
    </row>
    <row r="276" spans="1:8" ht="15" x14ac:dyDescent="0.2">
      <c r="A276" s="162"/>
      <c r="B276" s="249"/>
      <c r="C276" s="452"/>
      <c r="D276" s="453"/>
      <c r="E276" s="454" t="s">
        <v>702</v>
      </c>
      <c r="F276" s="456">
        <f xml:space="preserve"> 2.2*9.5*0.1</f>
        <v>2.0900000000000003</v>
      </c>
      <c r="G276" s="191"/>
      <c r="H276" s="179"/>
    </row>
    <row r="277" spans="1:8" ht="15" x14ac:dyDescent="0.2">
      <c r="A277" s="162"/>
      <c r="B277" s="249"/>
      <c r="C277" s="442"/>
      <c r="D277" s="302"/>
      <c r="E277" s="457"/>
      <c r="F277" s="70">
        <f>SUM(F275:F276)</f>
        <v>2.0900000000000003</v>
      </c>
      <c r="G277" s="191"/>
      <c r="H277" s="179"/>
    </row>
    <row r="278" spans="1:8" ht="15" x14ac:dyDescent="0.2">
      <c r="A278" s="86"/>
      <c r="B278" s="267"/>
      <c r="C278" s="66"/>
      <c r="D278" s="25"/>
      <c r="E278" s="72"/>
      <c r="F278" s="227"/>
      <c r="G278" s="26"/>
      <c r="H278" s="181"/>
    </row>
    <row r="279" spans="1:8" x14ac:dyDescent="0.2">
      <c r="A279" s="86"/>
      <c r="B279" s="390" t="s">
        <v>78</v>
      </c>
      <c r="C279" s="65"/>
      <c r="D279" s="398"/>
      <c r="E279" s="391" t="s">
        <v>79</v>
      </c>
      <c r="F279" s="113"/>
      <c r="G279" s="60"/>
      <c r="H279" s="181"/>
    </row>
    <row r="280" spans="1:8" ht="15" x14ac:dyDescent="0.2">
      <c r="A280" s="86"/>
      <c r="B280" s="267"/>
      <c r="C280" s="269"/>
      <c r="D280" s="270"/>
      <c r="E280" s="393"/>
      <c r="F280" s="113"/>
      <c r="G280" s="60"/>
      <c r="H280" s="181"/>
    </row>
    <row r="281" spans="1:8" ht="25.5" x14ac:dyDescent="0.2">
      <c r="A281" s="273">
        <f>MAX(A$3:A279)+1</f>
        <v>48</v>
      </c>
      <c r="B281" s="274"/>
      <c r="C281" s="183" t="s">
        <v>29</v>
      </c>
      <c r="D281" s="184"/>
      <c r="E281" s="275" t="s">
        <v>50</v>
      </c>
      <c r="F281" s="211"/>
      <c r="G281" s="186" t="s">
        <v>12</v>
      </c>
      <c r="H281" s="179">
        <f>F283</f>
        <v>24</v>
      </c>
    </row>
    <row r="282" spans="1:8" ht="25.5" x14ac:dyDescent="0.2">
      <c r="A282" s="199"/>
      <c r="B282" s="249"/>
      <c r="C282" s="200"/>
      <c r="D282" s="195" t="s">
        <v>31</v>
      </c>
      <c r="E282" s="284" t="s">
        <v>35</v>
      </c>
      <c r="F282" s="206"/>
      <c r="G282" s="194" t="s">
        <v>12</v>
      </c>
      <c r="H282" s="180"/>
    </row>
    <row r="283" spans="1:8" ht="25.5" x14ac:dyDescent="0.2">
      <c r="A283" s="199"/>
      <c r="B283" s="249"/>
      <c r="C283" s="200"/>
      <c r="D283" s="195"/>
      <c r="E283" s="74" t="s">
        <v>703</v>
      </c>
      <c r="F283" s="319">
        <f>2*(1*12)</f>
        <v>24</v>
      </c>
      <c r="G283" s="194"/>
      <c r="H283" s="180"/>
    </row>
    <row r="284" spans="1:8" ht="15" x14ac:dyDescent="0.2">
      <c r="A284" s="86"/>
      <c r="B284" s="267"/>
      <c r="C284" s="17"/>
      <c r="D284" s="18"/>
      <c r="E284" s="103"/>
      <c r="F284" s="226"/>
      <c r="G284" s="20"/>
      <c r="H284" s="181"/>
    </row>
    <row r="285" spans="1:8" ht="25.5" x14ac:dyDescent="0.2">
      <c r="A285" s="162">
        <f>MAX(A$2:A284)+1</f>
        <v>49</v>
      </c>
      <c r="B285" s="249"/>
      <c r="C285" s="164" t="s">
        <v>46</v>
      </c>
      <c r="D285" s="165"/>
      <c r="E285" s="258" t="s">
        <v>43</v>
      </c>
      <c r="F285" s="204"/>
      <c r="G285" s="167" t="s">
        <v>12</v>
      </c>
      <c r="H285" s="179">
        <f>F287</f>
        <v>177.5</v>
      </c>
    </row>
    <row r="286" spans="1:8" ht="25.5" x14ac:dyDescent="0.2">
      <c r="A286" s="199"/>
      <c r="B286" s="249"/>
      <c r="C286" s="200"/>
      <c r="D286" s="171" t="s">
        <v>47</v>
      </c>
      <c r="E286" s="259" t="s">
        <v>18</v>
      </c>
      <c r="F286" s="208"/>
      <c r="G286" s="173" t="s">
        <v>12</v>
      </c>
      <c r="H286" s="180"/>
    </row>
    <row r="287" spans="1:8" ht="25.5" x14ac:dyDescent="0.2">
      <c r="A287" s="199"/>
      <c r="B287" s="249"/>
      <c r="C287" s="260"/>
      <c r="D287" s="261"/>
      <c r="E287" s="74" t="s">
        <v>594</v>
      </c>
      <c r="F287" s="73">
        <f>F291</f>
        <v>177.5</v>
      </c>
      <c r="G287" s="175"/>
      <c r="H287" s="180"/>
    </row>
    <row r="288" spans="1:8" ht="15" x14ac:dyDescent="0.2">
      <c r="A288" s="86"/>
      <c r="B288" s="267"/>
      <c r="C288" s="269"/>
      <c r="D288" s="270"/>
      <c r="E288" s="393"/>
      <c r="F288" s="113"/>
      <c r="G288" s="60"/>
      <c r="H288" s="181"/>
    </row>
    <row r="289" spans="1:10" ht="26.25" customHeight="1" x14ac:dyDescent="0.2">
      <c r="A289" s="162">
        <f>MAX(A$2:A288)+1</f>
        <v>50</v>
      </c>
      <c r="B289" s="249"/>
      <c r="C289" s="164" t="s">
        <v>48</v>
      </c>
      <c r="D289" s="165"/>
      <c r="E289" s="258" t="s">
        <v>19</v>
      </c>
      <c r="F289" s="204"/>
      <c r="G289" s="167" t="s">
        <v>12</v>
      </c>
      <c r="H289" s="179">
        <f>F294</f>
        <v>177.5</v>
      </c>
    </row>
    <row r="290" spans="1:10" ht="25.5" x14ac:dyDescent="0.2">
      <c r="A290" s="199"/>
      <c r="B290" s="249"/>
      <c r="C290" s="200"/>
      <c r="D290" s="171" t="s">
        <v>49</v>
      </c>
      <c r="E290" s="259" t="s">
        <v>17</v>
      </c>
      <c r="F290" s="208"/>
      <c r="G290" s="173" t="s">
        <v>12</v>
      </c>
      <c r="H290" s="180"/>
    </row>
    <row r="291" spans="1:10" ht="15" x14ac:dyDescent="0.2">
      <c r="A291" s="199"/>
      <c r="B291" s="249"/>
      <c r="C291" s="260"/>
      <c r="D291" s="261"/>
      <c r="E291" s="74" t="s">
        <v>670</v>
      </c>
      <c r="F291" s="73">
        <f>14.2*12.5</f>
        <v>177.5</v>
      </c>
      <c r="G291" s="175"/>
      <c r="H291" s="180"/>
    </row>
    <row r="292" spans="1:10" ht="15" x14ac:dyDescent="0.2">
      <c r="A292" s="199"/>
      <c r="B292" s="249"/>
      <c r="C292" s="260"/>
      <c r="D292" s="261"/>
      <c r="E292" s="74" t="s">
        <v>595</v>
      </c>
      <c r="F292" s="73"/>
      <c r="G292" s="175"/>
      <c r="H292" s="180"/>
    </row>
    <row r="293" spans="1:10" ht="15" x14ac:dyDescent="0.2">
      <c r="A293" s="199"/>
      <c r="B293" s="249"/>
      <c r="C293" s="260"/>
      <c r="D293" s="261"/>
      <c r="E293" s="74" t="s">
        <v>538</v>
      </c>
      <c r="F293" s="248"/>
      <c r="G293" s="175"/>
      <c r="H293" s="180"/>
    </row>
    <row r="294" spans="1:10" ht="15" x14ac:dyDescent="0.2">
      <c r="A294" s="199"/>
      <c r="B294" s="249"/>
      <c r="C294" s="260"/>
      <c r="D294" s="261"/>
      <c r="E294" s="197" t="s">
        <v>298</v>
      </c>
      <c r="F294" s="73">
        <f>SUM(F291:F293)</f>
        <v>177.5</v>
      </c>
      <c r="G294" s="175"/>
      <c r="H294" s="180"/>
    </row>
    <row r="295" spans="1:10" ht="25.5" x14ac:dyDescent="0.2">
      <c r="A295" s="199"/>
      <c r="B295" s="249"/>
      <c r="C295" s="260"/>
      <c r="D295" s="261"/>
      <c r="E295" s="74" t="s">
        <v>402</v>
      </c>
      <c r="F295" s="300"/>
      <c r="G295" s="175"/>
      <c r="H295" s="180"/>
    </row>
    <row r="296" spans="1:10" s="8" customFormat="1" ht="15" x14ac:dyDescent="0.2">
      <c r="A296" s="86"/>
      <c r="B296" s="267"/>
      <c r="C296" s="269"/>
      <c r="D296" s="270"/>
      <c r="E296" s="393"/>
      <c r="F296" s="113"/>
      <c r="G296" s="60"/>
      <c r="H296" s="181"/>
      <c r="I296" s="106"/>
      <c r="J296" s="160"/>
    </row>
    <row r="297" spans="1:10" s="8" customFormat="1" x14ac:dyDescent="0.2">
      <c r="A297" s="86"/>
      <c r="B297" s="390" t="s">
        <v>80</v>
      </c>
      <c r="C297" s="65"/>
      <c r="D297" s="398"/>
      <c r="E297" s="391" t="s">
        <v>81</v>
      </c>
      <c r="F297" s="113"/>
      <c r="G297" s="60"/>
      <c r="H297" s="181"/>
      <c r="I297" s="106"/>
      <c r="J297" s="160"/>
    </row>
    <row r="298" spans="1:10" s="8" customFormat="1" ht="15" x14ac:dyDescent="0.2">
      <c r="A298" s="86"/>
      <c r="B298" s="267"/>
      <c r="C298" s="269"/>
      <c r="D298" s="270"/>
      <c r="E298" s="393"/>
      <c r="F298" s="113"/>
      <c r="G298" s="60"/>
      <c r="H298" s="181"/>
      <c r="I298" s="106"/>
      <c r="J298" s="160"/>
    </row>
    <row r="299" spans="1:10" s="8" customFormat="1" ht="25.5" x14ac:dyDescent="0.2">
      <c r="A299" s="162">
        <f>MAX(A$3:A297)+1</f>
        <v>51</v>
      </c>
      <c r="B299" s="249"/>
      <c r="C299" s="164" t="s">
        <v>82</v>
      </c>
      <c r="D299" s="165"/>
      <c r="E299" s="258" t="s">
        <v>83</v>
      </c>
      <c r="F299" s="204"/>
      <c r="G299" s="167" t="s">
        <v>25</v>
      </c>
      <c r="H299" s="179">
        <f>F302</f>
        <v>34.159999999999997</v>
      </c>
      <c r="I299" s="106"/>
      <c r="J299" s="160"/>
    </row>
    <row r="300" spans="1:10" s="8" customFormat="1" ht="25.5" x14ac:dyDescent="0.2">
      <c r="A300" s="86"/>
      <c r="B300" s="267"/>
      <c r="C300" s="269"/>
      <c r="D300" s="171" t="s">
        <v>84</v>
      </c>
      <c r="E300" s="259" t="s">
        <v>83</v>
      </c>
      <c r="F300" s="208"/>
      <c r="G300" s="173" t="s">
        <v>25</v>
      </c>
      <c r="H300" s="181"/>
      <c r="I300" s="106"/>
      <c r="J300" s="160"/>
    </row>
    <row r="301" spans="1:10" s="8" customFormat="1" ht="15" x14ac:dyDescent="0.2">
      <c r="A301" s="86"/>
      <c r="B301" s="267"/>
      <c r="C301" s="269"/>
      <c r="D301" s="261"/>
      <c r="E301" s="74" t="s">
        <v>614</v>
      </c>
      <c r="F301" s="248">
        <f>F162</f>
        <v>34.159999999999997</v>
      </c>
      <c r="G301" s="175"/>
      <c r="H301" s="181"/>
      <c r="I301" s="106"/>
      <c r="J301" s="160"/>
    </row>
    <row r="302" spans="1:10" s="8" customFormat="1" ht="15" x14ac:dyDescent="0.2">
      <c r="A302" s="86"/>
      <c r="B302" s="267"/>
      <c r="C302" s="269"/>
      <c r="D302" s="261"/>
      <c r="E302" s="74"/>
      <c r="F302" s="73">
        <f>SUM(F300:F301)</f>
        <v>34.159999999999997</v>
      </c>
      <c r="G302" s="175"/>
      <c r="H302" s="181"/>
      <c r="I302" s="106"/>
      <c r="J302" s="160"/>
    </row>
    <row r="303" spans="1:10" s="8" customFormat="1" ht="15" x14ac:dyDescent="0.2">
      <c r="A303" s="86"/>
      <c r="B303" s="267"/>
      <c r="C303" s="269"/>
      <c r="D303" s="270"/>
      <c r="E303" s="393"/>
      <c r="F303" s="113"/>
      <c r="G303" s="60"/>
      <c r="H303" s="181"/>
      <c r="I303" s="106"/>
      <c r="J303" s="160"/>
    </row>
    <row r="304" spans="1:10" s="8" customFormat="1" ht="15" x14ac:dyDescent="0.2">
      <c r="A304" s="273">
        <f>MAX(A$3:A301)+1</f>
        <v>52</v>
      </c>
      <c r="B304" s="274"/>
      <c r="C304" s="183" t="s">
        <v>404</v>
      </c>
      <c r="D304" s="184"/>
      <c r="E304" s="275" t="s">
        <v>405</v>
      </c>
      <c r="F304" s="211"/>
      <c r="G304" s="186" t="s">
        <v>25</v>
      </c>
      <c r="H304" s="179">
        <f>F306</f>
        <v>30</v>
      </c>
      <c r="I304" s="106"/>
      <c r="J304" s="160"/>
    </row>
    <row r="305" spans="1:10" s="8" customFormat="1" ht="15" x14ac:dyDescent="0.2">
      <c r="A305" s="276"/>
      <c r="B305" s="274"/>
      <c r="C305" s="301"/>
      <c r="D305" s="188" t="s">
        <v>406</v>
      </c>
      <c r="E305" s="278" t="s">
        <v>407</v>
      </c>
      <c r="F305" s="317"/>
      <c r="G305" s="190" t="s">
        <v>25</v>
      </c>
      <c r="H305" s="180"/>
      <c r="I305" s="106"/>
      <c r="J305" s="160"/>
    </row>
    <row r="306" spans="1:10" s="8" customFormat="1" ht="25.5" x14ac:dyDescent="0.2">
      <c r="A306" s="276"/>
      <c r="B306" s="274"/>
      <c r="C306" s="301"/>
      <c r="D306" s="302"/>
      <c r="E306" s="69" t="s">
        <v>671</v>
      </c>
      <c r="F306" s="70">
        <f>15*2</f>
        <v>30</v>
      </c>
      <c r="G306" s="191"/>
      <c r="H306" s="180"/>
      <c r="I306" s="106"/>
      <c r="J306" s="160"/>
    </row>
    <row r="307" spans="1:10" s="8" customFormat="1" ht="15" x14ac:dyDescent="0.2">
      <c r="A307" s="86"/>
      <c r="B307" s="267"/>
      <c r="C307" s="269"/>
      <c r="D307" s="270"/>
      <c r="E307" s="393"/>
      <c r="F307" s="113"/>
      <c r="G307" s="60"/>
      <c r="H307" s="181"/>
      <c r="I307" s="106"/>
      <c r="J307" s="160"/>
    </row>
    <row r="308" spans="1:10" x14ac:dyDescent="0.2">
      <c r="A308" s="86"/>
      <c r="B308" s="390" t="s">
        <v>86</v>
      </c>
      <c r="C308" s="390"/>
      <c r="D308" s="18"/>
      <c r="E308" s="391" t="s">
        <v>87</v>
      </c>
      <c r="F308" s="392"/>
      <c r="G308" s="60"/>
      <c r="H308" s="181"/>
    </row>
    <row r="309" spans="1:10" ht="15" x14ac:dyDescent="0.2">
      <c r="A309" s="86"/>
      <c r="B309" s="267"/>
      <c r="C309" s="269"/>
      <c r="D309" s="270"/>
      <c r="E309" s="393"/>
      <c r="F309" s="113"/>
      <c r="G309" s="60"/>
      <c r="H309" s="181"/>
    </row>
    <row r="310" spans="1:10" ht="25.5" x14ac:dyDescent="0.2">
      <c r="A310" s="62"/>
      <c r="B310" s="267"/>
      <c r="C310" s="1" t="s">
        <v>88</v>
      </c>
      <c r="D310" s="2"/>
      <c r="E310" s="119" t="s">
        <v>89</v>
      </c>
      <c r="F310" s="209"/>
      <c r="G310" s="4" t="s">
        <v>25</v>
      </c>
      <c r="H310" s="268">
        <f>F314</f>
        <v>0</v>
      </c>
    </row>
    <row r="311" spans="1:10" ht="25.5" x14ac:dyDescent="0.2">
      <c r="A311" s="86"/>
      <c r="B311" s="267"/>
      <c r="C311" s="66"/>
      <c r="D311" s="5" t="s">
        <v>409</v>
      </c>
      <c r="E311" s="120" t="s">
        <v>410</v>
      </c>
      <c r="F311" s="210"/>
      <c r="G311" s="7" t="s">
        <v>25</v>
      </c>
      <c r="H311" s="181"/>
    </row>
    <row r="312" spans="1:10" ht="15" x14ac:dyDescent="0.2">
      <c r="A312" s="86"/>
      <c r="B312" s="267"/>
      <c r="C312" s="66"/>
      <c r="D312" s="25"/>
      <c r="E312" s="72" t="s">
        <v>553</v>
      </c>
      <c r="F312" s="233"/>
      <c r="G312" s="26"/>
      <c r="H312" s="181"/>
    </row>
    <row r="313" spans="1:10" ht="15" x14ac:dyDescent="0.2">
      <c r="A313" s="86"/>
      <c r="B313" s="267"/>
      <c r="C313" s="17"/>
      <c r="D313" s="18"/>
      <c r="E313" s="72" t="s">
        <v>554</v>
      </c>
      <c r="F313" s="234"/>
      <c r="G313" s="20"/>
      <c r="H313" s="181"/>
    </row>
    <row r="314" spans="1:10" ht="15" x14ac:dyDescent="0.2">
      <c r="A314" s="86"/>
      <c r="B314" s="267"/>
      <c r="C314" s="17"/>
      <c r="D314" s="18"/>
      <c r="E314" s="77" t="s">
        <v>556</v>
      </c>
      <c r="F314" s="233">
        <f>SUM(F312:F313)</f>
        <v>0</v>
      </c>
      <c r="G314" s="20"/>
      <c r="H314" s="181"/>
    </row>
    <row r="315" spans="1:10" ht="15" x14ac:dyDescent="0.2">
      <c r="A315" s="86"/>
      <c r="B315" s="267"/>
      <c r="C315" s="17"/>
      <c r="D315" s="18"/>
      <c r="E315" s="72" t="s">
        <v>555</v>
      </c>
      <c r="F315" s="233"/>
      <c r="G315" s="20"/>
      <c r="H315" s="181"/>
    </row>
    <row r="316" spans="1:10" ht="15" x14ac:dyDescent="0.2">
      <c r="A316" s="86"/>
      <c r="B316" s="267"/>
      <c r="C316" s="66"/>
      <c r="D316" s="25"/>
      <c r="E316" s="106"/>
      <c r="F316" s="227"/>
      <c r="G316" s="26"/>
      <c r="H316" s="181"/>
    </row>
    <row r="317" spans="1:10" ht="15" x14ac:dyDescent="0.2">
      <c r="A317" s="396"/>
      <c r="B317" s="298"/>
      <c r="C317" s="385" t="s">
        <v>280</v>
      </c>
      <c r="D317" s="386"/>
      <c r="E317" s="394" t="s">
        <v>281</v>
      </c>
      <c r="F317" s="387"/>
      <c r="G317" s="388" t="s">
        <v>25</v>
      </c>
      <c r="H317" s="268">
        <f>F319</f>
        <v>0</v>
      </c>
    </row>
    <row r="318" spans="1:10" ht="25.5" x14ac:dyDescent="0.2">
      <c r="A318" s="285"/>
      <c r="B318" s="298"/>
      <c r="C318" s="286"/>
      <c r="D318" s="287" t="s">
        <v>282</v>
      </c>
      <c r="E318" s="288" t="s">
        <v>283</v>
      </c>
      <c r="F318" s="289"/>
      <c r="G318" s="290" t="s">
        <v>25</v>
      </c>
      <c r="H318" s="181"/>
    </row>
    <row r="319" spans="1:10" ht="15" x14ac:dyDescent="0.2">
      <c r="A319" s="285"/>
      <c r="B319" s="298"/>
      <c r="C319" s="286"/>
      <c r="D319" s="287"/>
      <c r="E319" s="288" t="s">
        <v>597</v>
      </c>
      <c r="F319" s="233"/>
      <c r="G319" s="290"/>
      <c r="H319" s="181"/>
    </row>
    <row r="320" spans="1:10" ht="25.5" x14ac:dyDescent="0.2">
      <c r="A320" s="285"/>
      <c r="B320" s="298"/>
      <c r="C320" s="286"/>
      <c r="D320" s="287"/>
      <c r="E320" s="399" t="s">
        <v>284</v>
      </c>
      <c r="F320" s="289"/>
      <c r="G320" s="290"/>
      <c r="H320" s="181"/>
    </row>
    <row r="321" spans="1:8" ht="15" x14ac:dyDescent="0.2">
      <c r="A321" s="86"/>
      <c r="B321" s="267"/>
      <c r="C321" s="9"/>
      <c r="D321" s="5"/>
      <c r="E321" s="120"/>
      <c r="F321" s="210"/>
      <c r="G321" s="7"/>
      <c r="H321" s="181"/>
    </row>
    <row r="322" spans="1:8" ht="32.25" customHeight="1" x14ac:dyDescent="0.2">
      <c r="A322" s="62"/>
      <c r="B322" s="267"/>
      <c r="C322" s="1" t="s">
        <v>534</v>
      </c>
      <c r="D322" s="2"/>
      <c r="E322" s="119" t="s">
        <v>535</v>
      </c>
      <c r="F322" s="119"/>
      <c r="G322" s="4" t="s">
        <v>8</v>
      </c>
      <c r="H322" s="268">
        <f>F325</f>
        <v>0</v>
      </c>
    </row>
    <row r="323" spans="1:8" ht="15" x14ac:dyDescent="0.2">
      <c r="A323" s="62"/>
      <c r="B323" s="267"/>
      <c r="C323" s="1"/>
      <c r="D323" s="2"/>
      <c r="E323" s="400" t="s">
        <v>536</v>
      </c>
      <c r="F323" s="119"/>
      <c r="G323" s="4"/>
      <c r="H323" s="181"/>
    </row>
    <row r="324" spans="1:8" ht="25.5" x14ac:dyDescent="0.2">
      <c r="A324" s="62"/>
      <c r="B324" s="267"/>
      <c r="C324" s="66"/>
      <c r="D324" s="25"/>
      <c r="E324" s="400" t="s">
        <v>581</v>
      </c>
      <c r="F324" s="233"/>
      <c r="G324" s="149"/>
      <c r="H324" s="181"/>
    </row>
    <row r="325" spans="1:8" ht="15" x14ac:dyDescent="0.2">
      <c r="A325" s="62"/>
      <c r="B325" s="267"/>
      <c r="C325" s="66"/>
      <c r="D325" s="25"/>
      <c r="E325" s="106"/>
      <c r="F325" s="233">
        <f>SUM(F324:F324)</f>
        <v>0</v>
      </c>
      <c r="G325" s="149"/>
      <c r="H325" s="181"/>
    </row>
    <row r="326" spans="1:8" ht="15" x14ac:dyDescent="0.2">
      <c r="A326" s="62"/>
      <c r="B326" s="267"/>
      <c r="C326" s="66"/>
      <c r="D326" s="25"/>
      <c r="E326" s="106"/>
      <c r="F326" s="233"/>
      <c r="G326" s="149"/>
      <c r="H326" s="181"/>
    </row>
    <row r="327" spans="1:8" ht="25.5" x14ac:dyDescent="0.2">
      <c r="A327" s="62"/>
      <c r="B327" s="54" t="s">
        <v>634</v>
      </c>
      <c r="C327" s="343"/>
      <c r="D327" s="25"/>
      <c r="E327" s="411" t="s">
        <v>635</v>
      </c>
      <c r="F327" s="412"/>
      <c r="G327" s="149"/>
      <c r="H327" s="181"/>
    </row>
    <row r="328" spans="1:8" ht="15" x14ac:dyDescent="0.2">
      <c r="A328" s="62"/>
      <c r="B328" s="267"/>
      <c r="C328" s="66"/>
      <c r="D328" s="25"/>
      <c r="E328" s="106"/>
      <c r="F328" s="233"/>
      <c r="G328" s="149"/>
      <c r="H328" s="181"/>
    </row>
    <row r="329" spans="1:8" ht="25.5" x14ac:dyDescent="0.2">
      <c r="A329" s="162">
        <f>MAX(A$3:A328)+1</f>
        <v>53</v>
      </c>
      <c r="B329" s="249"/>
      <c r="C329" s="408">
        <v>91040102</v>
      </c>
      <c r="D329" s="409"/>
      <c r="E329" s="258" t="s">
        <v>636</v>
      </c>
      <c r="F329" s="258"/>
      <c r="G329" s="167" t="s">
        <v>8</v>
      </c>
      <c r="H329" s="179">
        <f>F330</f>
        <v>1</v>
      </c>
    </row>
    <row r="330" spans="1:8" ht="15" x14ac:dyDescent="0.2">
      <c r="A330" s="162"/>
      <c r="B330" s="249"/>
      <c r="C330" s="200"/>
      <c r="D330" s="195"/>
      <c r="E330" s="297" t="s">
        <v>637</v>
      </c>
      <c r="F330" s="279">
        <v>1</v>
      </c>
      <c r="G330" s="410"/>
      <c r="H330" s="180"/>
    </row>
    <row r="331" spans="1:8" ht="15" x14ac:dyDescent="0.2">
      <c r="A331" s="86"/>
      <c r="B331" s="267"/>
      <c r="C331" s="269"/>
      <c r="D331" s="270"/>
      <c r="E331" s="393"/>
      <c r="F331" s="113"/>
      <c r="G331" s="60"/>
      <c r="H331" s="181"/>
    </row>
    <row r="332" spans="1:8" x14ac:dyDescent="0.2">
      <c r="A332" s="86"/>
      <c r="B332" s="390" t="s">
        <v>412</v>
      </c>
      <c r="C332" s="390"/>
      <c r="D332" s="18"/>
      <c r="E332" s="391" t="s">
        <v>413</v>
      </c>
      <c r="F332" s="113"/>
      <c r="G332" s="60"/>
      <c r="H332" s="322"/>
    </row>
    <row r="333" spans="1:8" ht="6.75" customHeight="1" x14ac:dyDescent="0.2">
      <c r="A333" s="86"/>
      <c r="B333" s="401"/>
      <c r="C333" s="269"/>
      <c r="D333" s="270"/>
      <c r="E333" s="75"/>
      <c r="F333" s="113"/>
      <c r="G333" s="60"/>
      <c r="H333" s="322"/>
    </row>
    <row r="334" spans="1:8" ht="25.5" x14ac:dyDescent="0.2">
      <c r="A334" s="62">
        <f>MAX(A$3:A332)+1</f>
        <v>54</v>
      </c>
      <c r="B334" s="401"/>
      <c r="C334" s="1" t="s">
        <v>438</v>
      </c>
      <c r="D334" s="2"/>
      <c r="E334" s="119" t="s">
        <v>439</v>
      </c>
      <c r="F334" s="214"/>
      <c r="G334" s="4" t="s">
        <v>12</v>
      </c>
      <c r="H334" s="342">
        <f>F335</f>
        <v>0</v>
      </c>
    </row>
    <row r="335" spans="1:8" ht="25.5" x14ac:dyDescent="0.2">
      <c r="A335" s="86"/>
      <c r="B335" s="401"/>
      <c r="C335" s="269"/>
      <c r="D335" s="270"/>
      <c r="E335" s="76" t="s">
        <v>440</v>
      </c>
      <c r="F335" s="67"/>
      <c r="G335" s="60"/>
      <c r="H335" s="322"/>
    </row>
    <row r="336" spans="1:8" ht="15" x14ac:dyDescent="0.2">
      <c r="A336" s="86"/>
      <c r="B336" s="401"/>
      <c r="C336" s="269"/>
      <c r="D336" s="270"/>
      <c r="E336" s="75"/>
      <c r="F336" s="113"/>
      <c r="G336" s="60"/>
      <c r="H336" s="322"/>
    </row>
    <row r="337" spans="1:8" ht="25.5" x14ac:dyDescent="0.2">
      <c r="A337" s="162">
        <f>MAX(A$3:A335)+1</f>
        <v>55</v>
      </c>
      <c r="B337" s="323"/>
      <c r="C337" s="164" t="s">
        <v>441</v>
      </c>
      <c r="D337" s="165"/>
      <c r="E337" s="258" t="s">
        <v>442</v>
      </c>
      <c r="F337" s="324"/>
      <c r="G337" s="167" t="s">
        <v>12</v>
      </c>
      <c r="H337" s="325">
        <f>F340</f>
        <v>241.57000000000002</v>
      </c>
    </row>
    <row r="338" spans="1:8" ht="15" x14ac:dyDescent="0.2">
      <c r="A338" s="199"/>
      <c r="B338" s="323"/>
      <c r="C338" s="260"/>
      <c r="D338" s="261"/>
      <c r="E338" s="74" t="s">
        <v>712</v>
      </c>
      <c r="F338" s="327">
        <f>11.9*10.15</f>
        <v>120.78500000000001</v>
      </c>
      <c r="G338" s="175"/>
      <c r="H338" s="326"/>
    </row>
    <row r="339" spans="1:8" ht="15" x14ac:dyDescent="0.2">
      <c r="A339" s="86"/>
      <c r="B339" s="401"/>
      <c r="C339" s="269"/>
      <c r="D339" s="270"/>
      <c r="E339" s="74" t="s">
        <v>713</v>
      </c>
      <c r="F339" s="300">
        <f>11.9*10.15</f>
        <v>120.78500000000001</v>
      </c>
      <c r="G339" s="60"/>
      <c r="H339" s="322"/>
    </row>
    <row r="340" spans="1:8" ht="15" x14ac:dyDescent="0.2">
      <c r="A340" s="86"/>
      <c r="B340" s="401"/>
      <c r="C340" s="269"/>
      <c r="D340" s="270"/>
      <c r="F340" s="73">
        <f>SUM(F338:F339)</f>
        <v>241.57000000000002</v>
      </c>
      <c r="G340" s="60"/>
      <c r="H340" s="322"/>
    </row>
    <row r="341" spans="1:8" ht="8.25" customHeight="1" x14ac:dyDescent="0.2">
      <c r="A341" s="86"/>
      <c r="B341" s="401"/>
      <c r="C341" s="269"/>
      <c r="D341" s="270"/>
      <c r="F341" s="67"/>
      <c r="G341" s="60"/>
      <c r="H341" s="322"/>
    </row>
    <row r="342" spans="1:8" ht="25.5" x14ac:dyDescent="0.2">
      <c r="A342" s="162">
        <f>MAX(A$3:A340)+1</f>
        <v>56</v>
      </c>
      <c r="B342" s="323"/>
      <c r="C342" s="164" t="s">
        <v>443</v>
      </c>
      <c r="D342" s="165"/>
      <c r="E342" s="258" t="s">
        <v>444</v>
      </c>
      <c r="F342" s="324"/>
      <c r="G342" s="167" t="s">
        <v>12</v>
      </c>
      <c r="H342" s="325">
        <f>F343</f>
        <v>21.599999999999998</v>
      </c>
    </row>
    <row r="343" spans="1:8" ht="15" x14ac:dyDescent="0.2">
      <c r="A343" s="162"/>
      <c r="B343" s="323"/>
      <c r="C343" s="164"/>
      <c r="D343" s="165"/>
      <c r="E343" s="283" t="s">
        <v>714</v>
      </c>
      <c r="F343" s="327">
        <f>2*(9*1.2)</f>
        <v>21.599999999999998</v>
      </c>
      <c r="G343" s="167"/>
      <c r="H343" s="325"/>
    </row>
    <row r="344" spans="1:8" ht="15" x14ac:dyDescent="0.2">
      <c r="A344" s="62"/>
      <c r="B344" s="401"/>
      <c r="C344" s="1"/>
      <c r="D344" s="2"/>
      <c r="E344" s="119"/>
      <c r="F344" s="214"/>
      <c r="G344" s="4"/>
      <c r="H344" s="342"/>
    </row>
    <row r="345" spans="1:8" ht="25.5" x14ac:dyDescent="0.2">
      <c r="A345" s="86"/>
      <c r="B345" s="390" t="s">
        <v>414</v>
      </c>
      <c r="C345" s="390"/>
      <c r="D345" s="18"/>
      <c r="E345" s="391" t="s">
        <v>415</v>
      </c>
      <c r="F345" s="113"/>
      <c r="G345" s="60"/>
      <c r="H345" s="322"/>
    </row>
    <row r="346" spans="1:8" ht="15" x14ac:dyDescent="0.2">
      <c r="A346" s="86"/>
      <c r="B346" s="401"/>
      <c r="C346" s="269"/>
      <c r="D346" s="270"/>
      <c r="E346" s="75"/>
      <c r="F346" s="113"/>
      <c r="G346" s="60"/>
      <c r="H346" s="322"/>
    </row>
    <row r="347" spans="1:8" ht="25.5" customHeight="1" x14ac:dyDescent="0.2">
      <c r="A347" s="162">
        <f>MAX(A$3:A345)+1</f>
        <v>57</v>
      </c>
      <c r="B347" s="323"/>
      <c r="C347" s="164" t="s">
        <v>445</v>
      </c>
      <c r="D347" s="165"/>
      <c r="E347" s="258" t="s">
        <v>446</v>
      </c>
      <c r="F347" s="324"/>
      <c r="G347" s="167" t="s">
        <v>12</v>
      </c>
      <c r="H347" s="325">
        <f>F359</f>
        <v>221.15690000000001</v>
      </c>
    </row>
    <row r="348" spans="1:8" ht="24.75" customHeight="1" x14ac:dyDescent="0.2">
      <c r="A348" s="86"/>
      <c r="B348" s="401"/>
      <c r="C348" s="269"/>
      <c r="D348" s="171" t="s">
        <v>447</v>
      </c>
      <c r="E348" s="259" t="s">
        <v>448</v>
      </c>
      <c r="F348" s="207"/>
      <c r="G348" s="173" t="s">
        <v>12</v>
      </c>
      <c r="H348" s="326">
        <f>F349</f>
        <v>120.78500000000001</v>
      </c>
    </row>
    <row r="349" spans="1:8" ht="25.5" x14ac:dyDescent="0.2">
      <c r="A349" s="86"/>
      <c r="B349" s="401"/>
      <c r="C349" s="269"/>
      <c r="D349" s="261"/>
      <c r="E349" s="74" t="s">
        <v>710</v>
      </c>
      <c r="F349" s="73">
        <f>11.9*10.15</f>
        <v>120.78500000000001</v>
      </c>
      <c r="G349" s="175"/>
      <c r="H349" s="326"/>
    </row>
    <row r="350" spans="1:8" ht="15" x14ac:dyDescent="0.2">
      <c r="A350" s="86"/>
      <c r="B350" s="401"/>
      <c r="C350" s="269"/>
      <c r="D350" s="270"/>
      <c r="E350" s="75"/>
      <c r="F350" s="113"/>
      <c r="G350" s="60"/>
      <c r="H350" s="322"/>
    </row>
    <row r="351" spans="1:8" ht="24.75" customHeight="1" x14ac:dyDescent="0.2">
      <c r="A351" s="86"/>
      <c r="B351" s="401"/>
      <c r="C351" s="269"/>
      <c r="D351" s="171" t="s">
        <v>449</v>
      </c>
      <c r="E351" s="259" t="s">
        <v>450</v>
      </c>
      <c r="F351" s="207"/>
      <c r="G351" s="173" t="s">
        <v>12</v>
      </c>
      <c r="H351" s="326">
        <f>F352</f>
        <v>21.599999999999998</v>
      </c>
    </row>
    <row r="352" spans="1:8" ht="25.5" x14ac:dyDescent="0.2">
      <c r="A352" s="86"/>
      <c r="B352" s="401"/>
      <c r="C352" s="269"/>
      <c r="D352" s="261"/>
      <c r="E352" s="74" t="s">
        <v>711</v>
      </c>
      <c r="F352" s="73">
        <f>2*(9*1.2)</f>
        <v>21.599999999999998</v>
      </c>
      <c r="G352" s="175"/>
      <c r="H352" s="326"/>
    </row>
    <row r="353" spans="1:8" ht="15" x14ac:dyDescent="0.2">
      <c r="A353" s="86"/>
      <c r="B353" s="401"/>
      <c r="C353" s="269"/>
      <c r="D353" s="270"/>
      <c r="F353" s="73"/>
      <c r="G353" s="60"/>
      <c r="H353" s="322"/>
    </row>
    <row r="354" spans="1:8" ht="15" x14ac:dyDescent="0.2">
      <c r="A354" s="86"/>
      <c r="B354" s="401"/>
      <c r="C354" s="269"/>
      <c r="D354" s="270"/>
      <c r="E354" s="75"/>
      <c r="F354" s="113"/>
      <c r="G354" s="60"/>
      <c r="H354" s="322"/>
    </row>
    <row r="355" spans="1:8" ht="25.5" x14ac:dyDescent="0.2">
      <c r="A355" s="86"/>
      <c r="B355" s="401"/>
      <c r="C355" s="269"/>
      <c r="D355" s="171" t="s">
        <v>451</v>
      </c>
      <c r="E355" s="259" t="s">
        <v>452</v>
      </c>
      <c r="F355" s="207"/>
      <c r="G355" s="173" t="s">
        <v>12</v>
      </c>
      <c r="H355" s="326">
        <f>F358</f>
        <v>78.771899999999988</v>
      </c>
    </row>
    <row r="356" spans="1:8" ht="15" x14ac:dyDescent="0.2">
      <c r="A356" s="86"/>
      <c r="B356" s="401"/>
      <c r="C356" s="269"/>
      <c r="D356" s="261"/>
      <c r="E356" s="178" t="s">
        <v>708</v>
      </c>
      <c r="F356" s="73">
        <f>19.96*(1.7+0.41+0.53)</f>
        <v>52.694399999999995</v>
      </c>
      <c r="G356" s="175"/>
      <c r="H356" s="326"/>
    </row>
    <row r="357" spans="1:8" ht="15" x14ac:dyDescent="0.2">
      <c r="A357" s="86"/>
      <c r="B357" s="401"/>
      <c r="C357" s="269"/>
      <c r="D357" s="261"/>
      <c r="E357" s="178" t="s">
        <v>709</v>
      </c>
      <c r="F357" s="248">
        <f>14.25*(1.3+0.38+0.15)</f>
        <v>26.077500000000001</v>
      </c>
      <c r="G357" s="175"/>
      <c r="H357" s="326"/>
    </row>
    <row r="358" spans="1:8" ht="15" x14ac:dyDescent="0.2">
      <c r="A358" s="86"/>
      <c r="B358" s="401"/>
      <c r="C358" s="269"/>
      <c r="D358" s="261"/>
      <c r="E358" s="177"/>
      <c r="F358" s="73">
        <f>SUM(F356:F357)</f>
        <v>78.771899999999988</v>
      </c>
      <c r="G358" s="175"/>
      <c r="H358" s="326"/>
    </row>
    <row r="359" spans="1:8" ht="15" x14ac:dyDescent="0.2">
      <c r="A359" s="86"/>
      <c r="B359" s="401"/>
      <c r="C359" s="269"/>
      <c r="D359" s="261"/>
      <c r="E359" s="197" t="s">
        <v>298</v>
      </c>
      <c r="F359" s="73">
        <f>F349+F352+F358</f>
        <v>221.15690000000001</v>
      </c>
      <c r="G359" s="175"/>
      <c r="H359" s="326"/>
    </row>
    <row r="360" spans="1:8" ht="13.5" thickBot="1" x14ac:dyDescent="0.25">
      <c r="A360" s="153"/>
      <c r="B360" s="154"/>
      <c r="C360" s="155"/>
      <c r="D360" s="155"/>
      <c r="E360" s="156"/>
      <c r="F360" s="241"/>
      <c r="G360" s="155"/>
      <c r="H360" s="329"/>
    </row>
    <row r="363" spans="1:8" ht="15.75" customHeight="1" x14ac:dyDescent="0.2">
      <c r="B363" s="402"/>
      <c r="C363" s="403"/>
      <c r="D363" s="403"/>
      <c r="G363" s="403"/>
      <c r="H363" s="404"/>
    </row>
  </sheetData>
  <mergeCells count="4">
    <mergeCell ref="A4:C4"/>
    <mergeCell ref="E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  <rowBreaks count="3" manualBreakCount="3">
    <brk id="140" max="7" man="1"/>
    <brk id="183" max="7" man="1"/>
    <brk id="29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5"/>
  <dimension ref="A1:Q10"/>
  <sheetViews>
    <sheetView view="pageBreakPreview" zoomScale="110" zoomScaleNormal="120" zoomScaleSheetLayoutView="110" workbookViewId="0">
      <pane ySplit="4" topLeftCell="A5" activePane="bottomLeft" state="frozen"/>
      <selection pane="bottomLeft" activeCell="G7" sqref="G7:H7"/>
    </sheetView>
  </sheetViews>
  <sheetFormatPr defaultRowHeight="12.75" x14ac:dyDescent="0.2"/>
  <cols>
    <col min="1" max="1" width="2.5703125" style="128" customWidth="1"/>
    <col min="2" max="2" width="4.7109375" style="8" customWidth="1"/>
    <col min="3" max="3" width="11.140625" style="8" customWidth="1"/>
    <col min="4" max="4" width="9.5703125" style="128" bestFit="1" customWidth="1"/>
    <col min="5" max="5" width="11" style="128" customWidth="1"/>
    <col min="6" max="6" width="54.28515625" style="128" customWidth="1"/>
    <col min="7" max="7" width="16.28515625" style="464" customWidth="1"/>
    <col min="8" max="8" width="5" style="128" bestFit="1" customWidth="1"/>
    <col min="9" max="9" width="9.85546875" style="462" customWidth="1"/>
    <col min="10" max="10" width="14.85546875" style="120" customWidth="1"/>
    <col min="11" max="11" width="15.28515625" style="299" customWidth="1"/>
    <col min="12" max="12" width="4.140625" style="128" customWidth="1"/>
    <col min="13" max="16384" width="9.140625" style="128"/>
  </cols>
  <sheetData>
    <row r="1" spans="1:17" ht="25.5" customHeight="1" x14ac:dyDescent="0.2">
      <c r="B1" s="33" t="s">
        <v>626</v>
      </c>
      <c r="F1" s="971" t="s">
        <v>759</v>
      </c>
      <c r="G1" s="971"/>
      <c r="H1" s="971"/>
      <c r="I1" s="971"/>
    </row>
    <row r="2" spans="1:17" ht="15" customHeight="1" x14ac:dyDescent="0.2">
      <c r="B2" s="33" t="s">
        <v>149</v>
      </c>
      <c r="C2" s="33"/>
      <c r="D2" s="34"/>
      <c r="E2" s="35"/>
      <c r="F2" s="971" t="s">
        <v>760</v>
      </c>
      <c r="G2" s="971"/>
      <c r="H2" s="37"/>
      <c r="I2" s="461"/>
    </row>
    <row r="3" spans="1:17" ht="6" customHeight="1" x14ac:dyDescent="0.2">
      <c r="B3" s="33"/>
      <c r="C3" s="33"/>
      <c r="D3" s="34"/>
      <c r="E3" s="35"/>
      <c r="F3" s="460"/>
      <c r="G3" s="460"/>
      <c r="H3" s="37"/>
      <c r="I3" s="461"/>
    </row>
    <row r="4" spans="1:17" ht="15" customHeight="1" x14ac:dyDescent="0.2">
      <c r="B4" s="465" t="s">
        <v>876</v>
      </c>
      <c r="C4" s="465"/>
      <c r="D4" s="34"/>
      <c r="E4" s="35"/>
      <c r="F4" s="460"/>
      <c r="G4" s="460"/>
      <c r="H4" s="37"/>
      <c r="I4" s="461"/>
    </row>
    <row r="5" spans="1:17" s="120" customFormat="1" ht="15.75" customHeight="1" thickBot="1" x14ac:dyDescent="0.25">
      <c r="A5" s="128"/>
      <c r="B5" s="128"/>
      <c r="C5" s="128"/>
      <c r="D5" s="128"/>
      <c r="E5" s="128"/>
      <c r="F5" s="128"/>
      <c r="G5" s="242"/>
      <c r="H5" s="128"/>
      <c r="I5" s="330"/>
      <c r="K5" s="299"/>
      <c r="L5" s="128"/>
      <c r="M5" s="128"/>
      <c r="N5" s="128"/>
      <c r="O5" s="128"/>
      <c r="P5" s="128"/>
      <c r="Q5" s="128"/>
    </row>
    <row r="6" spans="1:17" x14ac:dyDescent="0.2">
      <c r="B6" s="973" t="s">
        <v>877</v>
      </c>
      <c r="C6" s="974"/>
      <c r="D6" s="974" t="s">
        <v>878</v>
      </c>
      <c r="E6" s="974"/>
      <c r="F6" s="466" t="s">
        <v>879</v>
      </c>
      <c r="G6" s="975" t="s">
        <v>880</v>
      </c>
      <c r="H6" s="975"/>
      <c r="I6" s="976" t="s">
        <v>881</v>
      </c>
      <c r="J6" s="976"/>
      <c r="K6" s="467" t="s">
        <v>882</v>
      </c>
    </row>
    <row r="7" spans="1:17" x14ac:dyDescent="0.2">
      <c r="B7" s="977" t="s">
        <v>884</v>
      </c>
      <c r="C7" s="978"/>
      <c r="D7" s="350"/>
      <c r="E7" s="350"/>
      <c r="F7" s="468" t="s">
        <v>760</v>
      </c>
      <c r="G7" s="979">
        <f>'03_CastiStavby'!K59</f>
        <v>0</v>
      </c>
      <c r="H7" s="979"/>
      <c r="I7" s="980">
        <f>G7*0.2</f>
        <v>0</v>
      </c>
      <c r="J7" s="980"/>
      <c r="K7" s="469">
        <f>SUM(G7:J7)</f>
        <v>0</v>
      </c>
    </row>
    <row r="8" spans="1:17" ht="13.5" thickBot="1" x14ac:dyDescent="0.25">
      <c r="B8" s="981" t="s">
        <v>883</v>
      </c>
      <c r="C8" s="982"/>
      <c r="D8" s="470"/>
      <c r="E8" s="470"/>
      <c r="F8" s="470"/>
      <c r="G8" s="983">
        <f>G7</f>
        <v>0</v>
      </c>
      <c r="H8" s="983"/>
      <c r="I8" s="972">
        <f>I7</f>
        <v>0</v>
      </c>
      <c r="J8" s="972"/>
      <c r="K8" s="471">
        <f>K7</f>
        <v>0</v>
      </c>
    </row>
    <row r="9" spans="1:17" x14ac:dyDescent="0.2">
      <c r="B9" s="128"/>
      <c r="C9" s="128"/>
      <c r="G9" s="242"/>
      <c r="I9" s="330"/>
    </row>
    <row r="10" spans="1:17" x14ac:dyDescent="0.2">
      <c r="B10" s="128"/>
      <c r="C10" s="128"/>
      <c r="G10" s="242"/>
      <c r="I10" s="330"/>
    </row>
  </sheetData>
  <sheetProtection algorithmName="SHA-512" hashValue="25+gMetSMvd2CcKRbfaT90H67Qbz1eAYy7aguJhvrJ738fAb5gJUCsFqJC2EzSOrmTEt7YP75YfPsRONgs0O4g==" saltValue="J6EAYZpvtJrGJ2Lm6tyUnA==" spinCount="100000" sheet="1" objects="1" scenarios="1"/>
  <mergeCells count="12">
    <mergeCell ref="F1:I1"/>
    <mergeCell ref="F2:G2"/>
    <mergeCell ref="I8:J8"/>
    <mergeCell ref="B6:C6"/>
    <mergeCell ref="D6:E6"/>
    <mergeCell ref="G6:H6"/>
    <mergeCell ref="I6:J6"/>
    <mergeCell ref="B7:C7"/>
    <mergeCell ref="G7:H7"/>
    <mergeCell ref="I7:J7"/>
    <mergeCell ref="B8:C8"/>
    <mergeCell ref="G8:H8"/>
  </mergeCells>
  <printOptions horizontalCentered="1"/>
  <pageMargins left="0.31496062992125984" right="0.31496062992125984" top="0.74803149606299213" bottom="0.74803149606299213" header="0.11811023622047245" footer="0.11811023622047245"/>
  <pageSetup paperSize="9" scale="8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990E-4B40-4C82-9C99-CAB74B70066B}">
  <sheetPr codeName="Hárok6"/>
  <dimension ref="B1:P62"/>
  <sheetViews>
    <sheetView view="pageBreakPreview" zoomScale="130" zoomScaleNormal="120" zoomScaleSheetLayoutView="130" workbookViewId="0">
      <pane ySplit="7" topLeftCell="A8" activePane="bottomLeft" state="frozen"/>
      <selection pane="bottomLeft" activeCell="E16" sqref="E16:F16"/>
    </sheetView>
  </sheetViews>
  <sheetFormatPr defaultRowHeight="12.75" x14ac:dyDescent="0.2"/>
  <cols>
    <col min="1" max="1" width="2.5703125" style="559" customWidth="1"/>
    <col min="2" max="2" width="24.7109375" style="558" customWidth="1"/>
    <col min="3" max="3" width="9.7109375" style="558" customWidth="1"/>
    <col min="4" max="4" width="9.7109375" style="559" customWidth="1"/>
    <col min="5" max="5" width="54.28515625" style="559" customWidth="1"/>
    <col min="6" max="6" width="13" style="905" bestFit="1" customWidth="1"/>
    <col min="7" max="7" width="5" style="559" bestFit="1" customWidth="1"/>
    <col min="8" max="8" width="9.85546875" style="907" customWidth="1"/>
    <col min="9" max="9" width="0.85546875" style="560" customWidth="1"/>
    <col min="10" max="10" width="17.28515625" style="561" customWidth="1"/>
    <col min="11" max="16384" width="9.140625" style="559"/>
  </cols>
  <sheetData>
    <row r="1" spans="2:16" s="560" customFormat="1" ht="25.5" customHeight="1" x14ac:dyDescent="0.2">
      <c r="B1" s="557" t="s">
        <v>626</v>
      </c>
      <c r="C1" s="558"/>
      <c r="D1" s="559"/>
      <c r="E1" s="1036" t="s">
        <v>759</v>
      </c>
      <c r="F1" s="1036"/>
      <c r="G1" s="1036"/>
      <c r="H1" s="1036"/>
      <c r="J1" s="561"/>
      <c r="K1" s="559"/>
      <c r="L1" s="559"/>
      <c r="M1" s="559"/>
      <c r="N1" s="559"/>
      <c r="O1" s="559"/>
      <c r="P1" s="559"/>
    </row>
    <row r="2" spans="2:16" s="560" customFormat="1" ht="15" customHeight="1" x14ac:dyDescent="0.2">
      <c r="B2" s="557" t="s">
        <v>149</v>
      </c>
      <c r="C2" s="557"/>
      <c r="D2" s="562"/>
      <c r="E2" s="1036" t="s">
        <v>760</v>
      </c>
      <c r="F2" s="1036"/>
      <c r="G2" s="563"/>
      <c r="H2" s="564"/>
      <c r="J2" s="561"/>
      <c r="K2" s="559"/>
      <c r="L2" s="559"/>
      <c r="M2" s="559"/>
      <c r="N2" s="559"/>
      <c r="O2" s="559"/>
      <c r="P2" s="559"/>
    </row>
    <row r="3" spans="2:16" s="560" customFormat="1" ht="6" customHeight="1" x14ac:dyDescent="0.2">
      <c r="B3" s="557"/>
      <c r="C3" s="557"/>
      <c r="D3" s="562"/>
      <c r="E3" s="565"/>
      <c r="F3" s="565"/>
      <c r="G3" s="563"/>
      <c r="H3" s="564"/>
      <c r="J3" s="561"/>
      <c r="K3" s="559"/>
      <c r="L3" s="559"/>
      <c r="M3" s="559"/>
      <c r="N3" s="559"/>
      <c r="O3" s="559"/>
      <c r="P3" s="559"/>
    </row>
    <row r="4" spans="2:16" s="560" customFormat="1" ht="15" customHeight="1" x14ac:dyDescent="0.2">
      <c r="B4" s="566" t="s">
        <v>885</v>
      </c>
      <c r="C4" s="566"/>
      <c r="D4" s="562"/>
      <c r="E4" s="565"/>
      <c r="F4" s="565"/>
      <c r="G4" s="563"/>
      <c r="H4" s="564"/>
      <c r="J4" s="561"/>
      <c r="K4" s="559"/>
      <c r="L4" s="559"/>
      <c r="M4" s="559"/>
      <c r="N4" s="559"/>
      <c r="O4" s="559"/>
      <c r="P4" s="559"/>
    </row>
    <row r="5" spans="2:16" s="560" customFormat="1" ht="13.5" thickBot="1" x14ac:dyDescent="0.25">
      <c r="B5" s="567"/>
      <c r="C5" s="557"/>
      <c r="D5" s="562"/>
      <c r="E5" s="568"/>
      <c r="F5" s="569"/>
      <c r="G5" s="570"/>
      <c r="H5" s="564"/>
      <c r="J5" s="561"/>
      <c r="K5" s="559"/>
      <c r="L5" s="559"/>
      <c r="M5" s="559"/>
      <c r="N5" s="559"/>
      <c r="O5" s="559"/>
      <c r="P5" s="559"/>
    </row>
    <row r="6" spans="2:16" s="560" customFormat="1" x14ac:dyDescent="0.2">
      <c r="B6" s="1030" t="s">
        <v>886</v>
      </c>
      <c r="C6" s="1032" t="s">
        <v>889</v>
      </c>
      <c r="D6" s="1033"/>
      <c r="E6" s="1032" t="s">
        <v>888</v>
      </c>
      <c r="F6" s="1033"/>
      <c r="G6" s="1037" t="s">
        <v>153</v>
      </c>
      <c r="H6" s="1039" t="s">
        <v>154</v>
      </c>
      <c r="I6" s="571"/>
      <c r="J6" s="1028" t="s">
        <v>887</v>
      </c>
      <c r="K6" s="559"/>
      <c r="L6" s="559"/>
      <c r="M6" s="559"/>
      <c r="N6" s="559"/>
      <c r="O6" s="559"/>
      <c r="P6" s="559"/>
    </row>
    <row r="7" spans="2:16" s="560" customFormat="1" x14ac:dyDescent="0.2">
      <c r="B7" s="1031"/>
      <c r="C7" s="1034"/>
      <c r="D7" s="1035"/>
      <c r="E7" s="1034"/>
      <c r="F7" s="1035"/>
      <c r="G7" s="1038"/>
      <c r="H7" s="1040"/>
      <c r="I7" s="572"/>
      <c r="J7" s="1029"/>
      <c r="K7" s="559"/>
      <c r="L7" s="559"/>
      <c r="M7" s="559"/>
      <c r="N7" s="559"/>
      <c r="O7" s="559"/>
      <c r="P7" s="559"/>
    </row>
    <row r="8" spans="2:16" s="560" customFormat="1" ht="15.95" customHeight="1" x14ac:dyDescent="0.2">
      <c r="B8" s="1027" t="s">
        <v>890</v>
      </c>
      <c r="C8" s="573" t="s">
        <v>891</v>
      </c>
      <c r="D8" s="574" t="s">
        <v>731</v>
      </c>
      <c r="E8" s="985" t="s">
        <v>732</v>
      </c>
      <c r="F8" s="985"/>
      <c r="G8" s="575" t="s">
        <v>5</v>
      </c>
      <c r="H8" s="576">
        <f>'04_PopisPoloziek'!I11</f>
        <v>142.30199999999999</v>
      </c>
      <c r="I8" s="577"/>
      <c r="J8" s="551"/>
      <c r="K8" s="559"/>
      <c r="L8" s="559"/>
      <c r="M8" s="559"/>
      <c r="N8" s="559"/>
      <c r="O8" s="559"/>
      <c r="P8" s="559"/>
    </row>
    <row r="9" spans="2:16" s="560" customFormat="1" ht="15.95" customHeight="1" x14ac:dyDescent="0.2">
      <c r="B9" s="1027"/>
      <c r="C9" s="573" t="s">
        <v>891</v>
      </c>
      <c r="D9" s="574" t="s">
        <v>733</v>
      </c>
      <c r="E9" s="985" t="s">
        <v>734</v>
      </c>
      <c r="F9" s="985"/>
      <c r="G9" s="575" t="s">
        <v>51</v>
      </c>
      <c r="H9" s="576">
        <f>'04_PopisPoloziek'!I13</f>
        <v>127.687</v>
      </c>
      <c r="I9" s="577"/>
      <c r="J9" s="551"/>
      <c r="K9" s="559"/>
      <c r="L9" s="559"/>
      <c r="M9" s="559"/>
      <c r="N9" s="559"/>
      <c r="O9" s="559"/>
      <c r="P9" s="559"/>
    </row>
    <row r="10" spans="2:16" s="560" customFormat="1" ht="15.95" customHeight="1" x14ac:dyDescent="0.2">
      <c r="B10" s="1027"/>
      <c r="C10" s="573" t="s">
        <v>891</v>
      </c>
      <c r="D10" s="574" t="s">
        <v>735</v>
      </c>
      <c r="E10" s="985" t="s">
        <v>736</v>
      </c>
      <c r="F10" s="985"/>
      <c r="G10" s="575" t="s">
        <v>51</v>
      </c>
      <c r="H10" s="576">
        <f>'04_PopisPoloziek'!I15</f>
        <v>6</v>
      </c>
      <c r="I10" s="577"/>
      <c r="J10" s="551"/>
      <c r="K10" s="559"/>
      <c r="L10" s="559"/>
      <c r="M10" s="559"/>
      <c r="N10" s="559"/>
      <c r="O10" s="559"/>
      <c r="P10" s="559"/>
    </row>
    <row r="11" spans="2:16" ht="15.95" customHeight="1" x14ac:dyDescent="0.2">
      <c r="B11" s="1027"/>
      <c r="C11" s="573" t="s">
        <v>891</v>
      </c>
      <c r="D11" s="578" t="s">
        <v>737</v>
      </c>
      <c r="E11" s="986" t="s">
        <v>738</v>
      </c>
      <c r="F11" s="986"/>
      <c r="G11" s="579" t="s">
        <v>543</v>
      </c>
      <c r="H11" s="576">
        <f>'04_PopisPoloziek'!I17</f>
        <v>1</v>
      </c>
      <c r="I11" s="577"/>
      <c r="J11" s="551"/>
    </row>
    <row r="12" spans="2:16" ht="24" customHeight="1" x14ac:dyDescent="0.2">
      <c r="B12" s="1027"/>
      <c r="C12" s="573" t="s">
        <v>891</v>
      </c>
      <c r="D12" s="578" t="s">
        <v>742</v>
      </c>
      <c r="E12" s="986" t="s">
        <v>750</v>
      </c>
      <c r="F12" s="986"/>
      <c r="G12" s="579" t="s">
        <v>543</v>
      </c>
      <c r="H12" s="576">
        <f>'04_PopisPoloziek'!I22</f>
        <v>1</v>
      </c>
      <c r="I12" s="577"/>
      <c r="J12" s="551"/>
    </row>
    <row r="13" spans="2:16" ht="15.95" customHeight="1" thickBot="1" x14ac:dyDescent="0.25">
      <c r="B13" s="1027"/>
      <c r="C13" s="573" t="s">
        <v>891</v>
      </c>
      <c r="D13" s="580" t="s">
        <v>743</v>
      </c>
      <c r="E13" s="1005" t="s">
        <v>744</v>
      </c>
      <c r="F13" s="1005"/>
      <c r="G13" s="581" t="s">
        <v>543</v>
      </c>
      <c r="H13" s="582">
        <f>'04_PopisPoloziek'!I24</f>
        <v>3</v>
      </c>
      <c r="I13" s="583"/>
      <c r="J13" s="552"/>
    </row>
    <row r="14" spans="2:16" ht="15.95" customHeight="1" x14ac:dyDescent="0.2">
      <c r="B14" s="998" t="s">
        <v>892</v>
      </c>
      <c r="C14" s="584" t="s">
        <v>288</v>
      </c>
      <c r="D14" s="585" t="s">
        <v>832</v>
      </c>
      <c r="E14" s="1017" t="s">
        <v>833</v>
      </c>
      <c r="F14" s="1018"/>
      <c r="G14" s="586" t="s">
        <v>51</v>
      </c>
      <c r="H14" s="587">
        <f>'04_PopisPoloziek'!I31</f>
        <v>47.2104</v>
      </c>
      <c r="I14" s="588"/>
      <c r="J14" s="553"/>
    </row>
    <row r="15" spans="2:16" s="908" customFormat="1" ht="24" customHeight="1" x14ac:dyDescent="0.2">
      <c r="B15" s="999"/>
      <c r="C15" s="589" t="s">
        <v>288</v>
      </c>
      <c r="D15" s="574" t="s">
        <v>836</v>
      </c>
      <c r="E15" s="985" t="s">
        <v>837</v>
      </c>
      <c r="F15" s="985"/>
      <c r="G15" s="575" t="s">
        <v>51</v>
      </c>
      <c r="H15" s="576">
        <f>'04_PopisPoloziek'!I38</f>
        <v>12.08216</v>
      </c>
      <c r="I15" s="590"/>
      <c r="J15" s="554"/>
    </row>
    <row r="16" spans="2:16" ht="24" customHeight="1" x14ac:dyDescent="0.2">
      <c r="B16" s="999"/>
      <c r="C16" s="589" t="s">
        <v>288</v>
      </c>
      <c r="D16" s="574" t="s">
        <v>313</v>
      </c>
      <c r="E16" s="986" t="s">
        <v>314</v>
      </c>
      <c r="F16" s="986"/>
      <c r="G16" s="575" t="s">
        <v>12</v>
      </c>
      <c r="H16" s="576">
        <f>'04_PopisPoloziek'!I46</f>
        <v>467.51120000000003</v>
      </c>
      <c r="I16" s="591"/>
      <c r="J16" s="554"/>
    </row>
    <row r="17" spans="2:15" x14ac:dyDescent="0.2">
      <c r="B17" s="999"/>
      <c r="C17" s="589" t="s">
        <v>288</v>
      </c>
      <c r="D17" s="574" t="s">
        <v>546</v>
      </c>
      <c r="E17" s="1021" t="s">
        <v>547</v>
      </c>
      <c r="F17" s="1022"/>
      <c r="G17" s="575" t="s">
        <v>548</v>
      </c>
      <c r="H17" s="576">
        <f>'04_PopisPoloziek'!I55</f>
        <v>21500</v>
      </c>
      <c r="I17" s="592"/>
      <c r="J17" s="554"/>
    </row>
    <row r="18" spans="2:15" ht="13.5" thickBot="1" x14ac:dyDescent="0.25">
      <c r="B18" s="1000"/>
      <c r="C18" s="593" t="s">
        <v>288</v>
      </c>
      <c r="D18" s="594" t="s">
        <v>309</v>
      </c>
      <c r="E18" s="1025" t="s">
        <v>874</v>
      </c>
      <c r="F18" s="1026"/>
      <c r="G18" s="595" t="s">
        <v>5</v>
      </c>
      <c r="H18" s="596">
        <f>'04_PopisPoloziek'!I61</f>
        <v>142.30199999999999</v>
      </c>
      <c r="I18" s="597"/>
      <c r="J18" s="555"/>
    </row>
    <row r="19" spans="2:15" s="560" customFormat="1" ht="15.95" customHeight="1" x14ac:dyDescent="0.2">
      <c r="B19" s="1009" t="s">
        <v>893</v>
      </c>
      <c r="C19" s="598" t="s">
        <v>322</v>
      </c>
      <c r="D19" s="599" t="s">
        <v>324</v>
      </c>
      <c r="E19" s="1013" t="s">
        <v>325</v>
      </c>
      <c r="F19" s="1014"/>
      <c r="G19" s="600" t="s">
        <v>12</v>
      </c>
      <c r="H19" s="587">
        <f>'04_PopisPoloziek'!I67</f>
        <v>40</v>
      </c>
      <c r="J19" s="553"/>
    </row>
    <row r="20" spans="2:15" s="560" customFormat="1" ht="15.95" customHeight="1" thickBot="1" x14ac:dyDescent="0.25">
      <c r="B20" s="1010"/>
      <c r="C20" s="601" t="s">
        <v>322</v>
      </c>
      <c r="D20" s="602" t="s">
        <v>329</v>
      </c>
      <c r="E20" s="1015" t="s">
        <v>330</v>
      </c>
      <c r="F20" s="1016"/>
      <c r="G20" s="603" t="s">
        <v>12</v>
      </c>
      <c r="H20" s="596">
        <f>'04_PopisPoloziek'!I71</f>
        <v>60</v>
      </c>
      <c r="J20" s="555"/>
    </row>
    <row r="21" spans="2:15" s="560" customFormat="1" ht="15.95" customHeight="1" x14ac:dyDescent="0.2">
      <c r="B21" s="998" t="s">
        <v>894</v>
      </c>
      <c r="C21" s="598" t="s">
        <v>895</v>
      </c>
      <c r="D21" s="585" t="s">
        <v>557</v>
      </c>
      <c r="E21" s="1017" t="s">
        <v>558</v>
      </c>
      <c r="F21" s="1018"/>
      <c r="G21" s="586" t="s">
        <v>51</v>
      </c>
      <c r="H21" s="587">
        <f>'04_PopisPoloziek'!I77</f>
        <v>2.3400000000000003</v>
      </c>
      <c r="J21" s="553"/>
    </row>
    <row r="22" spans="2:15" s="560" customFormat="1" ht="15.95" customHeight="1" x14ac:dyDescent="0.2">
      <c r="B22" s="999"/>
      <c r="C22" s="604" t="s">
        <v>895</v>
      </c>
      <c r="D22" s="574" t="s">
        <v>755</v>
      </c>
      <c r="E22" s="1019" t="s">
        <v>756</v>
      </c>
      <c r="F22" s="1020"/>
      <c r="G22" s="575" t="s">
        <v>51</v>
      </c>
      <c r="H22" s="576">
        <f>'04_PopisPoloziek'!I81</f>
        <v>45</v>
      </c>
      <c r="J22" s="554"/>
    </row>
    <row r="23" spans="2:15" s="560" customFormat="1" ht="15.95" customHeight="1" x14ac:dyDescent="0.2">
      <c r="B23" s="999"/>
      <c r="C23" s="605" t="s">
        <v>895</v>
      </c>
      <c r="D23" s="574" t="s">
        <v>704</v>
      </c>
      <c r="E23" s="1021" t="s">
        <v>705</v>
      </c>
      <c r="F23" s="1022"/>
      <c r="G23" s="575" t="s">
        <v>51</v>
      </c>
      <c r="H23" s="576">
        <f>'04_PopisPoloziek'!I85</f>
        <v>108</v>
      </c>
      <c r="J23" s="554"/>
    </row>
    <row r="24" spans="2:15" s="560" customFormat="1" ht="15.95" customHeight="1" x14ac:dyDescent="0.2">
      <c r="B24" s="999"/>
      <c r="C24" s="606" t="s">
        <v>895</v>
      </c>
      <c r="D24" s="574" t="s">
        <v>169</v>
      </c>
      <c r="E24" s="1019" t="s">
        <v>170</v>
      </c>
      <c r="F24" s="1020"/>
      <c r="G24" s="575" t="s">
        <v>51</v>
      </c>
      <c r="H24" s="576">
        <f>'04_PopisPoloziek'!I90</f>
        <v>3.2000000000000006</v>
      </c>
      <c r="J24" s="554"/>
    </row>
    <row r="25" spans="2:15" s="560" customFormat="1" ht="15.95" customHeight="1" x14ac:dyDescent="0.2">
      <c r="B25" s="999"/>
      <c r="C25" s="606" t="s">
        <v>895</v>
      </c>
      <c r="D25" s="574" t="s">
        <v>867</v>
      </c>
      <c r="E25" s="1019" t="s">
        <v>868</v>
      </c>
      <c r="F25" s="1020"/>
      <c r="G25" s="575" t="s">
        <v>51</v>
      </c>
      <c r="H25" s="576">
        <f>'04_PopisPoloziek'!I97</f>
        <v>14.146999999999998</v>
      </c>
      <c r="J25" s="554"/>
    </row>
    <row r="26" spans="2:15" s="770" customFormat="1" ht="15.95" customHeight="1" thickBot="1" x14ac:dyDescent="0.25">
      <c r="B26" s="1000"/>
      <c r="C26" s="607" t="s">
        <v>895</v>
      </c>
      <c r="D26" s="594" t="s">
        <v>173</v>
      </c>
      <c r="E26" s="1023" t="s">
        <v>174</v>
      </c>
      <c r="F26" s="1024"/>
      <c r="G26" s="595" t="s">
        <v>12</v>
      </c>
      <c r="H26" s="596">
        <f>'04_PopisPoloziek'!I105</f>
        <v>350</v>
      </c>
      <c r="I26" s="608"/>
      <c r="J26" s="555"/>
    </row>
    <row r="27" spans="2:15" s="558" customFormat="1" ht="15.95" customHeight="1" thickBot="1" x14ac:dyDescent="0.25">
      <c r="B27" s="609" t="s">
        <v>896</v>
      </c>
      <c r="C27" s="610" t="s">
        <v>178</v>
      </c>
      <c r="D27" s="611" t="s">
        <v>161</v>
      </c>
      <c r="E27" s="1011" t="s">
        <v>162</v>
      </c>
      <c r="F27" s="1012"/>
      <c r="G27" s="612" t="s">
        <v>51</v>
      </c>
      <c r="H27" s="613">
        <f>'04_PopisPoloziek'!I113</f>
        <v>127.687</v>
      </c>
      <c r="I27" s="614"/>
      <c r="J27" s="556"/>
    </row>
    <row r="28" spans="2:15" s="558" customFormat="1" ht="24" customHeight="1" thickBot="1" x14ac:dyDescent="0.25">
      <c r="B28" s="615" t="s">
        <v>897</v>
      </c>
      <c r="C28" s="616" t="s">
        <v>802</v>
      </c>
      <c r="D28" s="611" t="s">
        <v>804</v>
      </c>
      <c r="E28" s="1011" t="s">
        <v>805</v>
      </c>
      <c r="F28" s="1012"/>
      <c r="G28" s="612" t="s">
        <v>25</v>
      </c>
      <c r="H28" s="613">
        <f>'04_PopisPoloziek'!I122</f>
        <v>1358.4</v>
      </c>
      <c r="I28" s="560"/>
      <c r="J28" s="556"/>
    </row>
    <row r="29" spans="2:15" ht="15.95" customHeight="1" x14ac:dyDescent="0.2">
      <c r="B29" s="987" t="s">
        <v>904</v>
      </c>
      <c r="C29" s="598" t="s">
        <v>156</v>
      </c>
      <c r="D29" s="617" t="s">
        <v>94</v>
      </c>
      <c r="E29" s="995" t="s">
        <v>95</v>
      </c>
      <c r="F29" s="995"/>
      <c r="G29" s="618" t="s">
        <v>51</v>
      </c>
      <c r="H29" s="587">
        <f>'04_PopisPoloziek'!I132</f>
        <v>33.405120000000004</v>
      </c>
      <c r="I29" s="619"/>
      <c r="J29" s="553"/>
    </row>
    <row r="30" spans="2:15" s="560" customFormat="1" ht="15.95" customHeight="1" x14ac:dyDescent="0.2">
      <c r="B30" s="994"/>
      <c r="C30" s="605" t="s">
        <v>156</v>
      </c>
      <c r="D30" s="574" t="s">
        <v>96</v>
      </c>
      <c r="E30" s="986" t="s">
        <v>97</v>
      </c>
      <c r="F30" s="986"/>
      <c r="G30" s="575" t="s">
        <v>12</v>
      </c>
      <c r="H30" s="576">
        <f>'04_PopisPoloziek'!I136</f>
        <v>74.319000000000003</v>
      </c>
      <c r="I30" s="619"/>
      <c r="J30" s="554"/>
      <c r="K30" s="559"/>
      <c r="L30" s="559"/>
      <c r="M30" s="559"/>
      <c r="N30" s="559"/>
      <c r="O30" s="559"/>
    </row>
    <row r="31" spans="2:15" s="560" customFormat="1" ht="15.95" customHeight="1" x14ac:dyDescent="0.2">
      <c r="B31" s="994"/>
      <c r="C31" s="605" t="s">
        <v>156</v>
      </c>
      <c r="D31" s="574" t="s">
        <v>100</v>
      </c>
      <c r="E31" s="986" t="s">
        <v>101</v>
      </c>
      <c r="F31" s="986"/>
      <c r="G31" s="575" t="s">
        <v>5</v>
      </c>
      <c r="H31" s="576">
        <f>'04_PopisPoloziek'!I140</f>
        <v>1.7034</v>
      </c>
      <c r="I31" s="619"/>
      <c r="J31" s="554"/>
      <c r="K31" s="559"/>
      <c r="L31" s="559"/>
      <c r="M31" s="559"/>
      <c r="N31" s="559"/>
      <c r="O31" s="559"/>
    </row>
    <row r="32" spans="2:15" s="561" customFormat="1" ht="15.95" customHeight="1" x14ac:dyDescent="0.2">
      <c r="B32" s="994"/>
      <c r="C32" s="605" t="s">
        <v>156</v>
      </c>
      <c r="D32" s="574" t="s">
        <v>104</v>
      </c>
      <c r="E32" s="985" t="s">
        <v>105</v>
      </c>
      <c r="F32" s="985"/>
      <c r="G32" s="575" t="s">
        <v>51</v>
      </c>
      <c r="H32" s="576">
        <f>'04_PopisPoloziek'!I146</f>
        <v>10.494</v>
      </c>
      <c r="I32" s="619"/>
      <c r="J32" s="554"/>
      <c r="K32" s="559"/>
      <c r="L32" s="559"/>
      <c r="M32" s="559"/>
      <c r="N32" s="559"/>
      <c r="O32" s="559"/>
    </row>
    <row r="33" spans="2:15" s="561" customFormat="1" ht="15.95" customHeight="1" x14ac:dyDescent="0.2">
      <c r="B33" s="994"/>
      <c r="C33" s="605" t="s">
        <v>156</v>
      </c>
      <c r="D33" s="574" t="s">
        <v>110</v>
      </c>
      <c r="E33" s="985" t="s">
        <v>111</v>
      </c>
      <c r="F33" s="985"/>
      <c r="G33" s="575" t="s">
        <v>12</v>
      </c>
      <c r="H33" s="576">
        <f>'04_PopisPoloziek'!I154</f>
        <v>29.160000000000004</v>
      </c>
      <c r="I33" s="619"/>
      <c r="J33" s="554"/>
      <c r="K33" s="559"/>
      <c r="L33" s="559"/>
      <c r="M33" s="559"/>
      <c r="N33" s="559"/>
      <c r="O33" s="559"/>
    </row>
    <row r="34" spans="2:15" s="561" customFormat="1" ht="15.95" customHeight="1" x14ac:dyDescent="0.2">
      <c r="B34" s="994"/>
      <c r="C34" s="605" t="s">
        <v>156</v>
      </c>
      <c r="D34" s="574" t="s">
        <v>113</v>
      </c>
      <c r="E34" s="985" t="s">
        <v>182</v>
      </c>
      <c r="F34" s="985"/>
      <c r="G34" s="575" t="s">
        <v>5</v>
      </c>
      <c r="H34" s="576">
        <f>'04_PopisPoloziek'!I160</f>
        <v>2.7093800000000003</v>
      </c>
      <c r="I34" s="619"/>
      <c r="J34" s="554"/>
      <c r="K34" s="559"/>
      <c r="L34" s="559"/>
      <c r="M34" s="559"/>
      <c r="N34" s="559"/>
      <c r="O34" s="559"/>
    </row>
    <row r="35" spans="2:15" s="561" customFormat="1" ht="15.95" customHeight="1" x14ac:dyDescent="0.2">
      <c r="B35" s="994"/>
      <c r="C35" s="605" t="s">
        <v>156</v>
      </c>
      <c r="D35" s="574" t="s">
        <v>127</v>
      </c>
      <c r="E35" s="986" t="s">
        <v>128</v>
      </c>
      <c r="F35" s="986"/>
      <c r="G35" s="575" t="s">
        <v>51</v>
      </c>
      <c r="H35" s="576">
        <f>'04_PopisPoloziek'!I167</f>
        <v>1.2137500000000001</v>
      </c>
      <c r="I35" s="619"/>
      <c r="J35" s="554"/>
      <c r="K35" s="559"/>
      <c r="L35" s="559"/>
      <c r="M35" s="559"/>
      <c r="N35" s="559"/>
      <c r="O35" s="559"/>
    </row>
    <row r="36" spans="2:15" s="560" customFormat="1" ht="15.95" customHeight="1" x14ac:dyDescent="0.2">
      <c r="B36" s="994"/>
      <c r="C36" s="605" t="s">
        <v>156</v>
      </c>
      <c r="D36" s="574" t="s">
        <v>131</v>
      </c>
      <c r="E36" s="986" t="s">
        <v>184</v>
      </c>
      <c r="F36" s="986"/>
      <c r="G36" s="575" t="s">
        <v>12</v>
      </c>
      <c r="H36" s="576">
        <f>'04_PopisPoloziek'!I174</f>
        <v>5.8260000000000005</v>
      </c>
      <c r="I36" s="619"/>
      <c r="J36" s="554"/>
      <c r="K36" s="559"/>
      <c r="L36" s="559"/>
      <c r="M36" s="559"/>
      <c r="N36" s="559"/>
      <c r="O36" s="559"/>
    </row>
    <row r="37" spans="2:15" s="560" customFormat="1" ht="15.95" customHeight="1" x14ac:dyDescent="0.2">
      <c r="B37" s="994"/>
      <c r="C37" s="605" t="s">
        <v>156</v>
      </c>
      <c r="D37" s="574" t="s">
        <v>133</v>
      </c>
      <c r="E37" s="986" t="s">
        <v>186</v>
      </c>
      <c r="F37" s="986"/>
      <c r="G37" s="575" t="s">
        <v>5</v>
      </c>
      <c r="H37" s="576">
        <f>'04_PopisPoloziek'!I179</f>
        <v>0.20130000000000001</v>
      </c>
      <c r="I37" s="619"/>
      <c r="J37" s="554"/>
      <c r="K37" s="559"/>
      <c r="L37" s="559"/>
      <c r="M37" s="559"/>
      <c r="N37" s="559"/>
      <c r="O37" s="559"/>
    </row>
    <row r="38" spans="2:15" s="560" customFormat="1" ht="15.95" customHeight="1" x14ac:dyDescent="0.2">
      <c r="B38" s="994"/>
      <c r="C38" s="605" t="s">
        <v>156</v>
      </c>
      <c r="D38" s="574" t="s">
        <v>840</v>
      </c>
      <c r="E38" s="985" t="s">
        <v>841</v>
      </c>
      <c r="F38" s="985"/>
      <c r="G38" s="575" t="s">
        <v>51</v>
      </c>
      <c r="H38" s="576">
        <f>'04_PopisPoloziek'!I185</f>
        <v>73.073700000000017</v>
      </c>
      <c r="I38" s="619"/>
      <c r="J38" s="554"/>
      <c r="K38" s="559"/>
      <c r="L38" s="559"/>
      <c r="M38" s="559"/>
      <c r="N38" s="559"/>
      <c r="O38" s="559"/>
    </row>
    <row r="39" spans="2:15" s="560" customFormat="1" ht="15.95" customHeight="1" x14ac:dyDescent="0.2">
      <c r="B39" s="994"/>
      <c r="C39" s="605" t="s">
        <v>156</v>
      </c>
      <c r="D39" s="574" t="s">
        <v>716</v>
      </c>
      <c r="E39" s="986" t="s">
        <v>717</v>
      </c>
      <c r="F39" s="986"/>
      <c r="G39" s="575" t="s">
        <v>25</v>
      </c>
      <c r="H39" s="576">
        <f>'04_PopisPoloziek'!I190</f>
        <v>32</v>
      </c>
      <c r="I39" s="619"/>
      <c r="J39" s="554"/>
      <c r="K39" s="559"/>
      <c r="L39" s="559"/>
      <c r="M39" s="559"/>
      <c r="N39" s="559"/>
      <c r="O39" s="559"/>
    </row>
    <row r="40" spans="2:15" s="561" customFormat="1" ht="15.95" customHeight="1" x14ac:dyDescent="0.2">
      <c r="B40" s="994"/>
      <c r="C40" s="605" t="s">
        <v>156</v>
      </c>
      <c r="D40" s="574" t="s">
        <v>222</v>
      </c>
      <c r="E40" s="986" t="s">
        <v>223</v>
      </c>
      <c r="F40" s="986"/>
      <c r="G40" s="575" t="s">
        <v>25</v>
      </c>
      <c r="H40" s="576">
        <f>'04_PopisPoloziek'!I198</f>
        <v>144.5</v>
      </c>
      <c r="I40" s="619"/>
      <c r="J40" s="554"/>
      <c r="K40" s="559"/>
      <c r="L40" s="559"/>
      <c r="M40" s="559"/>
      <c r="N40" s="559"/>
      <c r="O40" s="559"/>
    </row>
    <row r="41" spans="2:15" ht="15.95" customHeight="1" x14ac:dyDescent="0.2">
      <c r="B41" s="994"/>
      <c r="C41" s="605" t="s">
        <v>156</v>
      </c>
      <c r="D41" s="574" t="s">
        <v>226</v>
      </c>
      <c r="E41" s="986" t="s">
        <v>227</v>
      </c>
      <c r="F41" s="986"/>
      <c r="G41" s="575" t="s">
        <v>8</v>
      </c>
      <c r="H41" s="576">
        <f>'04_PopisPoloziek'!I204</f>
        <v>24</v>
      </c>
      <c r="I41" s="619"/>
      <c r="J41" s="554"/>
    </row>
    <row r="42" spans="2:15" ht="15.95" customHeight="1" thickBot="1" x14ac:dyDescent="0.25">
      <c r="B42" s="988"/>
      <c r="C42" s="601" t="s">
        <v>156</v>
      </c>
      <c r="D42" s="620" t="s">
        <v>820</v>
      </c>
      <c r="E42" s="984" t="s">
        <v>821</v>
      </c>
      <c r="F42" s="984"/>
      <c r="G42" s="621" t="s">
        <v>5</v>
      </c>
      <c r="H42" s="596">
        <f>'04_PopisPoloziek'!I211</f>
        <v>10.301900399999999</v>
      </c>
      <c r="I42" s="619"/>
      <c r="J42" s="555"/>
    </row>
    <row r="43" spans="2:15" s="560" customFormat="1" ht="24" customHeight="1" x14ac:dyDescent="0.2">
      <c r="B43" s="991" t="s">
        <v>903</v>
      </c>
      <c r="C43" s="622" t="s">
        <v>248</v>
      </c>
      <c r="D43" s="585" t="s">
        <v>234</v>
      </c>
      <c r="E43" s="993" t="s">
        <v>456</v>
      </c>
      <c r="F43" s="993"/>
      <c r="G43" s="586" t="s">
        <v>25</v>
      </c>
      <c r="H43" s="587">
        <f>'04_PopisPoloziek'!I219</f>
        <v>25.5</v>
      </c>
      <c r="I43" s="619"/>
      <c r="J43" s="553"/>
      <c r="K43" s="559"/>
      <c r="L43" s="559"/>
      <c r="M43" s="559"/>
      <c r="N43" s="559"/>
      <c r="O43" s="559"/>
    </row>
    <row r="44" spans="2:15" s="560" customFormat="1" ht="15.95" customHeight="1" thickBot="1" x14ac:dyDescent="0.25">
      <c r="B44" s="992"/>
      <c r="C44" s="623" t="s">
        <v>248</v>
      </c>
      <c r="D44" s="594" t="s">
        <v>246</v>
      </c>
      <c r="E44" s="990" t="s">
        <v>247</v>
      </c>
      <c r="F44" s="990"/>
      <c r="G44" s="595" t="s">
        <v>25</v>
      </c>
      <c r="H44" s="596">
        <f>'04_PopisPoloziek'!I224</f>
        <v>34</v>
      </c>
      <c r="I44" s="619"/>
      <c r="J44" s="555"/>
      <c r="K44" s="559"/>
      <c r="L44" s="559"/>
      <c r="M44" s="559"/>
      <c r="N44" s="559"/>
      <c r="O44" s="559"/>
    </row>
    <row r="45" spans="2:15" s="560" customFormat="1" ht="24.95" customHeight="1" x14ac:dyDescent="0.2">
      <c r="B45" s="987" t="s">
        <v>902</v>
      </c>
      <c r="C45" s="598" t="s">
        <v>70</v>
      </c>
      <c r="D45" s="585" t="s">
        <v>74</v>
      </c>
      <c r="E45" s="989" t="s">
        <v>75</v>
      </c>
      <c r="F45" s="989"/>
      <c r="G45" s="586" t="s">
        <v>12</v>
      </c>
      <c r="H45" s="587">
        <f>'04_PopisPoloziek'!I231</f>
        <v>171.35</v>
      </c>
      <c r="I45" s="619"/>
      <c r="J45" s="553"/>
      <c r="K45" s="559"/>
      <c r="L45" s="559"/>
      <c r="M45" s="559"/>
      <c r="N45" s="559"/>
      <c r="O45" s="559"/>
    </row>
    <row r="46" spans="2:15" s="560" customFormat="1" ht="24.95" customHeight="1" thickBot="1" x14ac:dyDescent="0.25">
      <c r="B46" s="988"/>
      <c r="C46" s="601" t="s">
        <v>70</v>
      </c>
      <c r="D46" s="594" t="s">
        <v>843</v>
      </c>
      <c r="E46" s="990" t="s">
        <v>844</v>
      </c>
      <c r="F46" s="990"/>
      <c r="G46" s="595" t="s">
        <v>12</v>
      </c>
      <c r="H46" s="596">
        <f>'04_PopisPoloziek'!I241</f>
        <v>33.256</v>
      </c>
      <c r="I46" s="619"/>
      <c r="J46" s="555"/>
      <c r="K46" s="559"/>
      <c r="L46" s="559"/>
      <c r="M46" s="559"/>
      <c r="N46" s="559"/>
      <c r="O46" s="559"/>
    </row>
    <row r="47" spans="2:15" s="560" customFormat="1" ht="15.95" customHeight="1" x14ac:dyDescent="0.2">
      <c r="B47" s="998" t="s">
        <v>901</v>
      </c>
      <c r="C47" s="624" t="s">
        <v>696</v>
      </c>
      <c r="D47" s="585" t="s">
        <v>27</v>
      </c>
      <c r="E47" s="993" t="s">
        <v>28</v>
      </c>
      <c r="F47" s="993"/>
      <c r="G47" s="586" t="s">
        <v>51</v>
      </c>
      <c r="H47" s="587">
        <f>'04_PopisPoloziek'!I248</f>
        <v>10.085000000000001</v>
      </c>
      <c r="I47" s="625"/>
      <c r="J47" s="553"/>
      <c r="K47" s="559"/>
      <c r="L47" s="559"/>
      <c r="M47" s="559"/>
      <c r="N47" s="559"/>
      <c r="O47" s="559"/>
    </row>
    <row r="48" spans="2:15" s="560" customFormat="1" ht="15.95" customHeight="1" x14ac:dyDescent="0.2">
      <c r="B48" s="999"/>
      <c r="C48" s="605" t="s">
        <v>696</v>
      </c>
      <c r="D48" s="626" t="s">
        <v>686</v>
      </c>
      <c r="E48" s="1001" t="s">
        <v>687</v>
      </c>
      <c r="F48" s="1001"/>
      <c r="G48" s="627" t="s">
        <v>51</v>
      </c>
      <c r="H48" s="576">
        <f>'04_PopisPoloziek'!I254</f>
        <v>0.52800000000000002</v>
      </c>
      <c r="I48" s="625"/>
      <c r="J48" s="554"/>
      <c r="K48" s="559"/>
      <c r="L48" s="559"/>
      <c r="M48" s="559"/>
      <c r="N48" s="559"/>
      <c r="O48" s="559"/>
    </row>
    <row r="49" spans="2:15" s="560" customFormat="1" ht="15.95" customHeight="1" x14ac:dyDescent="0.2">
      <c r="B49" s="999"/>
      <c r="C49" s="628" t="s">
        <v>696</v>
      </c>
      <c r="D49" s="574" t="s">
        <v>852</v>
      </c>
      <c r="E49" s="985" t="s">
        <v>853</v>
      </c>
      <c r="F49" s="985"/>
      <c r="G49" s="575" t="s">
        <v>12</v>
      </c>
      <c r="H49" s="576">
        <f>'04_PopisPoloziek'!I259</f>
        <v>37.810000000000009</v>
      </c>
      <c r="I49" s="625"/>
      <c r="J49" s="554"/>
      <c r="K49" s="559"/>
      <c r="L49" s="559"/>
      <c r="M49" s="559"/>
      <c r="N49" s="559"/>
      <c r="O49" s="559"/>
    </row>
    <row r="50" spans="2:15" s="560" customFormat="1" ht="15.95" customHeight="1" x14ac:dyDescent="0.2">
      <c r="B50" s="999"/>
      <c r="C50" s="605" t="s">
        <v>696</v>
      </c>
      <c r="D50" s="574" t="s">
        <v>862</v>
      </c>
      <c r="E50" s="985" t="s">
        <v>863</v>
      </c>
      <c r="F50" s="985"/>
      <c r="G50" s="575" t="s">
        <v>51</v>
      </c>
      <c r="H50" s="576">
        <f>'04_PopisPoloziek'!I266</f>
        <v>0.64000000000000012</v>
      </c>
      <c r="I50" s="625"/>
      <c r="J50" s="554"/>
      <c r="K50" s="559"/>
      <c r="L50" s="559"/>
      <c r="M50" s="559"/>
      <c r="N50" s="559"/>
      <c r="O50" s="559"/>
    </row>
    <row r="51" spans="2:15" s="560" customFormat="1" ht="15.95" customHeight="1" x14ac:dyDescent="0.2">
      <c r="B51" s="999"/>
      <c r="C51" s="605" t="s">
        <v>696</v>
      </c>
      <c r="D51" s="574" t="s">
        <v>38</v>
      </c>
      <c r="E51" s="985" t="s">
        <v>3</v>
      </c>
      <c r="F51" s="985"/>
      <c r="G51" s="575" t="s">
        <v>12</v>
      </c>
      <c r="H51" s="576">
        <f>'04_PopisPoloziek'!I271</f>
        <v>6.4</v>
      </c>
      <c r="I51" s="625"/>
      <c r="J51" s="554"/>
      <c r="K51" s="559"/>
      <c r="L51" s="559"/>
      <c r="M51" s="559"/>
      <c r="N51" s="559"/>
      <c r="O51" s="559"/>
    </row>
    <row r="52" spans="2:15" s="560" customFormat="1" ht="15.95" customHeight="1" thickBot="1" x14ac:dyDescent="0.25">
      <c r="B52" s="1000"/>
      <c r="C52" s="601" t="s">
        <v>696</v>
      </c>
      <c r="D52" s="602" t="s">
        <v>52</v>
      </c>
      <c r="E52" s="1002" t="s">
        <v>55</v>
      </c>
      <c r="F52" s="1002"/>
      <c r="G52" s="603" t="s">
        <v>51</v>
      </c>
      <c r="H52" s="596">
        <f>'04_PopisPoloziek'!I276</f>
        <v>0.70000000000000007</v>
      </c>
      <c r="I52" s="625"/>
      <c r="J52" s="555"/>
      <c r="K52" s="559"/>
      <c r="L52" s="559"/>
      <c r="M52" s="559"/>
      <c r="N52" s="559"/>
      <c r="O52" s="559"/>
    </row>
    <row r="53" spans="2:15" s="558" customFormat="1" ht="15.95" customHeight="1" x14ac:dyDescent="0.2">
      <c r="B53" s="998" t="s">
        <v>900</v>
      </c>
      <c r="C53" s="598" t="s">
        <v>80</v>
      </c>
      <c r="D53" s="585" t="s">
        <v>824</v>
      </c>
      <c r="E53" s="993" t="s">
        <v>825</v>
      </c>
      <c r="F53" s="993"/>
      <c r="G53" s="586" t="s">
        <v>12</v>
      </c>
      <c r="H53" s="587">
        <f>'04_PopisPoloziek'!I281</f>
        <v>220</v>
      </c>
      <c r="I53" s="629"/>
      <c r="J53" s="553"/>
    </row>
    <row r="54" spans="2:15" s="558" customFormat="1" ht="15.95" customHeight="1" thickBot="1" x14ac:dyDescent="0.25">
      <c r="B54" s="1004"/>
      <c r="C54" s="929" t="s">
        <v>80</v>
      </c>
      <c r="D54" s="930" t="s">
        <v>82</v>
      </c>
      <c r="E54" s="1005" t="s">
        <v>83</v>
      </c>
      <c r="F54" s="1005"/>
      <c r="G54" s="931" t="s">
        <v>25</v>
      </c>
      <c r="H54" s="582">
        <f>'04_PopisPoloziek'!I285</f>
        <v>32.700000000000003</v>
      </c>
      <c r="I54" s="629"/>
      <c r="J54" s="932"/>
    </row>
    <row r="55" spans="2:15" s="558" customFormat="1" ht="15.95" customHeight="1" x14ac:dyDescent="0.2">
      <c r="B55" s="1006" t="s">
        <v>899</v>
      </c>
      <c r="C55" s="928" t="s">
        <v>412</v>
      </c>
      <c r="D55" s="939" t="s">
        <v>919</v>
      </c>
      <c r="E55" s="989" t="s">
        <v>920</v>
      </c>
      <c r="F55" s="989"/>
      <c r="G55" s="586" t="s">
        <v>12</v>
      </c>
      <c r="H55" s="587">
        <f>'04_PopisPoloziek'!I293</f>
        <v>124.95</v>
      </c>
      <c r="I55" s="940"/>
      <c r="J55" s="553"/>
    </row>
    <row r="56" spans="2:15" s="619" customFormat="1" ht="15.95" customHeight="1" x14ac:dyDescent="0.2">
      <c r="B56" s="1007"/>
      <c r="C56" s="605" t="s">
        <v>412</v>
      </c>
      <c r="D56" s="574" t="s">
        <v>441</v>
      </c>
      <c r="E56" s="986" t="s">
        <v>442</v>
      </c>
      <c r="F56" s="986"/>
      <c r="G56" s="575" t="s">
        <v>12</v>
      </c>
      <c r="H56" s="576">
        <f>'04_PopisPoloziek'!I297</f>
        <v>269.5</v>
      </c>
      <c r="I56" s="625"/>
      <c r="J56" s="554"/>
      <c r="K56" s="631"/>
      <c r="L56" s="631"/>
      <c r="M56" s="631"/>
      <c r="N56" s="631"/>
      <c r="O56" s="631"/>
    </row>
    <row r="57" spans="2:15" s="619" customFormat="1" ht="15.95" customHeight="1" thickBot="1" x14ac:dyDescent="0.25">
      <c r="B57" s="1008"/>
      <c r="C57" s="601" t="s">
        <v>412</v>
      </c>
      <c r="D57" s="594" t="s">
        <v>443</v>
      </c>
      <c r="E57" s="1003" t="s">
        <v>444</v>
      </c>
      <c r="F57" s="1003"/>
      <c r="G57" s="595" t="s">
        <v>12</v>
      </c>
      <c r="H57" s="596">
        <f>'04_PopisPoloziek'!I304</f>
        <v>392.71568000000002</v>
      </c>
      <c r="I57" s="941"/>
      <c r="J57" s="555"/>
      <c r="K57" s="631"/>
      <c r="L57" s="631"/>
      <c r="M57" s="631"/>
      <c r="N57" s="631"/>
      <c r="O57" s="631"/>
    </row>
    <row r="58" spans="2:15" s="560" customFormat="1" ht="50.1" customHeight="1" thickBot="1" x14ac:dyDescent="0.25">
      <c r="B58" s="933" t="s">
        <v>898</v>
      </c>
      <c r="C58" s="934" t="s">
        <v>414</v>
      </c>
      <c r="D58" s="935" t="s">
        <v>721</v>
      </c>
      <c r="E58" s="996" t="s">
        <v>722</v>
      </c>
      <c r="F58" s="997"/>
      <c r="G58" s="936" t="s">
        <v>12</v>
      </c>
      <c r="H58" s="937">
        <f>'04_PopisPoloziek'!I320</f>
        <v>492.75670000000002</v>
      </c>
      <c r="I58" s="619"/>
      <c r="J58" s="938"/>
      <c r="K58" s="559"/>
      <c r="L58" s="559"/>
      <c r="M58" s="559"/>
      <c r="N58" s="559"/>
      <c r="O58" s="559"/>
    </row>
    <row r="59" spans="2:15" x14ac:dyDescent="0.2">
      <c r="B59" s="630"/>
      <c r="C59" s="630"/>
      <c r="D59" s="631"/>
      <c r="E59" s="631"/>
      <c r="F59" s="632"/>
      <c r="G59" s="631"/>
      <c r="H59" s="633"/>
      <c r="I59" s="619"/>
      <c r="J59" s="909"/>
    </row>
    <row r="60" spans="2:15" x14ac:dyDescent="0.2">
      <c r="B60" s="630"/>
      <c r="C60" s="630"/>
      <c r="D60" s="631"/>
      <c r="E60" s="631"/>
      <c r="F60" s="632"/>
      <c r="G60" s="631"/>
      <c r="H60" s="633"/>
      <c r="I60" s="619"/>
      <c r="J60" s="909"/>
    </row>
    <row r="61" spans="2:15" x14ac:dyDescent="0.2">
      <c r="B61" s="630"/>
      <c r="C61" s="630"/>
      <c r="D61" s="631"/>
      <c r="E61" s="631"/>
      <c r="F61" s="632"/>
      <c r="G61" s="631"/>
      <c r="H61" s="633"/>
      <c r="I61" s="619"/>
      <c r="J61" s="909"/>
    </row>
    <row r="62" spans="2:15" x14ac:dyDescent="0.2">
      <c r="B62" s="630"/>
      <c r="C62" s="630"/>
      <c r="D62" s="631"/>
      <c r="E62" s="631"/>
      <c r="F62" s="632"/>
      <c r="G62" s="631"/>
      <c r="H62" s="633"/>
      <c r="I62" s="619"/>
      <c r="J62" s="909"/>
    </row>
  </sheetData>
  <sheetProtection algorithmName="SHA-512" hashValue="scfr0+uGGHK2lvYjNIpAnTosv4xf6DJufpBEyhKUgsJkxpgtBUyKe6asRF0vyO2LGjVULJcsy9usHgXpD+dSKw==" saltValue="k1PSg4hQFTftJpA1lIy4iQ==" spinCount="100000" sheet="1" objects="1" scenarios="1"/>
  <mergeCells count="69">
    <mergeCell ref="E1:H1"/>
    <mergeCell ref="E2:F2"/>
    <mergeCell ref="E6:F7"/>
    <mergeCell ref="G6:G7"/>
    <mergeCell ref="H6:H7"/>
    <mergeCell ref="E11:F11"/>
    <mergeCell ref="E12:F12"/>
    <mergeCell ref="E13:F13"/>
    <mergeCell ref="B8:B13"/>
    <mergeCell ref="J6:J7"/>
    <mergeCell ref="B6:B7"/>
    <mergeCell ref="C6:D7"/>
    <mergeCell ref="E8:F8"/>
    <mergeCell ref="E9:F9"/>
    <mergeCell ref="E10:F10"/>
    <mergeCell ref="B14:B18"/>
    <mergeCell ref="E15:F15"/>
    <mergeCell ref="E16:F16"/>
    <mergeCell ref="E17:F17"/>
    <mergeCell ref="E18:F18"/>
    <mergeCell ref="E14:F14"/>
    <mergeCell ref="B19:B20"/>
    <mergeCell ref="B21:B26"/>
    <mergeCell ref="E28:F2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58:F58"/>
    <mergeCell ref="B47:B52"/>
    <mergeCell ref="E47:F47"/>
    <mergeCell ref="E48:F48"/>
    <mergeCell ref="E49:F49"/>
    <mergeCell ref="E50:F50"/>
    <mergeCell ref="E51:F51"/>
    <mergeCell ref="E52:F52"/>
    <mergeCell ref="E56:F56"/>
    <mergeCell ref="E57:F57"/>
    <mergeCell ref="B53:B54"/>
    <mergeCell ref="E53:F53"/>
    <mergeCell ref="E54:F54"/>
    <mergeCell ref="E55:F55"/>
    <mergeCell ref="B55:B57"/>
    <mergeCell ref="B45:B46"/>
    <mergeCell ref="E45:F45"/>
    <mergeCell ref="E46:F46"/>
    <mergeCell ref="E38:F38"/>
    <mergeCell ref="E39:F39"/>
    <mergeCell ref="B43:B44"/>
    <mergeCell ref="E43:F43"/>
    <mergeCell ref="E44:F44"/>
    <mergeCell ref="B29:B42"/>
    <mergeCell ref="E29:F29"/>
    <mergeCell ref="E30:F30"/>
    <mergeCell ref="E31:F31"/>
    <mergeCell ref="E32:F32"/>
    <mergeCell ref="E33:F33"/>
    <mergeCell ref="E40:F40"/>
    <mergeCell ref="E41:F41"/>
    <mergeCell ref="E42:F42"/>
    <mergeCell ref="E34:F34"/>
    <mergeCell ref="E35:F35"/>
    <mergeCell ref="E36:F36"/>
    <mergeCell ref="E37:F37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C543-CB71-42F6-91F5-3BC1B09D1201}">
  <sheetPr codeName="Hárok7"/>
  <dimension ref="B1:Q65"/>
  <sheetViews>
    <sheetView view="pageBreakPreview" zoomScale="110" zoomScaleNormal="120" zoomScaleSheetLayoutView="110" workbookViewId="0">
      <pane ySplit="7" topLeftCell="A8" activePane="bottomLeft" state="frozen"/>
      <selection pane="bottomLeft" activeCell="E20" sqref="E20:F20"/>
    </sheetView>
  </sheetViews>
  <sheetFormatPr defaultRowHeight="12.75" x14ac:dyDescent="0.2"/>
  <cols>
    <col min="1" max="1" width="2.5703125" style="128" customWidth="1"/>
    <col min="2" max="2" width="24.7109375" style="8" customWidth="1"/>
    <col min="3" max="3" width="9.7109375" style="8" customWidth="1"/>
    <col min="4" max="4" width="9.7109375" style="128" customWidth="1"/>
    <col min="5" max="5" width="54.28515625" style="128" customWidth="1"/>
    <col min="6" max="6" width="13" style="464" bestFit="1" customWidth="1"/>
    <col min="7" max="7" width="5" style="128" bestFit="1" customWidth="1"/>
    <col min="8" max="8" width="9.85546875" style="462" customWidth="1"/>
    <col min="9" max="9" width="0.85546875" style="120" customWidth="1"/>
    <col min="10" max="10" width="17.28515625" style="521" customWidth="1"/>
    <col min="11" max="11" width="14.7109375" style="128" customWidth="1"/>
    <col min="12" max="16384" width="9.140625" style="128"/>
  </cols>
  <sheetData>
    <row r="1" spans="2:17" ht="25.5" customHeight="1" x14ac:dyDescent="0.2">
      <c r="B1" s="33" t="s">
        <v>626</v>
      </c>
      <c r="E1" s="971" t="s">
        <v>759</v>
      </c>
      <c r="F1" s="971"/>
      <c r="G1" s="971"/>
      <c r="H1" s="971"/>
    </row>
    <row r="2" spans="2:17" ht="15" customHeight="1" x14ac:dyDescent="0.2">
      <c r="B2" s="33" t="s">
        <v>149</v>
      </c>
      <c r="C2" s="33"/>
      <c r="D2" s="34"/>
      <c r="E2" s="971" t="s">
        <v>760</v>
      </c>
      <c r="F2" s="971"/>
      <c r="G2" s="37"/>
      <c r="H2" s="461"/>
    </row>
    <row r="3" spans="2:17" ht="6" customHeight="1" x14ac:dyDescent="0.2">
      <c r="B3" s="33"/>
      <c r="C3" s="33"/>
      <c r="D3" s="34"/>
      <c r="E3" s="460"/>
      <c r="F3" s="460"/>
      <c r="G3" s="37"/>
      <c r="H3" s="461"/>
    </row>
    <row r="4" spans="2:17" ht="15" customHeight="1" x14ac:dyDescent="0.2">
      <c r="B4" s="465" t="s">
        <v>875</v>
      </c>
      <c r="C4" s="465"/>
      <c r="D4" s="34"/>
      <c r="E4" s="460"/>
      <c r="F4" s="460"/>
      <c r="G4" s="37"/>
      <c r="H4" s="461"/>
    </row>
    <row r="5" spans="2:17" ht="13.5" thickBot="1" x14ac:dyDescent="0.25">
      <c r="B5" s="41"/>
      <c r="C5" s="33"/>
      <c r="D5" s="34"/>
      <c r="E5" s="42"/>
      <c r="F5" s="463"/>
      <c r="G5" s="43"/>
      <c r="H5" s="461"/>
    </row>
    <row r="6" spans="2:17" x14ac:dyDescent="0.2">
      <c r="B6" s="1079" t="s">
        <v>886</v>
      </c>
      <c r="C6" s="1081" t="s">
        <v>889</v>
      </c>
      <c r="D6" s="1082"/>
      <c r="E6" s="1081" t="s">
        <v>888</v>
      </c>
      <c r="F6" s="1082"/>
      <c r="G6" s="1085" t="s">
        <v>153</v>
      </c>
      <c r="H6" s="1087" t="s">
        <v>154</v>
      </c>
      <c r="I6" s="479"/>
      <c r="J6" s="1072" t="s">
        <v>887</v>
      </c>
      <c r="K6" s="1076" t="s">
        <v>880</v>
      </c>
    </row>
    <row r="7" spans="2:17" ht="13.5" thickBot="1" x14ac:dyDescent="0.25">
      <c r="B7" s="1080"/>
      <c r="C7" s="1083"/>
      <c r="D7" s="1084"/>
      <c r="E7" s="1083"/>
      <c r="F7" s="1084"/>
      <c r="G7" s="1086"/>
      <c r="H7" s="1088"/>
      <c r="I7" s="480"/>
      <c r="J7" s="1073"/>
      <c r="K7" s="1077"/>
    </row>
    <row r="8" spans="2:17" s="120" customFormat="1" ht="15.95" customHeight="1" thickBot="1" x14ac:dyDescent="0.25">
      <c r="B8" s="1044"/>
      <c r="C8" s="532" t="s">
        <v>891</v>
      </c>
      <c r="D8" s="491" t="s">
        <v>731</v>
      </c>
      <c r="E8" s="1078" t="s">
        <v>732</v>
      </c>
      <c r="F8" s="1078"/>
      <c r="G8" s="492" t="s">
        <v>5</v>
      </c>
      <c r="H8" s="482">
        <f>'02_SupisPrac'!H8</f>
        <v>142.30199999999999</v>
      </c>
      <c r="I8" s="478"/>
      <c r="J8" s="956">
        <f>ROUND('02_SupisPrac'!J8,2)</f>
        <v>0</v>
      </c>
      <c r="K8" s="527">
        <f>H8*J8</f>
        <v>0</v>
      </c>
      <c r="L8" s="128"/>
      <c r="M8" s="128"/>
      <c r="N8" s="128"/>
      <c r="O8" s="128"/>
      <c r="P8" s="128"/>
      <c r="Q8" s="128"/>
    </row>
    <row r="9" spans="2:17" s="120" customFormat="1" ht="15.95" customHeight="1" thickBot="1" x14ac:dyDescent="0.25">
      <c r="B9" s="1045"/>
      <c r="C9" s="533" t="s">
        <v>891</v>
      </c>
      <c r="D9" s="510" t="s">
        <v>733</v>
      </c>
      <c r="E9" s="1048" t="s">
        <v>734</v>
      </c>
      <c r="F9" s="1048"/>
      <c r="G9" s="511" t="s">
        <v>51</v>
      </c>
      <c r="H9" s="526">
        <f>'02_SupisPrac'!H9</f>
        <v>127.687</v>
      </c>
      <c r="I9" s="478"/>
      <c r="J9" s="956">
        <f>ROUND('02_SupisPrac'!J9,2)</f>
        <v>0</v>
      </c>
      <c r="K9" s="520">
        <f t="shared" ref="K9:K58" si="0">H9*J9</f>
        <v>0</v>
      </c>
      <c r="L9" s="128"/>
      <c r="M9" s="128"/>
      <c r="N9" s="128"/>
      <c r="O9" s="128"/>
      <c r="P9" s="128"/>
      <c r="Q9" s="128"/>
    </row>
    <row r="10" spans="2:17" s="120" customFormat="1" ht="15.95" customHeight="1" thickBot="1" x14ac:dyDescent="0.25">
      <c r="B10" s="1045"/>
      <c r="C10" s="532" t="s">
        <v>891</v>
      </c>
      <c r="D10" s="484" t="s">
        <v>735</v>
      </c>
      <c r="E10" s="1052" t="s">
        <v>736</v>
      </c>
      <c r="F10" s="1052"/>
      <c r="G10" s="473" t="s">
        <v>51</v>
      </c>
      <c r="H10" s="476">
        <f>'02_SupisPrac'!H10</f>
        <v>6</v>
      </c>
      <c r="I10" s="478"/>
      <c r="J10" s="956">
        <f>ROUND('02_SupisPrac'!J10,2)</f>
        <v>0</v>
      </c>
      <c r="K10" s="520">
        <f t="shared" si="0"/>
        <v>0</v>
      </c>
      <c r="L10" s="128"/>
      <c r="M10" s="128"/>
      <c r="N10" s="128"/>
      <c r="O10" s="128"/>
      <c r="P10" s="128"/>
      <c r="Q10" s="128"/>
    </row>
    <row r="11" spans="2:17" ht="15.95" customHeight="1" thickBot="1" x14ac:dyDescent="0.25">
      <c r="B11" s="1045"/>
      <c r="C11" s="532" t="s">
        <v>891</v>
      </c>
      <c r="D11" s="518" t="s">
        <v>737</v>
      </c>
      <c r="E11" s="1041" t="s">
        <v>738</v>
      </c>
      <c r="F11" s="1041"/>
      <c r="G11" s="474" t="s">
        <v>543</v>
      </c>
      <c r="H11" s="476">
        <f>'02_SupisPrac'!H11</f>
        <v>1</v>
      </c>
      <c r="I11" s="478"/>
      <c r="J11" s="956">
        <f>ROUND('02_SupisPrac'!J11,2)</f>
        <v>0</v>
      </c>
      <c r="K11" s="520">
        <f t="shared" si="0"/>
        <v>0</v>
      </c>
    </row>
    <row r="12" spans="2:17" ht="24" customHeight="1" thickBot="1" x14ac:dyDescent="0.25">
      <c r="B12" s="1045"/>
      <c r="C12" s="532" t="s">
        <v>891</v>
      </c>
      <c r="D12" s="518" t="s">
        <v>742</v>
      </c>
      <c r="E12" s="1041" t="s">
        <v>750</v>
      </c>
      <c r="F12" s="1041"/>
      <c r="G12" s="474" t="s">
        <v>543</v>
      </c>
      <c r="H12" s="476">
        <f>'02_SupisPrac'!H12</f>
        <v>1</v>
      </c>
      <c r="I12" s="478"/>
      <c r="J12" s="956">
        <f>ROUND('02_SupisPrac'!J12,2)</f>
        <v>0</v>
      </c>
      <c r="K12" s="520">
        <f t="shared" si="0"/>
        <v>0</v>
      </c>
    </row>
    <row r="13" spans="2:17" ht="15.95" customHeight="1" thickBot="1" x14ac:dyDescent="0.25">
      <c r="B13" s="1045"/>
      <c r="C13" s="534" t="s">
        <v>891</v>
      </c>
      <c r="D13" s="531" t="s">
        <v>743</v>
      </c>
      <c r="E13" s="1050" t="s">
        <v>744</v>
      </c>
      <c r="F13" s="1050"/>
      <c r="G13" s="475" t="s">
        <v>543</v>
      </c>
      <c r="H13" s="477">
        <f>'02_SupisPrac'!H13</f>
        <v>3</v>
      </c>
      <c r="I13" s="483"/>
      <c r="J13" s="956">
        <f>ROUND('02_SupisPrac'!J13,2)</f>
        <v>0</v>
      </c>
      <c r="K13" s="528">
        <f t="shared" si="0"/>
        <v>0</v>
      </c>
    </row>
    <row r="14" spans="2:17" ht="15.95" customHeight="1" thickBot="1" x14ac:dyDescent="0.25">
      <c r="B14" s="1045"/>
      <c r="C14" s="535" t="s">
        <v>288</v>
      </c>
      <c r="D14" s="510" t="s">
        <v>832</v>
      </c>
      <c r="E14" s="1070" t="s">
        <v>833</v>
      </c>
      <c r="F14" s="1071"/>
      <c r="G14" s="511" t="s">
        <v>51</v>
      </c>
      <c r="H14" s="526">
        <f>'02_SupisPrac'!H14</f>
        <v>47.2104</v>
      </c>
      <c r="I14" s="486"/>
      <c r="J14" s="956">
        <f>ROUND('02_SupisPrac'!J14,2)</f>
        <v>0</v>
      </c>
      <c r="K14" s="527">
        <f t="shared" si="0"/>
        <v>0</v>
      </c>
    </row>
    <row r="15" spans="2:17" s="481" customFormat="1" ht="24" customHeight="1" thickBot="1" x14ac:dyDescent="0.25">
      <c r="B15" s="1045"/>
      <c r="C15" s="536" t="s">
        <v>288</v>
      </c>
      <c r="D15" s="484" t="s">
        <v>836</v>
      </c>
      <c r="E15" s="1052" t="s">
        <v>837</v>
      </c>
      <c r="F15" s="1052"/>
      <c r="G15" s="473" t="s">
        <v>51</v>
      </c>
      <c r="H15" s="476">
        <f>'02_SupisPrac'!H15</f>
        <v>12.08216</v>
      </c>
      <c r="I15" s="487"/>
      <c r="J15" s="956">
        <f>ROUND('02_SupisPrac'!J15,2)</f>
        <v>0</v>
      </c>
      <c r="K15" s="520">
        <f t="shared" si="0"/>
        <v>0</v>
      </c>
    </row>
    <row r="16" spans="2:17" ht="24" customHeight="1" thickBot="1" x14ac:dyDescent="0.25">
      <c r="B16" s="1045"/>
      <c r="C16" s="536" t="s">
        <v>288</v>
      </c>
      <c r="D16" s="484" t="s">
        <v>313</v>
      </c>
      <c r="E16" s="1041" t="s">
        <v>314</v>
      </c>
      <c r="F16" s="1041"/>
      <c r="G16" s="473" t="s">
        <v>12</v>
      </c>
      <c r="H16" s="476">
        <f>'02_SupisPrac'!H16</f>
        <v>467.51120000000003</v>
      </c>
      <c r="I16" s="488"/>
      <c r="J16" s="956">
        <f>ROUND('02_SupisPrac'!J16,2)</f>
        <v>0</v>
      </c>
      <c r="K16" s="520">
        <f t="shared" si="0"/>
        <v>0</v>
      </c>
    </row>
    <row r="17" spans="2:16" ht="13.5" thickBot="1" x14ac:dyDescent="0.25">
      <c r="B17" s="1045"/>
      <c r="C17" s="536" t="s">
        <v>288</v>
      </c>
      <c r="D17" s="484" t="s">
        <v>546</v>
      </c>
      <c r="E17" s="1056" t="s">
        <v>547</v>
      </c>
      <c r="F17" s="1057"/>
      <c r="G17" s="473" t="s">
        <v>548</v>
      </c>
      <c r="H17" s="476">
        <f>'02_SupisPrac'!H17</f>
        <v>21500</v>
      </c>
      <c r="I17" s="489"/>
      <c r="J17" s="956">
        <f>ROUND('02_SupisPrac'!J17,2)</f>
        <v>0</v>
      </c>
      <c r="K17" s="520">
        <f t="shared" si="0"/>
        <v>0</v>
      </c>
    </row>
    <row r="18" spans="2:16" ht="13.5" thickBot="1" x14ac:dyDescent="0.25">
      <c r="B18" s="1045"/>
      <c r="C18" s="537" t="s">
        <v>288</v>
      </c>
      <c r="D18" s="485" t="s">
        <v>309</v>
      </c>
      <c r="E18" s="1074" t="s">
        <v>874</v>
      </c>
      <c r="F18" s="1075"/>
      <c r="G18" s="472" t="s">
        <v>5</v>
      </c>
      <c r="H18" s="477">
        <f>'02_SupisPrac'!H18</f>
        <v>142.30199999999999</v>
      </c>
      <c r="I18" s="490"/>
      <c r="J18" s="956">
        <f>ROUND('02_SupisPrac'!J18,2)</f>
        <v>0</v>
      </c>
      <c r="K18" s="528">
        <f t="shared" si="0"/>
        <v>0</v>
      </c>
    </row>
    <row r="19" spans="2:16" s="120" customFormat="1" ht="15.95" customHeight="1" thickBot="1" x14ac:dyDescent="0.25">
      <c r="B19" s="1045"/>
      <c r="C19" s="538" t="s">
        <v>322</v>
      </c>
      <c r="D19" s="495" t="s">
        <v>324</v>
      </c>
      <c r="E19" s="1066" t="s">
        <v>325</v>
      </c>
      <c r="F19" s="1067"/>
      <c r="G19" s="496" t="s">
        <v>12</v>
      </c>
      <c r="H19" s="526">
        <f>'02_SupisPrac'!H19</f>
        <v>40</v>
      </c>
      <c r="J19" s="956">
        <f>ROUND('02_SupisPrac'!J19,2)</f>
        <v>0</v>
      </c>
      <c r="K19" s="527">
        <f t="shared" si="0"/>
        <v>0</v>
      </c>
    </row>
    <row r="20" spans="2:16" s="120" customFormat="1" ht="15.95" customHeight="1" thickBot="1" x14ac:dyDescent="0.25">
      <c r="B20" s="1045"/>
      <c r="C20" s="539" t="s">
        <v>322</v>
      </c>
      <c r="D20" s="497" t="s">
        <v>329</v>
      </c>
      <c r="E20" s="1068" t="s">
        <v>330</v>
      </c>
      <c r="F20" s="1069"/>
      <c r="G20" s="498" t="s">
        <v>12</v>
      </c>
      <c r="H20" s="477">
        <f>'02_SupisPrac'!H20</f>
        <v>60</v>
      </c>
      <c r="J20" s="956">
        <f>ROUND('02_SupisPrac'!J20,2)</f>
        <v>0</v>
      </c>
      <c r="K20" s="528">
        <f t="shared" si="0"/>
        <v>0</v>
      </c>
    </row>
    <row r="21" spans="2:16" s="120" customFormat="1" ht="15.95" customHeight="1" thickBot="1" x14ac:dyDescent="0.25">
      <c r="B21" s="1045"/>
      <c r="C21" s="538" t="s">
        <v>895</v>
      </c>
      <c r="D21" s="510" t="s">
        <v>557</v>
      </c>
      <c r="E21" s="1070" t="s">
        <v>558</v>
      </c>
      <c r="F21" s="1071"/>
      <c r="G21" s="511" t="s">
        <v>51</v>
      </c>
      <c r="H21" s="526">
        <f>'02_SupisPrac'!H21</f>
        <v>2.3400000000000003</v>
      </c>
      <c r="J21" s="956">
        <f>ROUND('02_SupisPrac'!J21,2)</f>
        <v>0</v>
      </c>
      <c r="K21" s="527">
        <f t="shared" si="0"/>
        <v>0</v>
      </c>
    </row>
    <row r="22" spans="2:16" s="120" customFormat="1" ht="15.95" customHeight="1" thickBot="1" x14ac:dyDescent="0.25">
      <c r="B22" s="1045"/>
      <c r="C22" s="540" t="s">
        <v>895</v>
      </c>
      <c r="D22" s="484" t="s">
        <v>755</v>
      </c>
      <c r="E22" s="1060" t="s">
        <v>756</v>
      </c>
      <c r="F22" s="1061"/>
      <c r="G22" s="473" t="s">
        <v>51</v>
      </c>
      <c r="H22" s="476">
        <f>'02_SupisPrac'!H22</f>
        <v>45</v>
      </c>
      <c r="J22" s="956">
        <f>ROUND('02_SupisPrac'!J22,2)</f>
        <v>0</v>
      </c>
      <c r="K22" s="520">
        <f t="shared" si="0"/>
        <v>0</v>
      </c>
    </row>
    <row r="23" spans="2:16" s="120" customFormat="1" ht="15.95" customHeight="1" thickBot="1" x14ac:dyDescent="0.25">
      <c r="B23" s="1045"/>
      <c r="C23" s="541" t="s">
        <v>895</v>
      </c>
      <c r="D23" s="484" t="s">
        <v>704</v>
      </c>
      <c r="E23" s="1056" t="s">
        <v>705</v>
      </c>
      <c r="F23" s="1057"/>
      <c r="G23" s="473" t="s">
        <v>51</v>
      </c>
      <c r="H23" s="476">
        <f>'02_SupisPrac'!H23</f>
        <v>108</v>
      </c>
      <c r="J23" s="956">
        <f>ROUND('02_SupisPrac'!J23,2)</f>
        <v>0</v>
      </c>
      <c r="K23" s="520">
        <f t="shared" si="0"/>
        <v>0</v>
      </c>
    </row>
    <row r="24" spans="2:16" s="120" customFormat="1" ht="15.95" customHeight="1" thickBot="1" x14ac:dyDescent="0.25">
      <c r="B24" s="1045"/>
      <c r="C24" s="542" t="s">
        <v>895</v>
      </c>
      <c r="D24" s="484" t="s">
        <v>169</v>
      </c>
      <c r="E24" s="1060" t="s">
        <v>170</v>
      </c>
      <c r="F24" s="1061"/>
      <c r="G24" s="473" t="s">
        <v>51</v>
      </c>
      <c r="H24" s="476">
        <f>'02_SupisPrac'!H24</f>
        <v>3.2000000000000006</v>
      </c>
      <c r="J24" s="956">
        <f>ROUND('02_SupisPrac'!J24,2)</f>
        <v>0</v>
      </c>
      <c r="K24" s="520">
        <f t="shared" si="0"/>
        <v>0</v>
      </c>
    </row>
    <row r="25" spans="2:16" s="120" customFormat="1" ht="15.95" customHeight="1" thickBot="1" x14ac:dyDescent="0.25">
      <c r="B25" s="1045"/>
      <c r="C25" s="542" t="s">
        <v>895</v>
      </c>
      <c r="D25" s="484" t="s">
        <v>867</v>
      </c>
      <c r="E25" s="1060" t="s">
        <v>868</v>
      </c>
      <c r="F25" s="1061"/>
      <c r="G25" s="473" t="s">
        <v>51</v>
      </c>
      <c r="H25" s="476">
        <f>'02_SupisPrac'!H25</f>
        <v>14.146999999999998</v>
      </c>
      <c r="J25" s="956">
        <f>ROUND('02_SupisPrac'!J25,2)</f>
        <v>0</v>
      </c>
      <c r="K25" s="520">
        <f t="shared" si="0"/>
        <v>0</v>
      </c>
    </row>
    <row r="26" spans="2:16" s="372" customFormat="1" ht="15.95" customHeight="1" thickBot="1" x14ac:dyDescent="0.25">
      <c r="B26" s="1045"/>
      <c r="C26" s="543" t="s">
        <v>895</v>
      </c>
      <c r="D26" s="485" t="s">
        <v>173</v>
      </c>
      <c r="E26" s="1062" t="s">
        <v>174</v>
      </c>
      <c r="F26" s="1063"/>
      <c r="G26" s="472" t="s">
        <v>12</v>
      </c>
      <c r="H26" s="477">
        <f>'02_SupisPrac'!H26</f>
        <v>350</v>
      </c>
      <c r="I26" s="288"/>
      <c r="J26" s="956">
        <f>ROUND('02_SupisPrac'!J26,2)</f>
        <v>0</v>
      </c>
      <c r="K26" s="528">
        <f t="shared" si="0"/>
        <v>0</v>
      </c>
    </row>
    <row r="27" spans="2:16" s="8" customFormat="1" ht="15.95" customHeight="1" thickBot="1" x14ac:dyDescent="0.25">
      <c r="B27" s="1045"/>
      <c r="C27" s="544" t="s">
        <v>178</v>
      </c>
      <c r="D27" s="499" t="s">
        <v>161</v>
      </c>
      <c r="E27" s="1064" t="s">
        <v>162</v>
      </c>
      <c r="F27" s="1065"/>
      <c r="G27" s="500" t="s">
        <v>51</v>
      </c>
      <c r="H27" s="529">
        <f>'02_SupisPrac'!H27</f>
        <v>127.687</v>
      </c>
      <c r="I27" s="502"/>
      <c r="J27" s="956">
        <f>ROUND('02_SupisPrac'!J27,2)</f>
        <v>0</v>
      </c>
      <c r="K27" s="530">
        <f t="shared" si="0"/>
        <v>0</v>
      </c>
    </row>
    <row r="28" spans="2:16" s="8" customFormat="1" ht="24" customHeight="1" thickBot="1" x14ac:dyDescent="0.25">
      <c r="B28" s="1045"/>
      <c r="C28" s="545" t="s">
        <v>802</v>
      </c>
      <c r="D28" s="499" t="s">
        <v>804</v>
      </c>
      <c r="E28" s="1064" t="s">
        <v>805</v>
      </c>
      <c r="F28" s="1065"/>
      <c r="G28" s="500" t="s">
        <v>25</v>
      </c>
      <c r="H28" s="529">
        <f>'02_SupisPrac'!H28</f>
        <v>1358.4</v>
      </c>
      <c r="I28" s="120"/>
      <c r="J28" s="956">
        <f>ROUND('02_SupisPrac'!J28,2)</f>
        <v>0</v>
      </c>
      <c r="K28" s="530">
        <f t="shared" si="0"/>
        <v>0</v>
      </c>
    </row>
    <row r="29" spans="2:16" ht="15.95" customHeight="1" thickBot="1" x14ac:dyDescent="0.25">
      <c r="B29" s="1045"/>
      <c r="C29" s="538" t="s">
        <v>156</v>
      </c>
      <c r="D29" s="513" t="s">
        <v>94</v>
      </c>
      <c r="E29" s="1059" t="s">
        <v>95</v>
      </c>
      <c r="F29" s="1059"/>
      <c r="G29" s="514" t="s">
        <v>51</v>
      </c>
      <c r="H29" s="526">
        <f>'02_SupisPrac'!H29</f>
        <v>33.405120000000004</v>
      </c>
      <c r="I29" s="504"/>
      <c r="J29" s="956">
        <f>ROUND('02_SupisPrac'!J29,2)</f>
        <v>0</v>
      </c>
      <c r="K29" s="527">
        <f t="shared" si="0"/>
        <v>0</v>
      </c>
    </row>
    <row r="30" spans="2:16" s="120" customFormat="1" ht="15.95" customHeight="1" thickBot="1" x14ac:dyDescent="0.25">
      <c r="B30" s="1045"/>
      <c r="C30" s="541" t="s">
        <v>156</v>
      </c>
      <c r="D30" s="484" t="s">
        <v>96</v>
      </c>
      <c r="E30" s="1041" t="s">
        <v>97</v>
      </c>
      <c r="F30" s="1041"/>
      <c r="G30" s="473" t="s">
        <v>12</v>
      </c>
      <c r="H30" s="476">
        <f>'02_SupisPrac'!H30</f>
        <v>74.319000000000003</v>
      </c>
      <c r="I30" s="504"/>
      <c r="J30" s="956">
        <f>ROUND('02_SupisPrac'!J30,2)</f>
        <v>0</v>
      </c>
      <c r="K30" s="520">
        <f t="shared" si="0"/>
        <v>0</v>
      </c>
      <c r="L30" s="128"/>
      <c r="M30" s="128"/>
      <c r="N30" s="128"/>
      <c r="O30" s="128"/>
      <c r="P30" s="128"/>
    </row>
    <row r="31" spans="2:16" s="120" customFormat="1" ht="15.95" customHeight="1" thickBot="1" x14ac:dyDescent="0.25">
      <c r="B31" s="1045"/>
      <c r="C31" s="541" t="s">
        <v>156</v>
      </c>
      <c r="D31" s="484" t="s">
        <v>100</v>
      </c>
      <c r="E31" s="1041" t="s">
        <v>101</v>
      </c>
      <c r="F31" s="1041"/>
      <c r="G31" s="473" t="s">
        <v>5</v>
      </c>
      <c r="H31" s="476">
        <f>'02_SupisPrac'!H31</f>
        <v>1.7034</v>
      </c>
      <c r="I31" s="504"/>
      <c r="J31" s="956">
        <f>ROUND('02_SupisPrac'!J31,2)</f>
        <v>0</v>
      </c>
      <c r="K31" s="520">
        <f t="shared" si="0"/>
        <v>0</v>
      </c>
      <c r="L31" s="128"/>
      <c r="M31" s="128"/>
      <c r="N31" s="128"/>
      <c r="O31" s="128"/>
      <c r="P31" s="128"/>
    </row>
    <row r="32" spans="2:16" s="299" customFormat="1" ht="15.95" customHeight="1" thickBot="1" x14ac:dyDescent="0.25">
      <c r="B32" s="1045"/>
      <c r="C32" s="541" t="s">
        <v>156</v>
      </c>
      <c r="D32" s="484" t="s">
        <v>104</v>
      </c>
      <c r="E32" s="1052" t="s">
        <v>105</v>
      </c>
      <c r="F32" s="1052"/>
      <c r="G32" s="473" t="s">
        <v>51</v>
      </c>
      <c r="H32" s="476">
        <f>'02_SupisPrac'!H32</f>
        <v>10.494</v>
      </c>
      <c r="I32" s="504"/>
      <c r="J32" s="956">
        <f>ROUND('02_SupisPrac'!J32,2)</f>
        <v>0</v>
      </c>
      <c r="K32" s="520">
        <f t="shared" si="0"/>
        <v>0</v>
      </c>
      <c r="L32" s="128"/>
      <c r="M32" s="128"/>
      <c r="N32" s="128"/>
      <c r="O32" s="128"/>
      <c r="P32" s="128"/>
    </row>
    <row r="33" spans="2:16" s="299" customFormat="1" ht="15.95" customHeight="1" thickBot="1" x14ac:dyDescent="0.25">
      <c r="B33" s="1045"/>
      <c r="C33" s="541" t="s">
        <v>156</v>
      </c>
      <c r="D33" s="484" t="s">
        <v>110</v>
      </c>
      <c r="E33" s="1052" t="s">
        <v>111</v>
      </c>
      <c r="F33" s="1052"/>
      <c r="G33" s="473" t="s">
        <v>12</v>
      </c>
      <c r="H33" s="476">
        <f>'02_SupisPrac'!H33</f>
        <v>29.160000000000004</v>
      </c>
      <c r="I33" s="504"/>
      <c r="J33" s="956">
        <f>ROUND('02_SupisPrac'!J33,2)</f>
        <v>0</v>
      </c>
      <c r="K33" s="520">
        <f t="shared" si="0"/>
        <v>0</v>
      </c>
      <c r="L33" s="128"/>
      <c r="M33" s="128"/>
      <c r="N33" s="128"/>
      <c r="O33" s="128"/>
      <c r="P33" s="128"/>
    </row>
    <row r="34" spans="2:16" s="299" customFormat="1" ht="15.95" customHeight="1" thickBot="1" x14ac:dyDescent="0.25">
      <c r="B34" s="1045"/>
      <c r="C34" s="541" t="s">
        <v>156</v>
      </c>
      <c r="D34" s="484" t="s">
        <v>113</v>
      </c>
      <c r="E34" s="1052" t="s">
        <v>182</v>
      </c>
      <c r="F34" s="1052"/>
      <c r="G34" s="473" t="s">
        <v>5</v>
      </c>
      <c r="H34" s="476">
        <f>'02_SupisPrac'!H34</f>
        <v>2.7093800000000003</v>
      </c>
      <c r="I34" s="504"/>
      <c r="J34" s="956">
        <f>ROUND('02_SupisPrac'!J34,2)</f>
        <v>0</v>
      </c>
      <c r="K34" s="520">
        <f t="shared" si="0"/>
        <v>0</v>
      </c>
      <c r="L34" s="128"/>
      <c r="M34" s="128"/>
      <c r="N34" s="128"/>
      <c r="O34" s="128"/>
      <c r="P34" s="128"/>
    </row>
    <row r="35" spans="2:16" s="299" customFormat="1" ht="15.95" customHeight="1" thickBot="1" x14ac:dyDescent="0.25">
      <c r="B35" s="1045"/>
      <c r="C35" s="541" t="s">
        <v>156</v>
      </c>
      <c r="D35" s="484" t="s">
        <v>127</v>
      </c>
      <c r="E35" s="1041" t="s">
        <v>128</v>
      </c>
      <c r="F35" s="1041"/>
      <c r="G35" s="473" t="s">
        <v>51</v>
      </c>
      <c r="H35" s="476">
        <f>'02_SupisPrac'!H35</f>
        <v>1.2137500000000001</v>
      </c>
      <c r="I35" s="504"/>
      <c r="J35" s="956">
        <f>ROUND('02_SupisPrac'!J35,2)</f>
        <v>0</v>
      </c>
      <c r="K35" s="520">
        <f t="shared" si="0"/>
        <v>0</v>
      </c>
      <c r="L35" s="128"/>
      <c r="M35" s="128"/>
      <c r="N35" s="128"/>
      <c r="O35" s="128"/>
      <c r="P35" s="128"/>
    </row>
    <row r="36" spans="2:16" s="120" customFormat="1" ht="15.95" customHeight="1" thickBot="1" x14ac:dyDescent="0.25">
      <c r="B36" s="1045"/>
      <c r="C36" s="541" t="s">
        <v>156</v>
      </c>
      <c r="D36" s="484" t="s">
        <v>131</v>
      </c>
      <c r="E36" s="1041" t="s">
        <v>184</v>
      </c>
      <c r="F36" s="1041"/>
      <c r="G36" s="473" t="s">
        <v>12</v>
      </c>
      <c r="H36" s="476">
        <f>'02_SupisPrac'!H36</f>
        <v>5.8260000000000005</v>
      </c>
      <c r="I36" s="504"/>
      <c r="J36" s="956">
        <f>ROUND('02_SupisPrac'!J36,2)</f>
        <v>0</v>
      </c>
      <c r="K36" s="520">
        <f t="shared" si="0"/>
        <v>0</v>
      </c>
      <c r="L36" s="128"/>
      <c r="M36" s="128"/>
      <c r="N36" s="128"/>
      <c r="O36" s="128"/>
      <c r="P36" s="128"/>
    </row>
    <row r="37" spans="2:16" s="120" customFormat="1" ht="15.95" customHeight="1" thickBot="1" x14ac:dyDescent="0.25">
      <c r="B37" s="1045"/>
      <c r="C37" s="541" t="s">
        <v>156</v>
      </c>
      <c r="D37" s="484" t="s">
        <v>133</v>
      </c>
      <c r="E37" s="1041" t="s">
        <v>186</v>
      </c>
      <c r="F37" s="1041"/>
      <c r="G37" s="473" t="s">
        <v>5</v>
      </c>
      <c r="H37" s="476">
        <f>'02_SupisPrac'!H37</f>
        <v>0.20130000000000001</v>
      </c>
      <c r="I37" s="504"/>
      <c r="J37" s="956">
        <f>ROUND('02_SupisPrac'!J37,2)</f>
        <v>0</v>
      </c>
      <c r="K37" s="520">
        <f t="shared" si="0"/>
        <v>0</v>
      </c>
      <c r="L37" s="128"/>
      <c r="M37" s="128"/>
      <c r="N37" s="128"/>
      <c r="O37" s="128"/>
      <c r="P37" s="128"/>
    </row>
    <row r="38" spans="2:16" s="120" customFormat="1" ht="15.95" customHeight="1" thickBot="1" x14ac:dyDescent="0.25">
      <c r="B38" s="1045"/>
      <c r="C38" s="541" t="s">
        <v>156</v>
      </c>
      <c r="D38" s="484" t="s">
        <v>840</v>
      </c>
      <c r="E38" s="1052" t="s">
        <v>841</v>
      </c>
      <c r="F38" s="1052"/>
      <c r="G38" s="473" t="s">
        <v>51</v>
      </c>
      <c r="H38" s="476">
        <f>'02_SupisPrac'!H38</f>
        <v>73.073700000000017</v>
      </c>
      <c r="I38" s="504"/>
      <c r="J38" s="956">
        <f>ROUND('02_SupisPrac'!J38,2)</f>
        <v>0</v>
      </c>
      <c r="K38" s="520">
        <f t="shared" si="0"/>
        <v>0</v>
      </c>
      <c r="L38" s="128"/>
      <c r="M38" s="128"/>
      <c r="N38" s="128"/>
      <c r="O38" s="128"/>
      <c r="P38" s="128"/>
    </row>
    <row r="39" spans="2:16" s="120" customFormat="1" ht="15.95" customHeight="1" thickBot="1" x14ac:dyDescent="0.25">
      <c r="B39" s="1045"/>
      <c r="C39" s="541" t="s">
        <v>156</v>
      </c>
      <c r="D39" s="484" t="s">
        <v>716</v>
      </c>
      <c r="E39" s="1041" t="s">
        <v>717</v>
      </c>
      <c r="F39" s="1041"/>
      <c r="G39" s="473" t="s">
        <v>25</v>
      </c>
      <c r="H39" s="476">
        <f>'02_SupisPrac'!H39</f>
        <v>32</v>
      </c>
      <c r="I39" s="504"/>
      <c r="J39" s="956">
        <f>ROUND('02_SupisPrac'!J39,2)</f>
        <v>0</v>
      </c>
      <c r="K39" s="520">
        <f t="shared" si="0"/>
        <v>0</v>
      </c>
      <c r="L39" s="128"/>
      <c r="M39" s="128"/>
      <c r="N39" s="128"/>
      <c r="O39" s="128"/>
      <c r="P39" s="128"/>
    </row>
    <row r="40" spans="2:16" s="299" customFormat="1" ht="15.95" customHeight="1" thickBot="1" x14ac:dyDescent="0.25">
      <c r="B40" s="1045"/>
      <c r="C40" s="541" t="s">
        <v>156</v>
      </c>
      <c r="D40" s="484" t="s">
        <v>222</v>
      </c>
      <c r="E40" s="1041" t="s">
        <v>223</v>
      </c>
      <c r="F40" s="1041"/>
      <c r="G40" s="473" t="s">
        <v>25</v>
      </c>
      <c r="H40" s="476">
        <f>'02_SupisPrac'!H40</f>
        <v>144.5</v>
      </c>
      <c r="I40" s="504"/>
      <c r="J40" s="956">
        <f>ROUND('02_SupisPrac'!J40,2)</f>
        <v>0</v>
      </c>
      <c r="K40" s="520">
        <f t="shared" si="0"/>
        <v>0</v>
      </c>
      <c r="L40" s="128"/>
      <c r="M40" s="128"/>
      <c r="N40" s="128"/>
      <c r="O40" s="128"/>
      <c r="P40" s="128"/>
    </row>
    <row r="41" spans="2:16" ht="15.95" customHeight="1" thickBot="1" x14ac:dyDescent="0.25">
      <c r="B41" s="1045"/>
      <c r="C41" s="541" t="s">
        <v>156</v>
      </c>
      <c r="D41" s="484" t="s">
        <v>226</v>
      </c>
      <c r="E41" s="1041" t="s">
        <v>227</v>
      </c>
      <c r="F41" s="1041"/>
      <c r="G41" s="473" t="s">
        <v>8</v>
      </c>
      <c r="H41" s="476">
        <f>'02_SupisPrac'!H41</f>
        <v>24</v>
      </c>
      <c r="I41" s="504"/>
      <c r="J41" s="956">
        <f>ROUND('02_SupisPrac'!J41,2)</f>
        <v>0</v>
      </c>
      <c r="K41" s="520">
        <f t="shared" si="0"/>
        <v>0</v>
      </c>
    </row>
    <row r="42" spans="2:16" ht="15.95" customHeight="1" thickBot="1" x14ac:dyDescent="0.25">
      <c r="B42" s="1045"/>
      <c r="C42" s="539" t="s">
        <v>156</v>
      </c>
      <c r="D42" s="519" t="s">
        <v>820</v>
      </c>
      <c r="E42" s="1054" t="s">
        <v>821</v>
      </c>
      <c r="F42" s="1054"/>
      <c r="G42" s="550" t="s">
        <v>5</v>
      </c>
      <c r="H42" s="477">
        <f>'02_SupisPrac'!H42</f>
        <v>10.301900399999999</v>
      </c>
      <c r="I42" s="504"/>
      <c r="J42" s="956">
        <f>ROUND('02_SupisPrac'!J42,2)</f>
        <v>0</v>
      </c>
      <c r="K42" s="528">
        <f t="shared" si="0"/>
        <v>0</v>
      </c>
    </row>
    <row r="43" spans="2:16" s="120" customFormat="1" ht="24" customHeight="1" thickBot="1" x14ac:dyDescent="0.25">
      <c r="B43" s="1045"/>
      <c r="C43" s="546" t="s">
        <v>248</v>
      </c>
      <c r="D43" s="510" t="s">
        <v>234</v>
      </c>
      <c r="E43" s="1048" t="s">
        <v>456</v>
      </c>
      <c r="F43" s="1048"/>
      <c r="G43" s="511" t="s">
        <v>25</v>
      </c>
      <c r="H43" s="526">
        <f>'02_SupisPrac'!H43</f>
        <v>25.5</v>
      </c>
      <c r="I43" s="504"/>
      <c r="J43" s="956">
        <f>ROUND('02_SupisPrac'!J43,2)</f>
        <v>0</v>
      </c>
      <c r="K43" s="527">
        <f t="shared" si="0"/>
        <v>0</v>
      </c>
      <c r="L43" s="128"/>
      <c r="M43" s="128"/>
      <c r="N43" s="128"/>
      <c r="O43" s="128"/>
      <c r="P43" s="128"/>
    </row>
    <row r="44" spans="2:16" s="120" customFormat="1" ht="15.95" customHeight="1" thickBot="1" x14ac:dyDescent="0.25">
      <c r="B44" s="1045"/>
      <c r="C44" s="547" t="s">
        <v>248</v>
      </c>
      <c r="D44" s="485" t="s">
        <v>246</v>
      </c>
      <c r="E44" s="1055" t="s">
        <v>247</v>
      </c>
      <c r="F44" s="1055"/>
      <c r="G44" s="472" t="s">
        <v>25</v>
      </c>
      <c r="H44" s="477">
        <f>'02_SupisPrac'!H44</f>
        <v>34</v>
      </c>
      <c r="I44" s="504"/>
      <c r="J44" s="956">
        <f>ROUND('02_SupisPrac'!J44,2)</f>
        <v>0</v>
      </c>
      <c r="K44" s="528">
        <f t="shared" si="0"/>
        <v>0</v>
      </c>
      <c r="L44" s="128"/>
      <c r="M44" s="128"/>
      <c r="N44" s="128"/>
      <c r="O44" s="128"/>
      <c r="P44" s="128"/>
    </row>
    <row r="45" spans="2:16" s="120" customFormat="1" ht="24.95" customHeight="1" thickBot="1" x14ac:dyDescent="0.25">
      <c r="B45" s="1045"/>
      <c r="C45" s="538" t="s">
        <v>70</v>
      </c>
      <c r="D45" s="510" t="s">
        <v>74</v>
      </c>
      <c r="E45" s="1058" t="s">
        <v>75</v>
      </c>
      <c r="F45" s="1058"/>
      <c r="G45" s="511" t="s">
        <v>12</v>
      </c>
      <c r="H45" s="526">
        <f>'02_SupisPrac'!H45</f>
        <v>171.35</v>
      </c>
      <c r="I45" s="504"/>
      <c r="J45" s="956">
        <f>ROUND('02_SupisPrac'!J45,2)</f>
        <v>0</v>
      </c>
      <c r="K45" s="527">
        <f t="shared" si="0"/>
        <v>0</v>
      </c>
      <c r="L45" s="128"/>
      <c r="M45" s="128"/>
      <c r="N45" s="128"/>
      <c r="O45" s="128"/>
      <c r="P45" s="128"/>
    </row>
    <row r="46" spans="2:16" s="120" customFormat="1" ht="24.95" customHeight="1" thickBot="1" x14ac:dyDescent="0.25">
      <c r="B46" s="1045"/>
      <c r="C46" s="539" t="s">
        <v>70</v>
      </c>
      <c r="D46" s="485" t="s">
        <v>843</v>
      </c>
      <c r="E46" s="1055" t="s">
        <v>844</v>
      </c>
      <c r="F46" s="1055"/>
      <c r="G46" s="472" t="s">
        <v>12</v>
      </c>
      <c r="H46" s="477">
        <f>'02_SupisPrac'!H46</f>
        <v>33.256</v>
      </c>
      <c r="I46" s="504"/>
      <c r="J46" s="956">
        <f>ROUND('02_SupisPrac'!J46,2)</f>
        <v>0</v>
      </c>
      <c r="K46" s="528">
        <f t="shared" si="0"/>
        <v>0</v>
      </c>
      <c r="L46" s="128"/>
      <c r="M46" s="128"/>
      <c r="N46" s="128"/>
      <c r="O46" s="128"/>
      <c r="P46" s="128"/>
    </row>
    <row r="47" spans="2:16" s="120" customFormat="1" ht="15.95" customHeight="1" thickBot="1" x14ac:dyDescent="0.25">
      <c r="B47" s="1045"/>
      <c r="C47" s="548" t="s">
        <v>696</v>
      </c>
      <c r="D47" s="510" t="s">
        <v>27</v>
      </c>
      <c r="E47" s="1048" t="s">
        <v>28</v>
      </c>
      <c r="F47" s="1048"/>
      <c r="G47" s="511" t="s">
        <v>51</v>
      </c>
      <c r="H47" s="526">
        <f>'02_SupisPrac'!H47</f>
        <v>10.085000000000001</v>
      </c>
      <c r="I47" s="512"/>
      <c r="J47" s="956">
        <f>ROUND('02_SupisPrac'!J47,2)</f>
        <v>0</v>
      </c>
      <c r="K47" s="527">
        <f t="shared" si="0"/>
        <v>0</v>
      </c>
      <c r="L47" s="128"/>
      <c r="M47" s="128"/>
      <c r="N47" s="128"/>
      <c r="O47" s="128"/>
      <c r="P47" s="128"/>
    </row>
    <row r="48" spans="2:16" s="120" customFormat="1" ht="15.95" customHeight="1" thickBot="1" x14ac:dyDescent="0.25">
      <c r="B48" s="1045"/>
      <c r="C48" s="541" t="s">
        <v>696</v>
      </c>
      <c r="D48" s="493" t="s">
        <v>686</v>
      </c>
      <c r="E48" s="1051" t="s">
        <v>687</v>
      </c>
      <c r="F48" s="1051"/>
      <c r="G48" s="494" t="s">
        <v>51</v>
      </c>
      <c r="H48" s="476">
        <f>'02_SupisPrac'!H48</f>
        <v>0.52800000000000002</v>
      </c>
      <c r="I48" s="512"/>
      <c r="J48" s="956">
        <f>ROUND('02_SupisPrac'!J48,2)</f>
        <v>0</v>
      </c>
      <c r="K48" s="520">
        <f t="shared" si="0"/>
        <v>0</v>
      </c>
      <c r="L48" s="128"/>
      <c r="M48" s="128"/>
      <c r="N48" s="128"/>
      <c r="O48" s="128"/>
      <c r="P48" s="128"/>
    </row>
    <row r="49" spans="2:16" s="120" customFormat="1" ht="15.95" customHeight="1" thickBot="1" x14ac:dyDescent="0.25">
      <c r="B49" s="1045"/>
      <c r="C49" s="549" t="s">
        <v>696</v>
      </c>
      <c r="D49" s="484" t="s">
        <v>852</v>
      </c>
      <c r="E49" s="1052" t="s">
        <v>853</v>
      </c>
      <c r="F49" s="1052"/>
      <c r="G49" s="473" t="s">
        <v>12</v>
      </c>
      <c r="H49" s="476">
        <f>'02_SupisPrac'!H49</f>
        <v>37.810000000000009</v>
      </c>
      <c r="I49" s="512"/>
      <c r="J49" s="956">
        <f>ROUND('02_SupisPrac'!J49,2)</f>
        <v>0</v>
      </c>
      <c r="K49" s="520">
        <f t="shared" si="0"/>
        <v>0</v>
      </c>
      <c r="L49" s="128"/>
      <c r="M49" s="128"/>
      <c r="N49" s="128"/>
      <c r="O49" s="128"/>
      <c r="P49" s="128"/>
    </row>
    <row r="50" spans="2:16" s="120" customFormat="1" ht="15.95" customHeight="1" thickBot="1" x14ac:dyDescent="0.25">
      <c r="B50" s="1045"/>
      <c r="C50" s="541" t="s">
        <v>696</v>
      </c>
      <c r="D50" s="484" t="s">
        <v>862</v>
      </c>
      <c r="E50" s="1052" t="s">
        <v>863</v>
      </c>
      <c r="F50" s="1052"/>
      <c r="G50" s="473" t="s">
        <v>51</v>
      </c>
      <c r="H50" s="476">
        <f>'02_SupisPrac'!H50</f>
        <v>0.64000000000000012</v>
      </c>
      <c r="I50" s="512"/>
      <c r="J50" s="956">
        <f>ROUND('02_SupisPrac'!J50,2)</f>
        <v>0</v>
      </c>
      <c r="K50" s="520">
        <f t="shared" si="0"/>
        <v>0</v>
      </c>
      <c r="L50" s="128"/>
      <c r="M50" s="128"/>
      <c r="N50" s="128"/>
      <c r="O50" s="128"/>
      <c r="P50" s="128"/>
    </row>
    <row r="51" spans="2:16" s="120" customFormat="1" ht="15.95" customHeight="1" thickBot="1" x14ac:dyDescent="0.25">
      <c r="B51" s="1045"/>
      <c r="C51" s="541" t="s">
        <v>696</v>
      </c>
      <c r="D51" s="484" t="s">
        <v>38</v>
      </c>
      <c r="E51" s="1052" t="s">
        <v>3</v>
      </c>
      <c r="F51" s="1052"/>
      <c r="G51" s="473" t="s">
        <v>12</v>
      </c>
      <c r="H51" s="476">
        <f>'02_SupisPrac'!H51</f>
        <v>6.4</v>
      </c>
      <c r="I51" s="512"/>
      <c r="J51" s="956">
        <f>ROUND('02_SupisPrac'!J51,2)</f>
        <v>0</v>
      </c>
      <c r="K51" s="520">
        <f t="shared" si="0"/>
        <v>0</v>
      </c>
      <c r="L51" s="128"/>
      <c r="M51" s="128"/>
      <c r="N51" s="128"/>
      <c r="O51" s="128"/>
      <c r="P51" s="128"/>
    </row>
    <row r="52" spans="2:16" s="120" customFormat="1" ht="15.95" customHeight="1" thickBot="1" x14ac:dyDescent="0.25">
      <c r="B52" s="1045"/>
      <c r="C52" s="539" t="s">
        <v>696</v>
      </c>
      <c r="D52" s="497" t="s">
        <v>52</v>
      </c>
      <c r="E52" s="1053" t="s">
        <v>55</v>
      </c>
      <c r="F52" s="1053"/>
      <c r="G52" s="498" t="s">
        <v>51</v>
      </c>
      <c r="H52" s="477">
        <f>'02_SupisPrac'!H52</f>
        <v>0.70000000000000007</v>
      </c>
      <c r="I52" s="512"/>
      <c r="J52" s="956">
        <f>ROUND('02_SupisPrac'!J52,2)</f>
        <v>0</v>
      </c>
      <c r="K52" s="528">
        <f t="shared" si="0"/>
        <v>0</v>
      </c>
      <c r="L52" s="128"/>
      <c r="M52" s="128"/>
      <c r="N52" s="128"/>
      <c r="O52" s="128"/>
      <c r="P52" s="128"/>
    </row>
    <row r="53" spans="2:16" s="8" customFormat="1" ht="15.95" customHeight="1" thickBot="1" x14ac:dyDescent="0.25">
      <c r="B53" s="1045"/>
      <c r="C53" s="538" t="s">
        <v>80</v>
      </c>
      <c r="D53" s="510" t="s">
        <v>824</v>
      </c>
      <c r="E53" s="1048" t="s">
        <v>825</v>
      </c>
      <c r="F53" s="1048"/>
      <c r="G53" s="511" t="s">
        <v>12</v>
      </c>
      <c r="H53" s="526">
        <f>'02_SupisPrac'!H53</f>
        <v>220</v>
      </c>
      <c r="I53" s="501"/>
      <c r="J53" s="956">
        <f>ROUND('02_SupisPrac'!J53,2)</f>
        <v>0</v>
      </c>
      <c r="K53" s="527">
        <f t="shared" si="0"/>
        <v>0</v>
      </c>
    </row>
    <row r="54" spans="2:16" s="8" customFormat="1" ht="15.95" customHeight="1" thickBot="1" x14ac:dyDescent="0.25">
      <c r="B54" s="1045"/>
      <c r="C54" s="942" t="s">
        <v>80</v>
      </c>
      <c r="D54" s="491" t="s">
        <v>82</v>
      </c>
      <c r="E54" s="1049" t="s">
        <v>83</v>
      </c>
      <c r="F54" s="1049"/>
      <c r="G54" s="492" t="s">
        <v>25</v>
      </c>
      <c r="H54" s="482">
        <f>'02_SupisPrac'!H54</f>
        <v>32.700000000000003</v>
      </c>
      <c r="I54" s="501"/>
      <c r="J54" s="956">
        <f>ROUND('02_SupisPrac'!J54,2)</f>
        <v>0</v>
      </c>
      <c r="K54" s="943">
        <f t="shared" si="0"/>
        <v>0</v>
      </c>
    </row>
    <row r="55" spans="2:16" s="504" customFormat="1" ht="15.95" customHeight="1" thickBot="1" x14ac:dyDescent="0.25">
      <c r="B55" s="1046"/>
      <c r="C55" s="949" t="s">
        <v>412</v>
      </c>
      <c r="D55" s="510" t="s">
        <v>919</v>
      </c>
      <c r="E55" s="989" t="s">
        <v>920</v>
      </c>
      <c r="F55" s="989"/>
      <c r="G55" s="511" t="s">
        <v>12</v>
      </c>
      <c r="H55" s="526">
        <f>'02_SupisPrac'!H55</f>
        <v>124.95</v>
      </c>
      <c r="I55" s="952"/>
      <c r="J55" s="956">
        <f>ROUND('02_SupisPrac'!J55,2)</f>
        <v>0</v>
      </c>
      <c r="K55" s="527">
        <f t="shared" si="0"/>
        <v>0</v>
      </c>
      <c r="L55" s="505"/>
      <c r="M55" s="505"/>
      <c r="N55" s="505"/>
      <c r="O55" s="505"/>
      <c r="P55" s="505"/>
    </row>
    <row r="56" spans="2:16" s="504" customFormat="1" ht="15.95" customHeight="1" thickBot="1" x14ac:dyDescent="0.25">
      <c r="B56" s="1046"/>
      <c r="C56" s="950" t="s">
        <v>412</v>
      </c>
      <c r="D56" s="484" t="s">
        <v>441</v>
      </c>
      <c r="E56" s="1041" t="s">
        <v>442</v>
      </c>
      <c r="F56" s="1041"/>
      <c r="G56" s="473" t="s">
        <v>12</v>
      </c>
      <c r="H56" s="476">
        <f>'02_SupisPrac'!H56</f>
        <v>269.5</v>
      </c>
      <c r="I56" s="512"/>
      <c r="J56" s="956">
        <f>ROUND('02_SupisPrac'!J56,2)</f>
        <v>0</v>
      </c>
      <c r="K56" s="520">
        <f t="shared" ref="K56" si="1">H56*J56</f>
        <v>0</v>
      </c>
      <c r="L56" s="505"/>
      <c r="M56" s="505"/>
      <c r="N56" s="505"/>
      <c r="O56" s="505"/>
      <c r="P56" s="505"/>
    </row>
    <row r="57" spans="2:16" s="504" customFormat="1" ht="15.95" customHeight="1" thickBot="1" x14ac:dyDescent="0.25">
      <c r="B57" s="1046"/>
      <c r="C57" s="951" t="s">
        <v>412</v>
      </c>
      <c r="D57" s="485" t="s">
        <v>443</v>
      </c>
      <c r="E57" s="1050" t="s">
        <v>444</v>
      </c>
      <c r="F57" s="1050"/>
      <c r="G57" s="910" t="s">
        <v>12</v>
      </c>
      <c r="H57" s="477">
        <f>'02_SupisPrac'!H57</f>
        <v>392.71568000000002</v>
      </c>
      <c r="I57" s="953"/>
      <c r="J57" s="956">
        <f>ROUND('02_SupisPrac'!J57,2)</f>
        <v>0</v>
      </c>
      <c r="K57" s="528">
        <f t="shared" si="0"/>
        <v>0</v>
      </c>
      <c r="L57" s="505"/>
      <c r="M57" s="505"/>
      <c r="N57" s="505"/>
      <c r="O57" s="505"/>
      <c r="P57" s="505"/>
    </row>
    <row r="58" spans="2:16" s="120" customFormat="1" ht="50.1" customHeight="1" thickBot="1" x14ac:dyDescent="0.25">
      <c r="B58" s="1047"/>
      <c r="C58" s="944" t="s">
        <v>414</v>
      </c>
      <c r="D58" s="945" t="s">
        <v>721</v>
      </c>
      <c r="E58" s="1042" t="s">
        <v>722</v>
      </c>
      <c r="F58" s="1043"/>
      <c r="G58" s="946" t="s">
        <v>12</v>
      </c>
      <c r="H58" s="947">
        <f>'02_SupisPrac'!H58</f>
        <v>492.75670000000002</v>
      </c>
      <c r="I58" s="504"/>
      <c r="J58" s="956">
        <f>ROUND('02_SupisPrac'!J58,2)</f>
        <v>0</v>
      </c>
      <c r="K58" s="948">
        <f t="shared" si="0"/>
        <v>0</v>
      </c>
      <c r="L58" s="128"/>
      <c r="M58" s="128"/>
      <c r="N58" s="128"/>
      <c r="O58" s="128"/>
      <c r="P58" s="128"/>
    </row>
    <row r="59" spans="2:16" ht="15.95" customHeight="1" x14ac:dyDescent="0.2">
      <c r="B59" s="503"/>
      <c r="C59" s="503"/>
      <c r="D59" s="505"/>
      <c r="E59" s="505"/>
      <c r="F59" s="506"/>
      <c r="G59" s="505"/>
      <c r="H59" s="507"/>
      <c r="I59" s="504"/>
      <c r="J59" s="522" t="s">
        <v>905</v>
      </c>
      <c r="K59" s="515">
        <f>SUM(K8:K58)</f>
        <v>0</v>
      </c>
    </row>
    <row r="60" spans="2:16" ht="15.95" customHeight="1" x14ac:dyDescent="0.2">
      <c r="B60" s="503"/>
      <c r="C60" s="503"/>
      <c r="D60" s="505"/>
      <c r="E60" s="505"/>
      <c r="F60" s="506"/>
      <c r="G60" s="505"/>
      <c r="H60" s="507"/>
      <c r="I60" s="504"/>
      <c r="J60" s="523" t="s">
        <v>906</v>
      </c>
      <c r="K60" s="516">
        <f>K59*0.2</f>
        <v>0</v>
      </c>
    </row>
    <row r="61" spans="2:16" s="120" customFormat="1" ht="15.95" customHeight="1" thickBot="1" x14ac:dyDescent="0.25">
      <c r="B61" s="503"/>
      <c r="C61" s="502"/>
      <c r="D61" s="508"/>
      <c r="E61" s="505"/>
      <c r="F61" s="506"/>
      <c r="G61" s="508"/>
      <c r="H61" s="509"/>
      <c r="I61" s="504"/>
      <c r="J61" s="524" t="s">
        <v>907</v>
      </c>
      <c r="K61" s="517">
        <f>SUM(K59:K60)</f>
        <v>0</v>
      </c>
      <c r="L61" s="128"/>
      <c r="M61" s="128"/>
      <c r="N61" s="128"/>
      <c r="O61" s="128"/>
      <c r="P61" s="128"/>
    </row>
    <row r="62" spans="2:16" x14ac:dyDescent="0.2">
      <c r="B62" s="503"/>
      <c r="C62" s="503"/>
      <c r="D62" s="505"/>
      <c r="E62" s="505"/>
      <c r="F62" s="506"/>
      <c r="G62" s="505"/>
      <c r="H62" s="507"/>
      <c r="I62" s="504"/>
      <c r="J62" s="525"/>
      <c r="K62" s="505"/>
    </row>
    <row r="63" spans="2:16" x14ac:dyDescent="0.2">
      <c r="B63" s="503"/>
      <c r="C63" s="503"/>
      <c r="D63" s="505"/>
      <c r="E63" s="505"/>
      <c r="F63" s="506"/>
      <c r="G63" s="505"/>
      <c r="H63" s="507"/>
      <c r="I63" s="504"/>
      <c r="J63" s="525"/>
      <c r="K63" s="505"/>
    </row>
    <row r="64" spans="2:16" x14ac:dyDescent="0.2">
      <c r="B64" s="503"/>
      <c r="C64" s="503"/>
      <c r="D64" s="505"/>
      <c r="E64" s="505"/>
      <c r="F64" s="506"/>
      <c r="G64" s="505"/>
      <c r="H64" s="507"/>
      <c r="I64" s="504"/>
      <c r="J64" s="525"/>
      <c r="K64" s="505"/>
    </row>
    <row r="65" spans="2:11" x14ac:dyDescent="0.2">
      <c r="B65" s="503"/>
      <c r="C65" s="503"/>
      <c r="D65" s="505"/>
      <c r="E65" s="505"/>
      <c r="F65" s="506"/>
      <c r="G65" s="505"/>
      <c r="H65" s="507"/>
      <c r="I65" s="504"/>
      <c r="J65" s="525"/>
      <c r="K65" s="505"/>
    </row>
  </sheetData>
  <sheetProtection algorithmName="SHA-512" hashValue="BgaoOwvcBS3nrEj9XZ+NJdKrAuDImCjRFPYl48AJiImM3S27t6v+guUiwZnbwe+kTRQNl1KwGx8zCG0aA4ukxA==" saltValue="qWQDOciGogi8TQXDZBz52g==" spinCount="100000" sheet="1" objects="1" scenarios="1"/>
  <mergeCells count="61">
    <mergeCell ref="E1:H1"/>
    <mergeCell ref="E2:F2"/>
    <mergeCell ref="B6:B7"/>
    <mergeCell ref="C6:D7"/>
    <mergeCell ref="E6:F7"/>
    <mergeCell ref="G6:G7"/>
    <mergeCell ref="H6:H7"/>
    <mergeCell ref="K6:K7"/>
    <mergeCell ref="E8:F8"/>
    <mergeCell ref="E9:F9"/>
    <mergeCell ref="E10:F10"/>
    <mergeCell ref="E11:F11"/>
    <mergeCell ref="E19:F19"/>
    <mergeCell ref="E20:F20"/>
    <mergeCell ref="E21:F21"/>
    <mergeCell ref="E22:F22"/>
    <mergeCell ref="J6:J7"/>
    <mergeCell ref="E12:F12"/>
    <mergeCell ref="E13:F13"/>
    <mergeCell ref="E14:F14"/>
    <mergeCell ref="E15:F15"/>
    <mergeCell ref="E16:F16"/>
    <mergeCell ref="E17:F17"/>
    <mergeCell ref="E18:F18"/>
    <mergeCell ref="E24:F24"/>
    <mergeCell ref="E25:F25"/>
    <mergeCell ref="E26:F26"/>
    <mergeCell ref="E27:F27"/>
    <mergeCell ref="E28:F28"/>
    <mergeCell ref="E23:F23"/>
    <mergeCell ref="E45:F45"/>
    <mergeCell ref="E31:F31"/>
    <mergeCell ref="E46:F46"/>
    <mergeCell ref="E36:F3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29:F29"/>
    <mergeCell ref="E30:F30"/>
    <mergeCell ref="E56:F56"/>
    <mergeCell ref="E58:F58"/>
    <mergeCell ref="B8:B58"/>
    <mergeCell ref="E53:F53"/>
    <mergeCell ref="E54:F54"/>
    <mergeCell ref="E55:F55"/>
    <mergeCell ref="E57:F57"/>
    <mergeCell ref="E47:F47"/>
    <mergeCell ref="E48:F48"/>
    <mergeCell ref="E49:F49"/>
    <mergeCell ref="E50:F50"/>
    <mergeCell ref="E51:F51"/>
    <mergeCell ref="E52:F52"/>
    <mergeCell ref="E42:F42"/>
    <mergeCell ref="E43:F43"/>
    <mergeCell ref="E44:F4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C66B-38E9-409E-809B-20B1AEA3D5B5}">
  <sheetPr codeName="Hárok8"/>
  <dimension ref="B1:Q340"/>
  <sheetViews>
    <sheetView tabSelected="1" view="pageBreakPreview" zoomScale="120" zoomScaleNormal="120" zoomScaleSheetLayoutView="120" workbookViewId="0">
      <pane ySplit="7" topLeftCell="A32" activePane="bottomLeft" state="frozen"/>
      <selection pane="bottomLeft" activeCell="F34" sqref="F34"/>
    </sheetView>
  </sheetViews>
  <sheetFormatPr defaultRowHeight="12.75" x14ac:dyDescent="0.2"/>
  <cols>
    <col min="1" max="1" width="2.5703125" style="559" customWidth="1"/>
    <col min="2" max="2" width="4.7109375" style="558" customWidth="1"/>
    <col min="3" max="3" width="9.28515625" style="558" bestFit="1" customWidth="1"/>
    <col min="4" max="4" width="9.5703125" style="559" bestFit="1" customWidth="1"/>
    <col min="5" max="5" width="11" style="559" customWidth="1"/>
    <col min="6" max="6" width="54.28515625" style="559" customWidth="1"/>
    <col min="7" max="7" width="13" style="905" bestFit="1" customWidth="1"/>
    <col min="8" max="8" width="5" style="559" bestFit="1" customWidth="1"/>
    <col min="9" max="9" width="9.85546875" style="907" customWidth="1"/>
    <col min="10" max="10" width="14.85546875" style="560" customWidth="1"/>
    <col min="11" max="11" width="15.28515625" style="561" customWidth="1"/>
    <col min="12" max="12" width="6.28515625" style="559" customWidth="1"/>
    <col min="13" max="16384" width="9.140625" style="559"/>
  </cols>
  <sheetData>
    <row r="1" spans="2:11" s="560" customFormat="1" ht="25.5" customHeight="1" x14ac:dyDescent="0.2">
      <c r="B1" s="557" t="s">
        <v>626</v>
      </c>
      <c r="C1" s="558"/>
      <c r="D1" s="559"/>
      <c r="E1" s="559"/>
      <c r="F1" s="1036" t="s">
        <v>759</v>
      </c>
      <c r="G1" s="1036"/>
      <c r="H1" s="1036"/>
      <c r="I1" s="1036"/>
      <c r="K1" s="561"/>
    </row>
    <row r="2" spans="2:11" s="560" customFormat="1" ht="15" customHeight="1" x14ac:dyDescent="0.2">
      <c r="B2" s="557" t="s">
        <v>149</v>
      </c>
      <c r="C2" s="557"/>
      <c r="D2" s="562"/>
      <c r="E2" s="634"/>
      <c r="F2" s="1036" t="s">
        <v>760</v>
      </c>
      <c r="G2" s="1036"/>
      <c r="H2" s="563"/>
      <c r="I2" s="564"/>
      <c r="K2" s="561"/>
    </row>
    <row r="3" spans="2:11" s="560" customFormat="1" ht="6" customHeight="1" x14ac:dyDescent="0.2">
      <c r="B3" s="557"/>
      <c r="C3" s="557"/>
      <c r="D3" s="562"/>
      <c r="E3" s="634"/>
      <c r="F3" s="565"/>
      <c r="G3" s="565"/>
      <c r="H3" s="563"/>
      <c r="I3" s="564"/>
      <c r="K3" s="561"/>
    </row>
    <row r="4" spans="2:11" s="560" customFormat="1" ht="15" customHeight="1" x14ac:dyDescent="0.2">
      <c r="B4" s="566" t="s">
        <v>152</v>
      </c>
      <c r="C4" s="566"/>
      <c r="D4" s="562"/>
      <c r="E4" s="634"/>
      <c r="F4" s="565"/>
      <c r="G4" s="565"/>
      <c r="H4" s="563"/>
      <c r="I4" s="564"/>
      <c r="K4" s="561"/>
    </row>
    <row r="5" spans="2:11" s="560" customFormat="1" ht="13.5" thickBot="1" x14ac:dyDescent="0.25">
      <c r="B5" s="567" t="s">
        <v>150</v>
      </c>
      <c r="C5" s="557"/>
      <c r="D5" s="562"/>
      <c r="E5" s="634"/>
      <c r="F5" s="568">
        <v>2141</v>
      </c>
      <c r="G5" s="569"/>
      <c r="H5" s="570"/>
      <c r="I5" s="564"/>
      <c r="K5" s="561"/>
    </row>
    <row r="6" spans="2:11" s="560" customFormat="1" x14ac:dyDescent="0.2">
      <c r="B6" s="1089" t="s">
        <v>151</v>
      </c>
      <c r="C6" s="1090"/>
      <c r="D6" s="1090"/>
      <c r="E6" s="635"/>
      <c r="F6" s="1091" t="s">
        <v>152</v>
      </c>
      <c r="G6" s="1092"/>
      <c r="H6" s="1095" t="s">
        <v>153</v>
      </c>
      <c r="I6" s="1097" t="s">
        <v>154</v>
      </c>
      <c r="K6" s="561"/>
    </row>
    <row r="7" spans="2:11" s="560" customFormat="1" ht="13.5" thickBot="1" x14ac:dyDescent="0.25">
      <c r="B7" s="636" t="s">
        <v>155</v>
      </c>
      <c r="C7" s="637" t="s">
        <v>285</v>
      </c>
      <c r="D7" s="637" t="s">
        <v>286</v>
      </c>
      <c r="E7" s="637" t="s">
        <v>287</v>
      </c>
      <c r="F7" s="1093"/>
      <c r="G7" s="1094"/>
      <c r="H7" s="1096"/>
      <c r="I7" s="1098"/>
      <c r="K7" s="561"/>
    </row>
    <row r="8" spans="2:11" s="560" customFormat="1" x14ac:dyDescent="0.2">
      <c r="B8" s="638"/>
      <c r="C8" s="639"/>
      <c r="D8" s="639"/>
      <c r="E8" s="640"/>
      <c r="F8" s="641"/>
      <c r="G8" s="642"/>
      <c r="H8" s="643"/>
      <c r="I8" s="644"/>
      <c r="K8" s="561"/>
    </row>
    <row r="9" spans="2:11" s="560" customFormat="1" x14ac:dyDescent="0.2">
      <c r="B9" s="645"/>
      <c r="C9" s="646" t="s">
        <v>729</v>
      </c>
      <c r="D9" s="646"/>
      <c r="E9" s="647"/>
      <c r="F9" s="648" t="s">
        <v>730</v>
      </c>
      <c r="G9" s="649"/>
      <c r="H9" s="650"/>
      <c r="I9" s="651"/>
      <c r="K9" s="561"/>
    </row>
    <row r="10" spans="2:11" s="560" customFormat="1" ht="9.9499999999999993" customHeight="1" x14ac:dyDescent="0.2">
      <c r="B10" s="645"/>
      <c r="C10" s="652"/>
      <c r="D10" s="652"/>
      <c r="E10" s="653"/>
      <c r="F10" s="654"/>
      <c r="G10" s="649"/>
      <c r="H10" s="650"/>
      <c r="I10" s="651"/>
      <c r="K10" s="561"/>
    </row>
    <row r="11" spans="2:11" s="560" customFormat="1" ht="25.5" x14ac:dyDescent="0.2">
      <c r="B11" s="655">
        <f>MAX(B$5:B9)+1</f>
        <v>1</v>
      </c>
      <c r="C11" s="652"/>
      <c r="D11" s="656" t="s">
        <v>731</v>
      </c>
      <c r="E11" s="657"/>
      <c r="F11" s="658" t="s">
        <v>732</v>
      </c>
      <c r="G11" s="659"/>
      <c r="H11" s="660" t="s">
        <v>5</v>
      </c>
      <c r="I11" s="661">
        <f>G62</f>
        <v>142.30199999999999</v>
      </c>
      <c r="K11" s="561"/>
    </row>
    <row r="12" spans="2:11" s="560" customFormat="1" ht="9.9499999999999993" customHeight="1" x14ac:dyDescent="0.2">
      <c r="B12" s="662"/>
      <c r="C12" s="652"/>
      <c r="D12" s="652"/>
      <c r="E12" s="653"/>
      <c r="F12" s="654"/>
      <c r="G12" s="649"/>
      <c r="H12" s="650"/>
      <c r="I12" s="651"/>
      <c r="K12" s="561"/>
    </row>
    <row r="13" spans="2:11" s="560" customFormat="1" x14ac:dyDescent="0.2">
      <c r="B13" s="655">
        <f>MAX(B$5:B11)+1</f>
        <v>2</v>
      </c>
      <c r="C13" s="652"/>
      <c r="D13" s="656" t="s">
        <v>733</v>
      </c>
      <c r="E13" s="657"/>
      <c r="F13" s="658" t="s">
        <v>734</v>
      </c>
      <c r="G13" s="659"/>
      <c r="H13" s="663" t="s">
        <v>51</v>
      </c>
      <c r="I13" s="664">
        <f>G118</f>
        <v>127.687</v>
      </c>
      <c r="K13" s="561"/>
    </row>
    <row r="14" spans="2:11" s="560" customFormat="1" ht="9.9499999999999993" customHeight="1" x14ac:dyDescent="0.2">
      <c r="B14" s="662"/>
      <c r="C14" s="652"/>
      <c r="D14" s="652"/>
      <c r="E14" s="653"/>
      <c r="F14" s="654"/>
      <c r="G14" s="649"/>
      <c r="H14" s="650"/>
      <c r="I14" s="651"/>
      <c r="K14" s="561"/>
    </row>
    <row r="15" spans="2:11" s="560" customFormat="1" ht="25.5" x14ac:dyDescent="0.2">
      <c r="B15" s="655">
        <f>MAX(B$5:B13)+1</f>
        <v>3</v>
      </c>
      <c r="C15" s="652"/>
      <c r="D15" s="656" t="s">
        <v>735</v>
      </c>
      <c r="E15" s="657"/>
      <c r="F15" s="658" t="s">
        <v>736</v>
      </c>
      <c r="G15" s="659"/>
      <c r="H15" s="660" t="s">
        <v>51</v>
      </c>
      <c r="I15" s="661">
        <v>6</v>
      </c>
      <c r="K15" s="561"/>
    </row>
    <row r="16" spans="2:11" s="560" customFormat="1" ht="9.9499999999999993" customHeight="1" x14ac:dyDescent="0.2">
      <c r="B16" s="662"/>
      <c r="C16" s="652"/>
      <c r="D16" s="652"/>
      <c r="E16" s="653"/>
      <c r="F16" s="654"/>
      <c r="G16" s="649"/>
      <c r="H16" s="650"/>
      <c r="I16" s="651"/>
      <c r="K16" s="561"/>
    </row>
    <row r="17" spans="2:17" ht="25.5" x14ac:dyDescent="0.2">
      <c r="B17" s="655">
        <f>MAX(B$5:B15)+1</f>
        <v>4</v>
      </c>
      <c r="C17" s="652"/>
      <c r="D17" s="665" t="s">
        <v>737</v>
      </c>
      <c r="E17" s="653"/>
      <c r="F17" s="666" t="s">
        <v>738</v>
      </c>
      <c r="G17" s="649"/>
      <c r="H17" s="667" t="s">
        <v>543</v>
      </c>
      <c r="I17" s="661">
        <f>I19</f>
        <v>1</v>
      </c>
    </row>
    <row r="18" spans="2:17" x14ac:dyDescent="0.2">
      <c r="B18" s="662"/>
      <c r="C18" s="652"/>
      <c r="D18" s="652"/>
      <c r="E18" s="653"/>
      <c r="F18" s="654"/>
      <c r="G18" s="649"/>
      <c r="H18" s="650"/>
      <c r="I18" s="651"/>
    </row>
    <row r="19" spans="2:17" x14ac:dyDescent="0.2">
      <c r="B19" s="662"/>
      <c r="C19" s="668"/>
      <c r="D19" s="668"/>
      <c r="E19" s="669" t="s">
        <v>739</v>
      </c>
      <c r="F19" s="670" t="s">
        <v>740</v>
      </c>
      <c r="G19" s="649"/>
      <c r="H19" s="650" t="s">
        <v>543</v>
      </c>
      <c r="I19" s="651">
        <v>1</v>
      </c>
    </row>
    <row r="20" spans="2:17" ht="22.5" x14ac:dyDescent="0.2">
      <c r="B20" s="662"/>
      <c r="C20" s="668"/>
      <c r="D20" s="668"/>
      <c r="E20" s="653"/>
      <c r="F20" s="671" t="s">
        <v>799</v>
      </c>
      <c r="G20" s="649">
        <v>1</v>
      </c>
      <c r="H20" s="650"/>
      <c r="I20" s="651"/>
    </row>
    <row r="21" spans="2:17" x14ac:dyDescent="0.2">
      <c r="B21" s="662"/>
      <c r="C21" s="652"/>
      <c r="D21" s="652"/>
      <c r="E21" s="653"/>
      <c r="F21" s="654"/>
      <c r="G21" s="649"/>
      <c r="H21" s="650"/>
      <c r="I21" s="651"/>
    </row>
    <row r="22" spans="2:17" ht="38.25" x14ac:dyDescent="0.2">
      <c r="B22" s="655">
        <f>MAX(B$5:B20)+1</f>
        <v>5</v>
      </c>
      <c r="C22" s="652"/>
      <c r="D22" s="665" t="s">
        <v>742</v>
      </c>
      <c r="E22" s="653"/>
      <c r="F22" s="666" t="s">
        <v>750</v>
      </c>
      <c r="G22" s="649"/>
      <c r="H22" s="667" t="s">
        <v>543</v>
      </c>
      <c r="I22" s="661">
        <v>1</v>
      </c>
    </row>
    <row r="23" spans="2:17" x14ac:dyDescent="0.2">
      <c r="B23" s="662"/>
      <c r="C23" s="652"/>
      <c r="D23" s="652"/>
      <c r="E23" s="653"/>
      <c r="F23" s="671"/>
      <c r="G23" s="649"/>
      <c r="H23" s="650"/>
      <c r="I23" s="651"/>
    </row>
    <row r="24" spans="2:17" ht="25.5" x14ac:dyDescent="0.2">
      <c r="B24" s="655">
        <f>MAX(B$5:B22)+1</f>
        <v>6</v>
      </c>
      <c r="C24" s="652"/>
      <c r="D24" s="665" t="s">
        <v>743</v>
      </c>
      <c r="E24" s="653"/>
      <c r="F24" s="666" t="s">
        <v>744</v>
      </c>
      <c r="G24" s="649"/>
      <c r="H24" s="667" t="s">
        <v>543</v>
      </c>
      <c r="I24" s="661">
        <f>I25+I26+I27</f>
        <v>3</v>
      </c>
    </row>
    <row r="25" spans="2:17" ht="36" x14ac:dyDescent="0.2">
      <c r="B25" s="662"/>
      <c r="C25" s="652"/>
      <c r="D25" s="652"/>
      <c r="E25" s="669" t="s">
        <v>745</v>
      </c>
      <c r="F25" s="672" t="s">
        <v>746</v>
      </c>
      <c r="G25" s="649">
        <v>1</v>
      </c>
      <c r="H25" s="650" t="s">
        <v>543</v>
      </c>
      <c r="I25" s="651">
        <v>1</v>
      </c>
    </row>
    <row r="26" spans="2:17" ht="36" x14ac:dyDescent="0.2">
      <c r="B26" s="662"/>
      <c r="C26" s="652"/>
      <c r="D26" s="652"/>
      <c r="E26" s="669" t="s">
        <v>747</v>
      </c>
      <c r="F26" s="672" t="s">
        <v>748</v>
      </c>
      <c r="G26" s="649">
        <v>1</v>
      </c>
      <c r="H26" s="650" t="s">
        <v>543</v>
      </c>
      <c r="I26" s="651">
        <v>1</v>
      </c>
    </row>
    <row r="27" spans="2:17" ht="24" x14ac:dyDescent="0.2">
      <c r="B27" s="662"/>
      <c r="C27" s="652"/>
      <c r="D27" s="652"/>
      <c r="E27" s="669" t="s">
        <v>741</v>
      </c>
      <c r="F27" s="672" t="s">
        <v>749</v>
      </c>
      <c r="G27" s="649">
        <v>1</v>
      </c>
      <c r="H27" s="650" t="s">
        <v>543</v>
      </c>
      <c r="I27" s="651">
        <v>1</v>
      </c>
    </row>
    <row r="28" spans="2:17" x14ac:dyDescent="0.2">
      <c r="B28" s="662"/>
      <c r="C28" s="673"/>
      <c r="D28" s="673"/>
      <c r="E28" s="674"/>
      <c r="F28" s="675"/>
      <c r="G28" s="676"/>
      <c r="H28" s="677"/>
      <c r="I28" s="678"/>
    </row>
    <row r="29" spans="2:17" ht="15.75" x14ac:dyDescent="0.2">
      <c r="B29" s="662"/>
      <c r="C29" s="673" t="s">
        <v>288</v>
      </c>
      <c r="D29" s="679"/>
      <c r="E29" s="680"/>
      <c r="F29" s="681" t="s">
        <v>289</v>
      </c>
      <c r="G29" s="676"/>
      <c r="H29" s="677"/>
      <c r="I29" s="678"/>
    </row>
    <row r="30" spans="2:17" ht="9.9499999999999993" customHeight="1" x14ac:dyDescent="0.2">
      <c r="B30" s="662"/>
      <c r="C30" s="673"/>
      <c r="D30" s="673"/>
      <c r="E30" s="674"/>
      <c r="F30" s="682"/>
      <c r="G30" s="676"/>
      <c r="H30" s="677"/>
      <c r="I30" s="678"/>
    </row>
    <row r="31" spans="2:17" ht="25.5" x14ac:dyDescent="0.2">
      <c r="B31" s="655">
        <f>MAX(B$5:B29)+1</f>
        <v>7</v>
      </c>
      <c r="C31" s="673"/>
      <c r="D31" s="656" t="s">
        <v>832</v>
      </c>
      <c r="E31" s="657"/>
      <c r="F31" s="658" t="s">
        <v>833</v>
      </c>
      <c r="G31" s="659"/>
      <c r="H31" s="660" t="s">
        <v>51</v>
      </c>
      <c r="I31" s="683">
        <f>G36</f>
        <v>47.2104</v>
      </c>
    </row>
    <row r="32" spans="2:17" s="558" customFormat="1" ht="13.5" customHeight="1" x14ac:dyDescent="0.2">
      <c r="B32" s="684"/>
      <c r="C32" s="685"/>
      <c r="D32" s="686"/>
      <c r="E32" s="687"/>
      <c r="F32" s="688" t="s">
        <v>834</v>
      </c>
      <c r="G32" s="676"/>
      <c r="H32" s="689"/>
      <c r="I32" s="683"/>
      <c r="K32" s="690"/>
      <c r="N32" s="559"/>
      <c r="O32" s="559"/>
      <c r="P32" s="559"/>
      <c r="Q32" s="559"/>
    </row>
    <row r="33" spans="2:17" s="558" customFormat="1" ht="13.5" customHeight="1" x14ac:dyDescent="0.2">
      <c r="B33" s="684"/>
      <c r="C33" s="685"/>
      <c r="D33" s="686"/>
      <c r="E33" s="687"/>
      <c r="F33" s="691" t="s">
        <v>835</v>
      </c>
      <c r="G33" s="692"/>
      <c r="H33" s="689"/>
      <c r="I33" s="683"/>
      <c r="K33" s="690"/>
      <c r="N33" s="559"/>
      <c r="O33" s="559"/>
      <c r="P33" s="559"/>
      <c r="Q33" s="559"/>
    </row>
    <row r="34" spans="2:17" s="558" customFormat="1" x14ac:dyDescent="0.2">
      <c r="B34" s="684"/>
      <c r="C34" s="685"/>
      <c r="D34" s="686"/>
      <c r="E34" s="687"/>
      <c r="F34" s="691" t="s">
        <v>916</v>
      </c>
      <c r="G34" s="692">
        <f>6.3*14*(0.3+0.1)</f>
        <v>35.28</v>
      </c>
      <c r="H34" s="689"/>
      <c r="I34" s="683"/>
      <c r="K34" s="690"/>
    </row>
    <row r="35" spans="2:17" s="558" customFormat="1" ht="25.5" x14ac:dyDescent="0.2">
      <c r="B35" s="684"/>
      <c r="C35" s="685"/>
      <c r="D35" s="686"/>
      <c r="E35" s="687"/>
      <c r="F35" s="691" t="s">
        <v>945</v>
      </c>
      <c r="G35" s="693">
        <f>2*0.6*(8.995+8.145+8+8)*0.3</f>
        <v>11.930400000000001</v>
      </c>
      <c r="H35" s="689"/>
      <c r="I35" s="683"/>
      <c r="K35" s="690"/>
    </row>
    <row r="36" spans="2:17" s="558" customFormat="1" ht="13.5" customHeight="1" x14ac:dyDescent="0.2">
      <c r="B36" s="684"/>
      <c r="C36" s="685"/>
      <c r="D36" s="686"/>
      <c r="E36" s="687"/>
      <c r="F36" s="688" t="s">
        <v>250</v>
      </c>
      <c r="G36" s="676">
        <f>SUM(G33:G35)</f>
        <v>47.2104</v>
      </c>
      <c r="H36" s="689"/>
      <c r="I36" s="683"/>
      <c r="K36" s="690"/>
    </row>
    <row r="37" spans="2:17" ht="13.5" customHeight="1" x14ac:dyDescent="0.2">
      <c r="B37" s="662"/>
      <c r="C37" s="673"/>
      <c r="D37" s="673"/>
      <c r="E37" s="674"/>
      <c r="F37" s="682"/>
      <c r="G37" s="676"/>
      <c r="H37" s="677"/>
      <c r="I37" s="678"/>
    </row>
    <row r="38" spans="2:17" ht="41.25" customHeight="1" x14ac:dyDescent="0.2">
      <c r="B38" s="655">
        <f>MAX(B$5:B37)+1</f>
        <v>8</v>
      </c>
      <c r="C38" s="673"/>
      <c r="D38" s="656" t="s">
        <v>836</v>
      </c>
      <c r="E38" s="657"/>
      <c r="F38" s="694" t="s">
        <v>837</v>
      </c>
      <c r="G38" s="659"/>
      <c r="H38" s="660" t="s">
        <v>51</v>
      </c>
      <c r="I38" s="683">
        <f>G44</f>
        <v>12.08216</v>
      </c>
      <c r="J38" s="608"/>
      <c r="K38" s="695"/>
    </row>
    <row r="39" spans="2:17" ht="38.25" customHeight="1" x14ac:dyDescent="0.2">
      <c r="B39" s="662"/>
      <c r="C39" s="673"/>
      <c r="D39" s="673"/>
      <c r="E39" s="674"/>
      <c r="F39" s="688" t="s">
        <v>943</v>
      </c>
      <c r="G39" s="676"/>
      <c r="H39" s="677"/>
      <c r="I39" s="678"/>
    </row>
    <row r="40" spans="2:17" ht="15.95" customHeight="1" x14ac:dyDescent="0.2">
      <c r="B40" s="662"/>
      <c r="C40" s="673"/>
      <c r="D40" s="673"/>
      <c r="E40" s="674"/>
      <c r="F40" s="688" t="s">
        <v>927</v>
      </c>
      <c r="G40" s="696">
        <f>1*2*1.8*17*0.1</f>
        <v>6.120000000000001</v>
      </c>
      <c r="H40" s="677"/>
      <c r="I40" s="678"/>
    </row>
    <row r="41" spans="2:17" ht="18.75" customHeight="1" x14ac:dyDescent="0.2">
      <c r="B41" s="662"/>
      <c r="C41" s="673"/>
      <c r="D41" s="673"/>
      <c r="E41" s="674"/>
      <c r="F41" s="688" t="s">
        <v>917</v>
      </c>
      <c r="G41" s="696">
        <f>1*3.5*17*0.02</f>
        <v>1.19</v>
      </c>
      <c r="H41" s="677"/>
      <c r="I41" s="678"/>
    </row>
    <row r="42" spans="2:17" ht="18.75" customHeight="1" x14ac:dyDescent="0.2">
      <c r="B42" s="662"/>
      <c r="C42" s="673"/>
      <c r="D42" s="673"/>
      <c r="E42" s="674"/>
      <c r="F42" s="697" t="s">
        <v>928</v>
      </c>
      <c r="G42" s="696"/>
      <c r="H42" s="677"/>
      <c r="I42" s="678"/>
    </row>
    <row r="43" spans="2:17" ht="18.75" customHeight="1" x14ac:dyDescent="0.2">
      <c r="B43" s="662"/>
      <c r="C43" s="673"/>
      <c r="D43" s="673"/>
      <c r="E43" s="674"/>
      <c r="F43" s="688" t="s">
        <v>838</v>
      </c>
      <c r="G43" s="696">
        <f>0.48*0.15*2*(8.995+8.145+8+8)</f>
        <v>4.7721599999999995</v>
      </c>
      <c r="H43" s="677"/>
      <c r="I43" s="678"/>
    </row>
    <row r="44" spans="2:17" ht="18" customHeight="1" x14ac:dyDescent="0.2">
      <c r="B44" s="662"/>
      <c r="C44" s="673"/>
      <c r="D44" s="673"/>
      <c r="E44" s="674"/>
      <c r="F44" s="698" t="s">
        <v>250</v>
      </c>
      <c r="G44" s="676">
        <f>SUM(G40:G43)</f>
        <v>12.08216</v>
      </c>
      <c r="H44" s="677"/>
      <c r="I44" s="678"/>
    </row>
    <row r="45" spans="2:17" x14ac:dyDescent="0.2">
      <c r="B45" s="662"/>
      <c r="C45" s="673"/>
      <c r="D45" s="673"/>
      <c r="E45" s="674"/>
      <c r="F45" s="682"/>
      <c r="G45" s="676"/>
      <c r="H45" s="677"/>
      <c r="I45" s="678"/>
    </row>
    <row r="46" spans="2:17" ht="25.5" x14ac:dyDescent="0.2">
      <c r="B46" s="655">
        <f>MAX(B$5:B45)+1</f>
        <v>9</v>
      </c>
      <c r="C46" s="673"/>
      <c r="D46" s="699" t="s">
        <v>313</v>
      </c>
      <c r="E46" s="700"/>
      <c r="F46" s="666" t="s">
        <v>314</v>
      </c>
      <c r="G46" s="701"/>
      <c r="H46" s="660" t="s">
        <v>12</v>
      </c>
      <c r="I46" s="683">
        <f>G53</f>
        <v>467.51120000000003</v>
      </c>
      <c r="J46" s="608"/>
      <c r="K46" s="695"/>
    </row>
    <row r="47" spans="2:17" ht="25.5" x14ac:dyDescent="0.2">
      <c r="B47" s="662"/>
      <c r="C47" s="673"/>
      <c r="D47" s="702"/>
      <c r="E47" s="703" t="s">
        <v>315</v>
      </c>
      <c r="F47" s="670" t="s">
        <v>316</v>
      </c>
      <c r="G47" s="649"/>
      <c r="H47" s="704" t="s">
        <v>12</v>
      </c>
      <c r="I47" s="678">
        <f>G53</f>
        <v>467.51120000000003</v>
      </c>
    </row>
    <row r="48" spans="2:17" x14ac:dyDescent="0.2">
      <c r="B48" s="662"/>
      <c r="C48" s="673"/>
      <c r="D48" s="673"/>
      <c r="E48" s="674"/>
      <c r="F48" s="705" t="s">
        <v>830</v>
      </c>
      <c r="G48" s="676"/>
      <c r="H48" s="677"/>
      <c r="I48" s="678"/>
    </row>
    <row r="49" spans="2:11" x14ac:dyDescent="0.2">
      <c r="B49" s="662"/>
      <c r="C49" s="673"/>
      <c r="D49" s="673"/>
      <c r="E49" s="674"/>
      <c r="F49" s="706" t="s">
        <v>829</v>
      </c>
      <c r="G49" s="676">
        <f>7*55</f>
        <v>385</v>
      </c>
      <c r="H49" s="677"/>
      <c r="I49" s="678"/>
    </row>
    <row r="50" spans="2:11" x14ac:dyDescent="0.2">
      <c r="B50" s="662"/>
      <c r="C50" s="673"/>
      <c r="D50" s="673"/>
      <c r="E50" s="674"/>
      <c r="F50" s="707" t="s">
        <v>831</v>
      </c>
      <c r="G50" s="676"/>
      <c r="H50" s="677"/>
      <c r="I50" s="678"/>
    </row>
    <row r="51" spans="2:11" x14ac:dyDescent="0.2">
      <c r="B51" s="662"/>
      <c r="C51" s="673"/>
      <c r="D51" s="673"/>
      <c r="E51" s="674"/>
      <c r="F51" s="708" t="s">
        <v>773</v>
      </c>
      <c r="G51" s="676">
        <f xml:space="preserve"> 14.02*4.36</f>
        <v>61.127200000000002</v>
      </c>
      <c r="H51" s="677"/>
      <c r="I51" s="678"/>
    </row>
    <row r="52" spans="2:11" x14ac:dyDescent="0.2">
      <c r="B52" s="662"/>
      <c r="C52" s="673"/>
      <c r="D52" s="673"/>
      <c r="E52" s="674"/>
      <c r="F52" s="708" t="s">
        <v>775</v>
      </c>
      <c r="G52" s="696">
        <f>((0.5+4.36)/2)*8.8</f>
        <v>21.384000000000004</v>
      </c>
      <c r="H52" s="677"/>
      <c r="I52" s="678"/>
    </row>
    <row r="53" spans="2:11" x14ac:dyDescent="0.2">
      <c r="B53" s="662"/>
      <c r="C53" s="673"/>
      <c r="D53" s="673"/>
      <c r="E53" s="674"/>
      <c r="F53" s="709" t="s">
        <v>751</v>
      </c>
      <c r="G53" s="676">
        <f>SUM(G49:G52)</f>
        <v>467.51120000000003</v>
      </c>
      <c r="H53" s="677"/>
      <c r="I53" s="678"/>
    </row>
    <row r="54" spans="2:11" x14ac:dyDescent="0.2">
      <c r="B54" s="662"/>
      <c r="C54" s="673"/>
      <c r="D54" s="673"/>
      <c r="E54" s="674"/>
      <c r="F54" s="688"/>
      <c r="G54" s="676"/>
      <c r="H54" s="677"/>
      <c r="I54" s="678"/>
    </row>
    <row r="55" spans="2:11" x14ac:dyDescent="0.2">
      <c r="B55" s="655">
        <f>MAX(B$5:B53)+1</f>
        <v>10</v>
      </c>
      <c r="C55" s="673"/>
      <c r="D55" s="710" t="s">
        <v>546</v>
      </c>
      <c r="E55" s="711"/>
      <c r="F55" s="666" t="s">
        <v>547</v>
      </c>
      <c r="G55" s="712"/>
      <c r="H55" s="660" t="s">
        <v>548</v>
      </c>
      <c r="I55" s="683">
        <f>G59</f>
        <v>21500</v>
      </c>
    </row>
    <row r="56" spans="2:11" x14ac:dyDescent="0.2">
      <c r="B56" s="662"/>
      <c r="C56" s="673"/>
      <c r="D56" s="673"/>
      <c r="E56" s="674"/>
      <c r="F56" s="688" t="s">
        <v>779</v>
      </c>
      <c r="G56" s="676">
        <f>15*180</f>
        <v>2700</v>
      </c>
      <c r="H56" s="677"/>
      <c r="I56" s="678"/>
    </row>
    <row r="57" spans="2:11" x14ac:dyDescent="0.2">
      <c r="B57" s="662"/>
      <c r="C57" s="673"/>
      <c r="D57" s="673"/>
      <c r="E57" s="674"/>
      <c r="F57" s="688" t="s">
        <v>780</v>
      </c>
      <c r="G57" s="676">
        <f>25*56</f>
        <v>1400</v>
      </c>
      <c r="H57" s="677"/>
      <c r="I57" s="678"/>
    </row>
    <row r="58" spans="2:11" ht="25.5" x14ac:dyDescent="0.2">
      <c r="B58" s="662"/>
      <c r="C58" s="673"/>
      <c r="D58" s="673"/>
      <c r="E58" s="674"/>
      <c r="F58" s="688" t="s">
        <v>929</v>
      </c>
      <c r="G58" s="696">
        <f>25*696</f>
        <v>17400</v>
      </c>
      <c r="H58" s="677"/>
      <c r="I58" s="678"/>
    </row>
    <row r="59" spans="2:11" x14ac:dyDescent="0.2">
      <c r="B59" s="662"/>
      <c r="C59" s="673"/>
      <c r="D59" s="673"/>
      <c r="E59" s="674"/>
      <c r="F59" s="698" t="s">
        <v>250</v>
      </c>
      <c r="G59" s="676">
        <f>SUM(G56:G58)</f>
        <v>21500</v>
      </c>
      <c r="H59" s="677"/>
      <c r="I59" s="678"/>
    </row>
    <row r="60" spans="2:11" x14ac:dyDescent="0.2">
      <c r="B60" s="662"/>
      <c r="C60" s="673"/>
      <c r="D60" s="673"/>
      <c r="E60" s="674"/>
      <c r="F60" s="698"/>
      <c r="G60" s="676"/>
      <c r="H60" s="677"/>
      <c r="I60" s="678"/>
    </row>
    <row r="61" spans="2:11" x14ac:dyDescent="0.2">
      <c r="B61" s="655">
        <f>MAX(B$5:B60)+1</f>
        <v>11</v>
      </c>
      <c r="C61" s="673"/>
      <c r="D61" s="699" t="s">
        <v>309</v>
      </c>
      <c r="E61" s="700"/>
      <c r="F61" s="666" t="s">
        <v>874</v>
      </c>
      <c r="G61" s="701"/>
      <c r="H61" s="660" t="s">
        <v>5</v>
      </c>
      <c r="I61" s="683">
        <f>G62</f>
        <v>142.30199999999999</v>
      </c>
      <c r="J61" s="713"/>
      <c r="K61" s="714"/>
    </row>
    <row r="62" spans="2:11" ht="25.5" x14ac:dyDescent="0.2">
      <c r="B62" s="662"/>
      <c r="C62" s="673"/>
      <c r="D62" s="673"/>
      <c r="E62" s="674"/>
      <c r="F62" s="715" t="s">
        <v>930</v>
      </c>
      <c r="G62" s="676">
        <v>142.30199999999999</v>
      </c>
      <c r="H62" s="677"/>
      <c r="I62" s="678"/>
      <c r="J62" s="713"/>
      <c r="K62" s="716"/>
    </row>
    <row r="63" spans="2:11" ht="38.25" x14ac:dyDescent="0.2">
      <c r="B63" s="662"/>
      <c r="C63" s="673"/>
      <c r="D63" s="673"/>
      <c r="E63" s="674"/>
      <c r="F63" s="717" t="s">
        <v>923</v>
      </c>
      <c r="G63" s="676"/>
      <c r="H63" s="677"/>
      <c r="I63" s="678"/>
      <c r="J63" s="713"/>
      <c r="K63" s="716"/>
    </row>
    <row r="64" spans="2:11" x14ac:dyDescent="0.2">
      <c r="B64" s="662"/>
      <c r="C64" s="673"/>
      <c r="D64" s="673"/>
      <c r="E64" s="674"/>
      <c r="F64" s="688"/>
      <c r="G64" s="676"/>
      <c r="H64" s="677"/>
      <c r="I64" s="678"/>
    </row>
    <row r="65" spans="2:11" x14ac:dyDescent="0.2">
      <c r="B65" s="662"/>
      <c r="C65" s="718" t="s">
        <v>322</v>
      </c>
      <c r="D65" s="719"/>
      <c r="E65" s="720"/>
      <c r="F65" s="721" t="s">
        <v>323</v>
      </c>
      <c r="G65" s="676"/>
      <c r="H65" s="677"/>
      <c r="I65" s="678"/>
    </row>
    <row r="66" spans="2:11" s="560" customFormat="1" ht="9.9499999999999993" customHeight="1" x14ac:dyDescent="0.2">
      <c r="B66" s="662"/>
      <c r="C66" s="673"/>
      <c r="D66" s="673"/>
      <c r="E66" s="674"/>
      <c r="F66" s="722"/>
      <c r="G66" s="676"/>
      <c r="H66" s="677"/>
      <c r="I66" s="678"/>
      <c r="K66" s="561"/>
    </row>
    <row r="67" spans="2:11" s="560" customFormat="1" x14ac:dyDescent="0.2">
      <c r="B67" s="655">
        <f>MAX(B$5:B65)+1</f>
        <v>12</v>
      </c>
      <c r="C67" s="673"/>
      <c r="D67" s="723" t="s">
        <v>324</v>
      </c>
      <c r="E67" s="724"/>
      <c r="F67" s="725" t="s">
        <v>325</v>
      </c>
      <c r="G67" s="726"/>
      <c r="H67" s="727" t="s">
        <v>12</v>
      </c>
      <c r="I67" s="664">
        <f>G69</f>
        <v>40</v>
      </c>
      <c r="K67" s="561"/>
    </row>
    <row r="68" spans="2:11" s="560" customFormat="1" x14ac:dyDescent="0.2">
      <c r="B68" s="662"/>
      <c r="C68" s="673"/>
      <c r="D68" s="728"/>
      <c r="E68" s="729" t="s">
        <v>326</v>
      </c>
      <c r="F68" s="730" t="s">
        <v>327</v>
      </c>
      <c r="G68" s="692"/>
      <c r="H68" s="731" t="s">
        <v>12</v>
      </c>
      <c r="I68" s="732"/>
      <c r="K68" s="561"/>
    </row>
    <row r="69" spans="2:11" s="560" customFormat="1" x14ac:dyDescent="0.2">
      <c r="B69" s="662"/>
      <c r="C69" s="673"/>
      <c r="D69" s="728"/>
      <c r="E69" s="733"/>
      <c r="F69" s="734" t="s">
        <v>328</v>
      </c>
      <c r="G69" s="692">
        <v>40</v>
      </c>
      <c r="H69" s="735"/>
      <c r="I69" s="732"/>
      <c r="K69" s="561"/>
    </row>
    <row r="70" spans="2:11" s="560" customFormat="1" ht="7.5" customHeight="1" x14ac:dyDescent="0.2">
      <c r="B70" s="662"/>
      <c r="C70" s="673"/>
      <c r="D70" s="728"/>
      <c r="E70" s="733"/>
      <c r="F70" s="734"/>
      <c r="G70" s="692"/>
      <c r="H70" s="735"/>
      <c r="I70" s="732"/>
      <c r="K70" s="561"/>
    </row>
    <row r="71" spans="2:11" s="560" customFormat="1" x14ac:dyDescent="0.2">
      <c r="B71" s="655">
        <f>MAX(B$5:B69)+1</f>
        <v>13</v>
      </c>
      <c r="C71" s="673"/>
      <c r="D71" s="723" t="s">
        <v>329</v>
      </c>
      <c r="E71" s="724"/>
      <c r="F71" s="725" t="s">
        <v>330</v>
      </c>
      <c r="G71" s="726"/>
      <c r="H71" s="727" t="s">
        <v>12</v>
      </c>
      <c r="I71" s="664">
        <f>G73</f>
        <v>60</v>
      </c>
      <c r="K71" s="561"/>
    </row>
    <row r="72" spans="2:11" s="560" customFormat="1" x14ac:dyDescent="0.2">
      <c r="B72" s="662"/>
      <c r="C72" s="673"/>
      <c r="D72" s="728"/>
      <c r="E72" s="729" t="s">
        <v>331</v>
      </c>
      <c r="F72" s="730" t="s">
        <v>332</v>
      </c>
      <c r="G72" s="692"/>
      <c r="H72" s="731" t="s">
        <v>12</v>
      </c>
      <c r="I72" s="732"/>
      <c r="K72" s="561"/>
    </row>
    <row r="73" spans="2:11" s="560" customFormat="1" x14ac:dyDescent="0.2">
      <c r="B73" s="662"/>
      <c r="C73" s="673"/>
      <c r="D73" s="728"/>
      <c r="E73" s="733"/>
      <c r="F73" s="734" t="s">
        <v>328</v>
      </c>
      <c r="G73" s="692">
        <v>60</v>
      </c>
      <c r="H73" s="735"/>
      <c r="I73" s="732"/>
      <c r="K73" s="561"/>
    </row>
    <row r="74" spans="2:11" s="560" customFormat="1" x14ac:dyDescent="0.2">
      <c r="B74" s="662"/>
      <c r="C74" s="673"/>
      <c r="D74" s="673"/>
      <c r="E74" s="674"/>
      <c r="F74" s="722"/>
      <c r="G74" s="676"/>
      <c r="H74" s="677"/>
      <c r="I74" s="678"/>
      <c r="K74" s="561"/>
    </row>
    <row r="75" spans="2:11" s="560" customFormat="1" x14ac:dyDescent="0.2">
      <c r="B75" s="662"/>
      <c r="C75" s="718" t="s">
        <v>333</v>
      </c>
      <c r="D75" s="719"/>
      <c r="E75" s="720"/>
      <c r="F75" s="681" t="s">
        <v>177</v>
      </c>
      <c r="G75" s="676"/>
      <c r="H75" s="677"/>
      <c r="I75" s="678"/>
      <c r="K75" s="561"/>
    </row>
    <row r="76" spans="2:11" s="560" customFormat="1" ht="9.9499999999999993" customHeight="1" x14ac:dyDescent="0.2">
      <c r="B76" s="662"/>
      <c r="C76" s="718"/>
      <c r="D76" s="719"/>
      <c r="E76" s="720"/>
      <c r="F76" s="681"/>
      <c r="G76" s="676"/>
      <c r="H76" s="677"/>
      <c r="I76" s="678"/>
      <c r="K76" s="561"/>
    </row>
    <row r="77" spans="2:11" s="560" customFormat="1" x14ac:dyDescent="0.2">
      <c r="B77" s="655">
        <f>MAX(B$5:B76)+1</f>
        <v>14</v>
      </c>
      <c r="C77" s="718"/>
      <c r="D77" s="656" t="s">
        <v>557</v>
      </c>
      <c r="E77" s="736"/>
      <c r="F77" s="658" t="s">
        <v>558</v>
      </c>
      <c r="G77" s="659"/>
      <c r="H77" s="663" t="s">
        <v>51</v>
      </c>
      <c r="I77" s="683">
        <f>G78</f>
        <v>2.3400000000000003</v>
      </c>
      <c r="K77" s="561"/>
    </row>
    <row r="78" spans="2:11" s="560" customFormat="1" x14ac:dyDescent="0.2">
      <c r="B78" s="662"/>
      <c r="C78" s="718"/>
      <c r="D78" s="719"/>
      <c r="E78" s="720"/>
      <c r="F78" s="734" t="s">
        <v>839</v>
      </c>
      <c r="G78" s="676">
        <f>1.3*9*0.2</f>
        <v>2.3400000000000003</v>
      </c>
      <c r="H78" s="677"/>
      <c r="I78" s="678"/>
      <c r="K78" s="561"/>
    </row>
    <row r="79" spans="2:11" s="560" customFormat="1" x14ac:dyDescent="0.2">
      <c r="B79" s="662"/>
      <c r="C79" s="718"/>
      <c r="D79" s="719"/>
      <c r="E79" s="720"/>
      <c r="F79" s="734" t="s">
        <v>817</v>
      </c>
      <c r="G79" s="676"/>
      <c r="H79" s="677"/>
      <c r="I79" s="678"/>
      <c r="K79" s="561"/>
    </row>
    <row r="80" spans="2:11" s="560" customFormat="1" x14ac:dyDescent="0.2">
      <c r="B80" s="662"/>
      <c r="C80" s="718"/>
      <c r="D80" s="719"/>
      <c r="E80" s="720"/>
      <c r="F80" s="737"/>
      <c r="G80" s="676"/>
      <c r="H80" s="677"/>
      <c r="I80" s="678"/>
      <c r="K80" s="561"/>
    </row>
    <row r="81" spans="2:11" s="560" customFormat="1" x14ac:dyDescent="0.2">
      <c r="B81" s="655">
        <f>MAX(B$5:B80)+1</f>
        <v>15</v>
      </c>
      <c r="C81" s="711"/>
      <c r="D81" s="656" t="s">
        <v>755</v>
      </c>
      <c r="E81" s="657"/>
      <c r="F81" s="658" t="s">
        <v>756</v>
      </c>
      <c r="G81" s="659"/>
      <c r="H81" s="663" t="s">
        <v>51</v>
      </c>
      <c r="I81" s="738">
        <f>I82</f>
        <v>45</v>
      </c>
      <c r="K81" s="561"/>
    </row>
    <row r="82" spans="2:11" s="560" customFormat="1" x14ac:dyDescent="0.2">
      <c r="B82" s="662"/>
      <c r="C82" s="711"/>
      <c r="D82" s="739"/>
      <c r="E82" s="740" t="s">
        <v>757</v>
      </c>
      <c r="F82" s="741" t="s">
        <v>758</v>
      </c>
      <c r="G82" s="742"/>
      <c r="H82" s="743" t="s">
        <v>51</v>
      </c>
      <c r="I82" s="651">
        <f>G83</f>
        <v>45</v>
      </c>
      <c r="K82" s="561"/>
    </row>
    <row r="83" spans="2:11" s="560" customFormat="1" ht="38.25" x14ac:dyDescent="0.2">
      <c r="B83" s="662"/>
      <c r="C83" s="711"/>
      <c r="D83" s="739"/>
      <c r="E83" s="700"/>
      <c r="F83" s="737" t="s">
        <v>872</v>
      </c>
      <c r="G83" s="649">
        <f>0.75*0.5*120</f>
        <v>45</v>
      </c>
      <c r="H83" s="650"/>
      <c r="I83" s="651"/>
      <c r="K83" s="561"/>
    </row>
    <row r="84" spans="2:11" s="560" customFormat="1" x14ac:dyDescent="0.2">
      <c r="B84" s="662"/>
      <c r="C84" s="718"/>
      <c r="D84" s="719"/>
      <c r="E84" s="720"/>
      <c r="F84" s="681"/>
      <c r="G84" s="676"/>
      <c r="H84" s="677"/>
      <c r="I84" s="678"/>
      <c r="K84" s="561"/>
    </row>
    <row r="85" spans="2:11" s="560" customFormat="1" x14ac:dyDescent="0.2">
      <c r="B85" s="655">
        <f>MAX(B$5:B84)+1</f>
        <v>16</v>
      </c>
      <c r="C85" s="718"/>
      <c r="D85" s="710" t="s">
        <v>704</v>
      </c>
      <c r="E85" s="711"/>
      <c r="F85" s="666" t="s">
        <v>705</v>
      </c>
      <c r="G85" s="712"/>
      <c r="H85" s="660" t="s">
        <v>51</v>
      </c>
      <c r="I85" s="683">
        <f>G86</f>
        <v>108</v>
      </c>
      <c r="K85" s="561"/>
    </row>
    <row r="86" spans="2:11" s="560" customFormat="1" ht="25.5" x14ac:dyDescent="0.2">
      <c r="B86" s="662"/>
      <c r="C86" s="718"/>
      <c r="D86" s="719"/>
      <c r="E86" s="720"/>
      <c r="F86" s="734" t="s">
        <v>761</v>
      </c>
      <c r="G86" s="676">
        <f>1.2*90</f>
        <v>108</v>
      </c>
      <c r="H86" s="677"/>
      <c r="I86" s="678"/>
      <c r="K86" s="561"/>
    </row>
    <row r="87" spans="2:11" s="560" customFormat="1" x14ac:dyDescent="0.2">
      <c r="B87" s="662"/>
      <c r="C87" s="718"/>
      <c r="D87" s="719"/>
      <c r="E87" s="720"/>
      <c r="F87" s="734" t="s">
        <v>559</v>
      </c>
      <c r="G87" s="676"/>
      <c r="H87" s="677"/>
      <c r="I87" s="678"/>
      <c r="K87" s="561"/>
    </row>
    <row r="88" spans="2:11" s="560" customFormat="1" x14ac:dyDescent="0.2">
      <c r="B88" s="662"/>
      <c r="C88" s="718"/>
      <c r="D88" s="719"/>
      <c r="E88" s="720"/>
      <c r="F88" s="734" t="s">
        <v>650</v>
      </c>
      <c r="G88" s="676"/>
      <c r="H88" s="677"/>
      <c r="I88" s="678"/>
      <c r="K88" s="561"/>
    </row>
    <row r="89" spans="2:11" s="560" customFormat="1" x14ac:dyDescent="0.2">
      <c r="B89" s="662"/>
      <c r="C89" s="718"/>
      <c r="D89" s="719"/>
      <c r="E89" s="720"/>
      <c r="F89" s="737"/>
      <c r="G89" s="676"/>
      <c r="H89" s="677"/>
      <c r="I89" s="678"/>
      <c r="K89" s="561"/>
    </row>
    <row r="90" spans="2:11" s="560" customFormat="1" x14ac:dyDescent="0.2">
      <c r="B90" s="744">
        <f>MAX(B$1:B89)+1</f>
        <v>17</v>
      </c>
      <c r="C90" s="745"/>
      <c r="D90" s="746" t="s">
        <v>169</v>
      </c>
      <c r="E90" s="747"/>
      <c r="F90" s="748" t="s">
        <v>170</v>
      </c>
      <c r="G90" s="749"/>
      <c r="H90" s="750" t="s">
        <v>51</v>
      </c>
      <c r="I90" s="751">
        <f>I91</f>
        <v>3.2000000000000006</v>
      </c>
      <c r="K90" s="561"/>
    </row>
    <row r="91" spans="2:11" s="560" customFormat="1" x14ac:dyDescent="0.2">
      <c r="B91" s="752"/>
      <c r="C91" s="753"/>
      <c r="D91" s="754"/>
      <c r="E91" s="755" t="s">
        <v>171</v>
      </c>
      <c r="F91" s="756" t="s">
        <v>172</v>
      </c>
      <c r="G91" s="757"/>
      <c r="H91" s="758" t="s">
        <v>51</v>
      </c>
      <c r="I91" s="759">
        <f>G95</f>
        <v>3.2000000000000006</v>
      </c>
      <c r="K91" s="561"/>
    </row>
    <row r="92" spans="2:11" s="560" customFormat="1" x14ac:dyDescent="0.2">
      <c r="B92" s="752"/>
      <c r="C92" s="753"/>
      <c r="D92" s="754"/>
      <c r="E92" s="755"/>
      <c r="F92" s="760" t="s">
        <v>753</v>
      </c>
      <c r="G92" s="757"/>
      <c r="H92" s="758"/>
      <c r="I92" s="759"/>
      <c r="K92" s="561"/>
    </row>
    <row r="93" spans="2:11" s="560" customFormat="1" x14ac:dyDescent="0.2">
      <c r="B93" s="752"/>
      <c r="C93" s="753"/>
      <c r="D93" s="754"/>
      <c r="E93" s="761"/>
      <c r="F93" s="760" t="s">
        <v>763</v>
      </c>
      <c r="G93" s="762">
        <f>0.5*0.8*6.4</f>
        <v>2.5600000000000005</v>
      </c>
      <c r="H93" s="758"/>
      <c r="I93" s="759"/>
      <c r="K93" s="561"/>
    </row>
    <row r="94" spans="2:11" s="560" customFormat="1" x14ac:dyDescent="0.2">
      <c r="B94" s="752"/>
      <c r="C94" s="753"/>
      <c r="D94" s="754"/>
      <c r="E94" s="761"/>
      <c r="F94" s="760" t="s">
        <v>931</v>
      </c>
      <c r="G94" s="763">
        <f>0.4*0.4*0.5*8</f>
        <v>0.64000000000000012</v>
      </c>
      <c r="H94" s="758"/>
      <c r="I94" s="759"/>
      <c r="K94" s="561"/>
    </row>
    <row r="95" spans="2:11" s="560" customFormat="1" x14ac:dyDescent="0.2">
      <c r="B95" s="752"/>
      <c r="C95" s="753"/>
      <c r="D95" s="754"/>
      <c r="E95" s="755"/>
      <c r="F95" s="764" t="s">
        <v>250</v>
      </c>
      <c r="G95" s="765">
        <f>SUM(G93:G94)</f>
        <v>3.2000000000000006</v>
      </c>
      <c r="H95" s="758"/>
      <c r="I95" s="759"/>
      <c r="K95" s="561"/>
    </row>
    <row r="96" spans="2:11" s="560" customFormat="1" x14ac:dyDescent="0.2">
      <c r="B96" s="752"/>
      <c r="C96" s="753"/>
      <c r="D96" s="754"/>
      <c r="E96" s="755"/>
      <c r="F96" s="766"/>
      <c r="G96" s="767"/>
      <c r="H96" s="758"/>
      <c r="I96" s="759"/>
      <c r="K96" s="561"/>
    </row>
    <row r="97" spans="2:11" s="560" customFormat="1" x14ac:dyDescent="0.2">
      <c r="B97" s="744">
        <f>MAX(B$1:B96)+1</f>
        <v>18</v>
      </c>
      <c r="C97" s="753"/>
      <c r="D97" s="656" t="s">
        <v>867</v>
      </c>
      <c r="E97" s="657"/>
      <c r="F97" s="658" t="s">
        <v>868</v>
      </c>
      <c r="G97" s="659"/>
      <c r="H97" s="663" t="s">
        <v>51</v>
      </c>
      <c r="I97" s="751">
        <f>I98</f>
        <v>14.146999999999998</v>
      </c>
      <c r="K97" s="561"/>
    </row>
    <row r="98" spans="2:11" s="560" customFormat="1" x14ac:dyDescent="0.2">
      <c r="B98" s="752"/>
      <c r="C98" s="753"/>
      <c r="D98" s="754"/>
      <c r="E98" s="740" t="s">
        <v>869</v>
      </c>
      <c r="F98" s="741" t="s">
        <v>870</v>
      </c>
      <c r="G98" s="742"/>
      <c r="H98" s="743" t="s">
        <v>51</v>
      </c>
      <c r="I98" s="759">
        <f>G103</f>
        <v>14.146999999999998</v>
      </c>
      <c r="K98" s="561"/>
    </row>
    <row r="99" spans="2:11" s="560" customFormat="1" x14ac:dyDescent="0.2">
      <c r="B99" s="752"/>
      <c r="C99" s="753"/>
      <c r="D99" s="754"/>
      <c r="E99" s="755"/>
      <c r="F99" s="760" t="s">
        <v>753</v>
      </c>
      <c r="G99" s="757"/>
      <c r="H99" s="758"/>
      <c r="I99" s="759"/>
      <c r="K99" s="561"/>
    </row>
    <row r="100" spans="2:11" s="560" customFormat="1" x14ac:dyDescent="0.2">
      <c r="B100" s="752"/>
      <c r="C100" s="753"/>
      <c r="D100" s="754"/>
      <c r="E100" s="761"/>
      <c r="F100" s="760" t="s">
        <v>871</v>
      </c>
      <c r="G100" s="762">
        <f>0.7*1.25*8.6</f>
        <v>7.5249999999999995</v>
      </c>
      <c r="H100" s="758"/>
      <c r="I100" s="759"/>
      <c r="K100" s="561"/>
    </row>
    <row r="101" spans="2:11" s="560" customFormat="1" x14ac:dyDescent="0.2">
      <c r="B101" s="752"/>
      <c r="C101" s="753"/>
      <c r="D101" s="754"/>
      <c r="E101" s="761"/>
      <c r="F101" s="760" t="s">
        <v>924</v>
      </c>
      <c r="G101" s="768">
        <f>(0.7*0.2*(15+10+4))</f>
        <v>4.0599999999999996</v>
      </c>
      <c r="H101" s="758"/>
      <c r="I101" s="759"/>
      <c r="K101" s="561"/>
    </row>
    <row r="102" spans="2:11" s="560" customFormat="1" x14ac:dyDescent="0.2">
      <c r="B102" s="752"/>
      <c r="C102" s="753"/>
      <c r="D102" s="754"/>
      <c r="E102" s="761"/>
      <c r="F102" s="760" t="s">
        <v>762</v>
      </c>
      <c r="G102" s="769">
        <f xml:space="preserve"> 0.8*0.15*21.35</f>
        <v>2.5620000000000003</v>
      </c>
      <c r="H102" s="758"/>
      <c r="I102" s="759"/>
      <c r="K102" s="561"/>
    </row>
    <row r="103" spans="2:11" s="560" customFormat="1" x14ac:dyDescent="0.2">
      <c r="B103" s="662"/>
      <c r="C103" s="673"/>
      <c r="D103" s="673"/>
      <c r="E103" s="755"/>
      <c r="F103" s="764" t="s">
        <v>250</v>
      </c>
      <c r="G103" s="765">
        <f>SUM(G100:G102)</f>
        <v>14.146999999999998</v>
      </c>
      <c r="H103" s="677"/>
      <c r="I103" s="678"/>
      <c r="K103" s="561"/>
    </row>
    <row r="104" spans="2:11" s="560" customFormat="1" x14ac:dyDescent="0.2">
      <c r="B104" s="662"/>
      <c r="C104" s="673"/>
      <c r="D104" s="673"/>
      <c r="E104" s="755"/>
      <c r="F104" s="766"/>
      <c r="G104" s="767"/>
      <c r="H104" s="677"/>
      <c r="I104" s="678"/>
      <c r="K104" s="561"/>
    </row>
    <row r="105" spans="2:11" s="770" customFormat="1" x14ac:dyDescent="0.2">
      <c r="B105" s="744">
        <f>MAX(B$1:B103)+1</f>
        <v>19</v>
      </c>
      <c r="C105" s="745"/>
      <c r="D105" s="746" t="s">
        <v>173</v>
      </c>
      <c r="E105" s="747"/>
      <c r="F105" s="748" t="s">
        <v>174</v>
      </c>
      <c r="G105" s="749"/>
      <c r="H105" s="750" t="s">
        <v>12</v>
      </c>
      <c r="I105" s="751">
        <f>I106</f>
        <v>350</v>
      </c>
      <c r="J105" s="608"/>
      <c r="K105" s="695"/>
    </row>
    <row r="106" spans="2:11" s="770" customFormat="1" x14ac:dyDescent="0.2">
      <c r="B106" s="771"/>
      <c r="C106" s="745"/>
      <c r="D106" s="772"/>
      <c r="E106" s="773" t="s">
        <v>175</v>
      </c>
      <c r="F106" s="774" t="s">
        <v>176</v>
      </c>
      <c r="G106" s="775"/>
      <c r="H106" s="776" t="s">
        <v>12</v>
      </c>
      <c r="I106" s="759">
        <f>G108</f>
        <v>350</v>
      </c>
      <c r="J106" s="608"/>
      <c r="K106" s="695"/>
    </row>
    <row r="107" spans="2:11" s="770" customFormat="1" ht="14.25" customHeight="1" x14ac:dyDescent="0.2">
      <c r="B107" s="771"/>
      <c r="C107" s="745"/>
      <c r="D107" s="777"/>
      <c r="E107" s="778"/>
      <c r="F107" s="779" t="s">
        <v>781</v>
      </c>
      <c r="G107" s="780">
        <f>((15*2*3)+(24*2*3))</f>
        <v>234</v>
      </c>
      <c r="H107" s="781"/>
      <c r="I107" s="759"/>
      <c r="J107" s="608"/>
      <c r="K107" s="695"/>
    </row>
    <row r="108" spans="2:11" s="770" customFormat="1" ht="14.25" customHeight="1" x14ac:dyDescent="0.2">
      <c r="B108" s="771"/>
      <c r="C108" s="745"/>
      <c r="D108" s="777"/>
      <c r="E108" s="778"/>
      <c r="F108" s="779" t="s">
        <v>873</v>
      </c>
      <c r="G108" s="782">
        <f>100*3.5</f>
        <v>350</v>
      </c>
      <c r="H108" s="781"/>
      <c r="I108" s="759"/>
      <c r="J108" s="608"/>
      <c r="K108" s="695"/>
    </row>
    <row r="109" spans="2:11" s="770" customFormat="1" ht="14.25" customHeight="1" x14ac:dyDescent="0.2">
      <c r="B109" s="771"/>
      <c r="C109" s="745"/>
      <c r="D109" s="777"/>
      <c r="E109" s="778"/>
      <c r="F109" s="764" t="s">
        <v>250</v>
      </c>
      <c r="G109" s="765">
        <f>SUM(G106:G108)</f>
        <v>584</v>
      </c>
      <c r="H109" s="781"/>
      <c r="I109" s="759"/>
      <c r="J109" s="608"/>
      <c r="K109" s="695"/>
    </row>
    <row r="110" spans="2:11" x14ac:dyDescent="0.2">
      <c r="B110" s="783"/>
      <c r="C110" s="784"/>
      <c r="D110" s="686"/>
      <c r="E110" s="687"/>
      <c r="F110" s="785"/>
      <c r="G110" s="786"/>
      <c r="H110" s="689"/>
      <c r="I110" s="678"/>
    </row>
    <row r="111" spans="2:11" x14ac:dyDescent="0.2">
      <c r="B111" s="783"/>
      <c r="C111" s="718" t="s">
        <v>178</v>
      </c>
      <c r="D111" s="719"/>
      <c r="E111" s="720"/>
      <c r="F111" s="721" t="s">
        <v>179</v>
      </c>
      <c r="G111" s="787"/>
      <c r="H111" s="689"/>
      <c r="I111" s="678"/>
    </row>
    <row r="112" spans="2:11" ht="7.5" customHeight="1" x14ac:dyDescent="0.2">
      <c r="B112" s="783"/>
      <c r="C112" s="784"/>
      <c r="D112" s="686"/>
      <c r="E112" s="687"/>
      <c r="F112" s="785"/>
      <c r="G112" s="786"/>
      <c r="H112" s="689"/>
      <c r="I112" s="678"/>
    </row>
    <row r="113" spans="2:11" s="558" customFormat="1" x14ac:dyDescent="0.2">
      <c r="B113" s="655">
        <f>MAX(B$5:B112)+1</f>
        <v>20</v>
      </c>
      <c r="C113" s="784"/>
      <c r="D113" s="699" t="s">
        <v>161</v>
      </c>
      <c r="E113" s="700"/>
      <c r="F113" s="666" t="s">
        <v>162</v>
      </c>
      <c r="G113" s="701"/>
      <c r="H113" s="660" t="s">
        <v>51</v>
      </c>
      <c r="I113" s="664">
        <f>G118</f>
        <v>127.687</v>
      </c>
      <c r="J113" s="788"/>
      <c r="K113" s="690"/>
    </row>
    <row r="114" spans="2:11" s="558" customFormat="1" ht="25.5" x14ac:dyDescent="0.2">
      <c r="B114" s="783"/>
      <c r="C114" s="784"/>
      <c r="D114" s="789"/>
      <c r="E114" s="703" t="s">
        <v>163</v>
      </c>
      <c r="F114" s="790" t="s">
        <v>164</v>
      </c>
      <c r="G114" s="791"/>
      <c r="H114" s="704" t="s">
        <v>51</v>
      </c>
      <c r="I114" s="732">
        <f>G118</f>
        <v>127.687</v>
      </c>
      <c r="J114" s="788"/>
      <c r="K114" s="690"/>
    </row>
    <row r="115" spans="2:11" s="558" customFormat="1" x14ac:dyDescent="0.2">
      <c r="B115" s="783"/>
      <c r="C115" s="784"/>
      <c r="D115" s="789"/>
      <c r="E115" s="703"/>
      <c r="F115" s="792" t="s">
        <v>839</v>
      </c>
      <c r="G115" s="791">
        <f>G78</f>
        <v>2.3400000000000003</v>
      </c>
      <c r="H115" s="704"/>
      <c r="I115" s="732"/>
      <c r="J115" s="788"/>
      <c r="K115" s="690"/>
    </row>
    <row r="116" spans="2:11" s="558" customFormat="1" x14ac:dyDescent="0.2">
      <c r="B116" s="783"/>
      <c r="C116" s="784"/>
      <c r="D116" s="789"/>
      <c r="E116" s="703"/>
      <c r="F116" s="792" t="s">
        <v>754</v>
      </c>
      <c r="G116" s="791">
        <f>G86</f>
        <v>108</v>
      </c>
      <c r="H116" s="704"/>
      <c r="I116" s="732"/>
      <c r="J116" s="788"/>
      <c r="K116" s="690"/>
    </row>
    <row r="117" spans="2:11" s="558" customFormat="1" x14ac:dyDescent="0.2">
      <c r="B117" s="783"/>
      <c r="C117" s="784"/>
      <c r="D117" s="789"/>
      <c r="E117" s="703"/>
      <c r="F117" s="790" t="s">
        <v>932</v>
      </c>
      <c r="G117" s="793">
        <f>G95+I97</f>
        <v>17.346999999999998</v>
      </c>
      <c r="H117" s="704"/>
      <c r="I117" s="732"/>
      <c r="J117" s="788"/>
      <c r="K117" s="690"/>
    </row>
    <row r="118" spans="2:11" s="558" customFormat="1" x14ac:dyDescent="0.2">
      <c r="B118" s="783"/>
      <c r="C118" s="784"/>
      <c r="D118" s="789"/>
      <c r="E118" s="794"/>
      <c r="F118" s="764" t="s">
        <v>250</v>
      </c>
      <c r="G118" s="765">
        <f>SUM(G115:G117)</f>
        <v>127.687</v>
      </c>
      <c r="H118" s="674"/>
      <c r="I118" s="732"/>
      <c r="J118" s="560"/>
      <c r="K118" s="690"/>
    </row>
    <row r="119" spans="2:11" s="558" customFormat="1" x14ac:dyDescent="0.2">
      <c r="B119" s="783"/>
      <c r="C119" s="784"/>
      <c r="D119" s="789"/>
      <c r="E119" s="794"/>
      <c r="F119" s="764"/>
      <c r="G119" s="765"/>
      <c r="H119" s="674"/>
      <c r="I119" s="732"/>
      <c r="J119" s="560"/>
      <c r="K119" s="690"/>
    </row>
    <row r="120" spans="2:11" s="558" customFormat="1" x14ac:dyDescent="0.2">
      <c r="B120" s="795"/>
      <c r="C120" s="796" t="s">
        <v>802</v>
      </c>
      <c r="D120" s="796"/>
      <c r="E120" s="796"/>
      <c r="F120" s="658" t="s">
        <v>803</v>
      </c>
      <c r="G120" s="797"/>
      <c r="H120" s="743"/>
      <c r="I120" s="798"/>
      <c r="J120" s="560"/>
      <c r="K120" s="690"/>
    </row>
    <row r="121" spans="2:11" s="558" customFormat="1" x14ac:dyDescent="0.2">
      <c r="B121" s="795"/>
      <c r="C121" s="796"/>
      <c r="D121" s="796"/>
      <c r="E121" s="796"/>
      <c r="F121" s="799"/>
      <c r="G121" s="797"/>
      <c r="H121" s="743"/>
      <c r="I121" s="798"/>
      <c r="J121" s="560"/>
      <c r="K121" s="690"/>
    </row>
    <row r="122" spans="2:11" s="558" customFormat="1" ht="25.5" x14ac:dyDescent="0.2">
      <c r="B122" s="800">
        <f>MAX(B$1:B121)+1</f>
        <v>21</v>
      </c>
      <c r="C122" s="796"/>
      <c r="D122" s="656" t="s">
        <v>804</v>
      </c>
      <c r="E122" s="657"/>
      <c r="F122" s="799" t="s">
        <v>805</v>
      </c>
      <c r="G122" s="801"/>
      <c r="H122" s="663" t="s">
        <v>25</v>
      </c>
      <c r="I122" s="751">
        <f>I123</f>
        <v>1358.4</v>
      </c>
      <c r="J122" s="560"/>
      <c r="K122" s="690"/>
    </row>
    <row r="123" spans="2:11" s="558" customFormat="1" ht="25.5" x14ac:dyDescent="0.2">
      <c r="B123" s="795"/>
      <c r="C123" s="796"/>
      <c r="D123" s="656"/>
      <c r="E123" s="740" t="s">
        <v>806</v>
      </c>
      <c r="F123" s="802" t="s">
        <v>807</v>
      </c>
      <c r="G123" s="801"/>
      <c r="H123" s="743" t="s">
        <v>25</v>
      </c>
      <c r="I123" s="759">
        <f>G127</f>
        <v>1358.4</v>
      </c>
      <c r="J123" s="560"/>
      <c r="K123" s="690"/>
    </row>
    <row r="124" spans="2:11" s="558" customFormat="1" ht="25.5" x14ac:dyDescent="0.2">
      <c r="B124" s="795"/>
      <c r="C124" s="796"/>
      <c r="D124" s="656"/>
      <c r="E124" s="740"/>
      <c r="F124" s="803" t="s">
        <v>933</v>
      </c>
      <c r="G124" s="804"/>
      <c r="H124" s="743"/>
      <c r="I124" s="798"/>
      <c r="J124" s="560"/>
      <c r="K124" s="690"/>
    </row>
    <row r="125" spans="2:11" s="558" customFormat="1" x14ac:dyDescent="0.2">
      <c r="B125" s="795"/>
      <c r="C125" s="796"/>
      <c r="D125" s="656"/>
      <c r="E125" s="740"/>
      <c r="F125" s="803" t="s">
        <v>809</v>
      </c>
      <c r="G125" s="804">
        <f>4*0.6*28*17</f>
        <v>1142.4000000000001</v>
      </c>
      <c r="H125" s="743"/>
      <c r="I125" s="798"/>
      <c r="J125" s="560"/>
      <c r="K125" s="690"/>
    </row>
    <row r="126" spans="2:11" s="558" customFormat="1" ht="25.5" x14ac:dyDescent="0.2">
      <c r="B126" s="795"/>
      <c r="C126" s="796"/>
      <c r="D126" s="656"/>
      <c r="E126" s="740"/>
      <c r="F126" s="954" t="s">
        <v>944</v>
      </c>
      <c r="G126" s="955">
        <f>60*9*0.4</f>
        <v>216</v>
      </c>
      <c r="H126" s="743"/>
      <c r="I126" s="798"/>
      <c r="J126" s="560"/>
      <c r="K126" s="690"/>
    </row>
    <row r="127" spans="2:11" s="558" customFormat="1" x14ac:dyDescent="0.2">
      <c r="B127" s="795"/>
      <c r="C127" s="796"/>
      <c r="D127" s="656"/>
      <c r="E127" s="740"/>
      <c r="F127" s="805" t="s">
        <v>808</v>
      </c>
      <c r="G127" s="804">
        <f>SUM(G125:G126)</f>
        <v>1358.4</v>
      </c>
      <c r="H127" s="743"/>
      <c r="I127" s="798"/>
      <c r="J127" s="560"/>
      <c r="K127" s="690"/>
    </row>
    <row r="128" spans="2:11" s="558" customFormat="1" ht="25.5" x14ac:dyDescent="0.2">
      <c r="B128" s="795"/>
      <c r="C128" s="796"/>
      <c r="D128" s="656"/>
      <c r="E128" s="740"/>
      <c r="F128" s="805" t="s">
        <v>915</v>
      </c>
      <c r="G128" s="804"/>
      <c r="H128" s="743"/>
      <c r="I128" s="798"/>
      <c r="J128" s="560"/>
      <c r="K128" s="690"/>
    </row>
    <row r="129" spans="2:17" s="558" customFormat="1" x14ac:dyDescent="0.2">
      <c r="B129" s="795"/>
      <c r="C129" s="796"/>
      <c r="D129" s="656"/>
      <c r="E129" s="740"/>
      <c r="F129" s="805"/>
      <c r="G129" s="804"/>
      <c r="H129" s="743"/>
      <c r="I129" s="798"/>
      <c r="J129" s="560"/>
      <c r="K129" s="690"/>
    </row>
    <row r="130" spans="2:17" s="558" customFormat="1" x14ac:dyDescent="0.2">
      <c r="B130" s="783"/>
      <c r="C130" s="806" t="s">
        <v>156</v>
      </c>
      <c r="D130" s="806"/>
      <c r="E130" s="720"/>
      <c r="F130" s="807" t="s">
        <v>180</v>
      </c>
      <c r="G130" s="808"/>
      <c r="H130" s="689"/>
      <c r="I130" s="678"/>
      <c r="J130" s="788"/>
      <c r="K130" s="690"/>
    </row>
    <row r="131" spans="2:17" s="558" customFormat="1" ht="7.5" customHeight="1" x14ac:dyDescent="0.2">
      <c r="B131" s="783"/>
      <c r="C131" s="809"/>
      <c r="D131" s="810"/>
      <c r="E131" s="811"/>
      <c r="F131" s="688"/>
      <c r="G131" s="696"/>
      <c r="H131" s="674"/>
      <c r="I131" s="678"/>
      <c r="J131" s="788"/>
      <c r="K131" s="690"/>
    </row>
    <row r="132" spans="2:17" ht="25.5" x14ac:dyDescent="0.2">
      <c r="B132" s="655">
        <f>MAX(B$5:B130)+1</f>
        <v>22</v>
      </c>
      <c r="C132" s="809"/>
      <c r="D132" s="812" t="s">
        <v>94</v>
      </c>
      <c r="E132" s="720"/>
      <c r="F132" s="807" t="s">
        <v>95</v>
      </c>
      <c r="G132" s="808"/>
      <c r="H132" s="813" t="s">
        <v>51</v>
      </c>
      <c r="I132" s="683">
        <f>G134</f>
        <v>33.405120000000004</v>
      </c>
    </row>
    <row r="133" spans="2:17" ht="25.5" x14ac:dyDescent="0.2">
      <c r="B133" s="783"/>
      <c r="C133" s="809"/>
      <c r="D133" s="686"/>
      <c r="E133" s="814" t="s">
        <v>340</v>
      </c>
      <c r="F133" s="815" t="s">
        <v>341</v>
      </c>
      <c r="G133" s="816"/>
      <c r="H133" s="674" t="s">
        <v>51</v>
      </c>
      <c r="I133" s="678">
        <f>G134</f>
        <v>33.405120000000004</v>
      </c>
    </row>
    <row r="134" spans="2:17" ht="15" x14ac:dyDescent="0.2">
      <c r="B134" s="783"/>
      <c r="C134" s="809"/>
      <c r="D134" s="686"/>
      <c r="E134" s="814"/>
      <c r="F134" s="785" t="s">
        <v>782</v>
      </c>
      <c r="G134" s="816">
        <f>2*(8.995+8.145+8+8)*0.48*1.05</f>
        <v>33.405120000000004</v>
      </c>
      <c r="H134" s="674"/>
      <c r="I134" s="678"/>
    </row>
    <row r="135" spans="2:17" s="560" customFormat="1" ht="14.25" customHeight="1" x14ac:dyDescent="0.2">
      <c r="B135" s="783"/>
      <c r="C135" s="809"/>
      <c r="D135" s="810"/>
      <c r="E135" s="811"/>
      <c r="F135" s="817"/>
      <c r="G135" s="696"/>
      <c r="H135" s="674"/>
      <c r="I135" s="678"/>
      <c r="K135" s="561"/>
      <c r="L135" s="559"/>
      <c r="M135" s="559"/>
      <c r="N135" s="559"/>
      <c r="O135" s="559"/>
      <c r="P135" s="559"/>
      <c r="Q135" s="559"/>
    </row>
    <row r="136" spans="2:17" s="560" customFormat="1" ht="25.5" x14ac:dyDescent="0.2">
      <c r="B136" s="655">
        <f>MAX(B$5:B134)+1</f>
        <v>23</v>
      </c>
      <c r="C136" s="809"/>
      <c r="D136" s="699" t="s">
        <v>96</v>
      </c>
      <c r="E136" s="700"/>
      <c r="F136" s="818" t="s">
        <v>97</v>
      </c>
      <c r="G136" s="701"/>
      <c r="H136" s="660" t="s">
        <v>12</v>
      </c>
      <c r="I136" s="683">
        <f>G138</f>
        <v>74.319000000000003</v>
      </c>
      <c r="K136" s="561"/>
      <c r="L136" s="559"/>
      <c r="M136" s="559"/>
      <c r="N136" s="559"/>
      <c r="O136" s="559"/>
      <c r="P136" s="559"/>
      <c r="Q136" s="559"/>
    </row>
    <row r="137" spans="2:17" s="560" customFormat="1" ht="25.5" x14ac:dyDescent="0.2">
      <c r="B137" s="783"/>
      <c r="C137" s="809"/>
      <c r="D137" s="686"/>
      <c r="E137" s="703" t="s">
        <v>98</v>
      </c>
      <c r="F137" s="819" t="s">
        <v>99</v>
      </c>
      <c r="G137" s="649"/>
      <c r="H137" s="704" t="s">
        <v>12</v>
      </c>
      <c r="I137" s="678">
        <f>G138</f>
        <v>74.319000000000003</v>
      </c>
      <c r="K137" s="561"/>
      <c r="L137" s="559"/>
      <c r="M137" s="559"/>
      <c r="N137" s="559"/>
      <c r="O137" s="559"/>
      <c r="P137" s="559"/>
      <c r="Q137" s="559"/>
    </row>
    <row r="138" spans="2:17" s="560" customFormat="1" ht="15" x14ac:dyDescent="0.2">
      <c r="B138" s="783"/>
      <c r="C138" s="809"/>
      <c r="D138" s="686"/>
      <c r="E138" s="703"/>
      <c r="F138" s="785" t="s">
        <v>783</v>
      </c>
      <c r="G138" s="816">
        <f>2*(8.995+8.145+8+8)*1.05+2*0.45*1.05*5</f>
        <v>74.319000000000003</v>
      </c>
      <c r="H138" s="704"/>
      <c r="I138" s="678"/>
      <c r="K138" s="561"/>
      <c r="L138" s="559"/>
      <c r="M138" s="559"/>
      <c r="N138" s="559"/>
      <c r="O138" s="559"/>
      <c r="P138" s="559"/>
      <c r="Q138" s="559"/>
    </row>
    <row r="139" spans="2:17" s="560" customFormat="1" ht="15" x14ac:dyDescent="0.2">
      <c r="B139" s="783"/>
      <c r="C139" s="809"/>
      <c r="D139" s="810"/>
      <c r="E139" s="811"/>
      <c r="F139" s="817"/>
      <c r="G139" s="696"/>
      <c r="H139" s="674"/>
      <c r="I139" s="678"/>
      <c r="K139" s="561"/>
      <c r="L139" s="559"/>
      <c r="M139" s="559"/>
      <c r="N139" s="559"/>
      <c r="O139" s="559"/>
      <c r="P139" s="559"/>
      <c r="Q139" s="559"/>
    </row>
    <row r="140" spans="2:17" s="560" customFormat="1" ht="25.5" x14ac:dyDescent="0.2">
      <c r="B140" s="655">
        <f>MAX(B$5:B138)+1</f>
        <v>24</v>
      </c>
      <c r="C140" s="809"/>
      <c r="D140" s="699" t="s">
        <v>100</v>
      </c>
      <c r="E140" s="700"/>
      <c r="F140" s="818" t="s">
        <v>101</v>
      </c>
      <c r="G140" s="701"/>
      <c r="H140" s="660" t="s">
        <v>5</v>
      </c>
      <c r="I140" s="664">
        <f>G144</f>
        <v>1.7034</v>
      </c>
      <c r="K140" s="561"/>
      <c r="L140" s="559"/>
      <c r="M140" s="559"/>
      <c r="N140" s="559"/>
      <c r="O140" s="559"/>
      <c r="P140" s="559"/>
      <c r="Q140" s="559"/>
    </row>
    <row r="141" spans="2:17" s="561" customFormat="1" ht="25.5" x14ac:dyDescent="0.2">
      <c r="B141" s="783"/>
      <c r="C141" s="809"/>
      <c r="D141" s="686"/>
      <c r="E141" s="703" t="s">
        <v>102</v>
      </c>
      <c r="F141" s="819" t="s">
        <v>103</v>
      </c>
      <c r="G141" s="649"/>
      <c r="H141" s="704" t="s">
        <v>5</v>
      </c>
      <c r="I141" s="732">
        <f>G144</f>
        <v>1.7034</v>
      </c>
      <c r="J141" s="560"/>
      <c r="L141" s="559"/>
      <c r="M141" s="559"/>
      <c r="N141" s="559"/>
      <c r="O141" s="559"/>
      <c r="P141" s="559"/>
      <c r="Q141" s="559"/>
    </row>
    <row r="142" spans="2:17" s="561" customFormat="1" ht="15" x14ac:dyDescent="0.2">
      <c r="B142" s="783"/>
      <c r="C142" s="809"/>
      <c r="D142" s="810"/>
      <c r="E142" s="811"/>
      <c r="F142" s="785" t="s">
        <v>251</v>
      </c>
      <c r="G142" s="676"/>
      <c r="H142" s="674"/>
      <c r="I142" s="732"/>
      <c r="J142" s="560"/>
      <c r="L142" s="559"/>
      <c r="M142" s="559"/>
      <c r="N142" s="559"/>
      <c r="O142" s="559"/>
      <c r="P142" s="559"/>
      <c r="Q142" s="559"/>
    </row>
    <row r="143" spans="2:17" s="561" customFormat="1" ht="15" x14ac:dyDescent="0.2">
      <c r="B143" s="783"/>
      <c r="C143" s="809"/>
      <c r="D143" s="810"/>
      <c r="E143" s="811"/>
      <c r="F143" s="785" t="s">
        <v>818</v>
      </c>
      <c r="G143" s="696">
        <f xml:space="preserve"> 1.67*1.02</f>
        <v>1.7034</v>
      </c>
      <c r="H143" s="674"/>
      <c r="I143" s="732"/>
      <c r="J143" s="560"/>
      <c r="L143" s="559"/>
      <c r="M143" s="559"/>
      <c r="N143" s="559"/>
      <c r="O143" s="559"/>
      <c r="P143" s="559"/>
      <c r="Q143" s="559"/>
    </row>
    <row r="144" spans="2:17" s="561" customFormat="1" ht="15" x14ac:dyDescent="0.2">
      <c r="B144" s="783"/>
      <c r="C144" s="809"/>
      <c r="D144" s="810"/>
      <c r="E144" s="811"/>
      <c r="F144" s="698" t="s">
        <v>298</v>
      </c>
      <c r="G144" s="676">
        <f>G143</f>
        <v>1.7034</v>
      </c>
      <c r="H144" s="674"/>
      <c r="I144" s="732"/>
      <c r="J144" s="560"/>
      <c r="L144" s="559"/>
      <c r="M144" s="559"/>
      <c r="N144" s="559"/>
      <c r="O144" s="559"/>
      <c r="P144" s="559"/>
      <c r="Q144" s="559"/>
    </row>
    <row r="145" spans="2:17" s="561" customFormat="1" ht="15" x14ac:dyDescent="0.2">
      <c r="B145" s="783"/>
      <c r="C145" s="809"/>
      <c r="D145" s="810"/>
      <c r="E145" s="811"/>
      <c r="F145" s="698"/>
      <c r="G145" s="676"/>
      <c r="H145" s="674"/>
      <c r="I145" s="732"/>
      <c r="J145" s="560"/>
      <c r="L145" s="559"/>
      <c r="M145" s="559"/>
      <c r="N145" s="559"/>
      <c r="O145" s="559"/>
      <c r="P145" s="559"/>
      <c r="Q145" s="559"/>
    </row>
    <row r="146" spans="2:17" s="561" customFormat="1" ht="25.5" x14ac:dyDescent="0.2">
      <c r="B146" s="655">
        <f>MAX(B$5:B144)+1</f>
        <v>25</v>
      </c>
      <c r="C146" s="809"/>
      <c r="D146" s="656" t="s">
        <v>104</v>
      </c>
      <c r="E146" s="657"/>
      <c r="F146" s="658" t="s">
        <v>105</v>
      </c>
      <c r="G146" s="659"/>
      <c r="H146" s="660" t="s">
        <v>51</v>
      </c>
      <c r="I146" s="664">
        <f>I147</f>
        <v>10.494</v>
      </c>
      <c r="J146" s="560"/>
      <c r="L146" s="559"/>
      <c r="M146" s="559"/>
      <c r="N146" s="559"/>
      <c r="O146" s="559"/>
      <c r="P146" s="559"/>
      <c r="Q146" s="559"/>
    </row>
    <row r="147" spans="2:17" s="561" customFormat="1" ht="25.5" x14ac:dyDescent="0.2">
      <c r="B147" s="783"/>
      <c r="C147" s="809"/>
      <c r="D147" s="810"/>
      <c r="E147" s="820" t="s">
        <v>810</v>
      </c>
      <c r="F147" s="821" t="s">
        <v>811</v>
      </c>
      <c r="G147" s="822"/>
      <c r="H147" s="653" t="s">
        <v>51</v>
      </c>
      <c r="I147" s="732">
        <f>G152</f>
        <v>10.494</v>
      </c>
      <c r="J147" s="560"/>
      <c r="L147" s="559"/>
      <c r="M147" s="559"/>
      <c r="N147" s="559"/>
      <c r="O147" s="559"/>
      <c r="P147" s="559"/>
      <c r="Q147" s="559"/>
    </row>
    <row r="148" spans="2:17" s="561" customFormat="1" ht="15" x14ac:dyDescent="0.2">
      <c r="B148" s="783"/>
      <c r="C148" s="809"/>
      <c r="D148" s="810"/>
      <c r="E148" s="820"/>
      <c r="F148" s="688" t="s">
        <v>925</v>
      </c>
      <c r="G148" s="676"/>
      <c r="H148" s="653"/>
      <c r="I148" s="732"/>
      <c r="J148" s="560"/>
      <c r="L148" s="559"/>
      <c r="M148" s="559"/>
      <c r="N148" s="559"/>
      <c r="O148" s="559"/>
      <c r="P148" s="559"/>
      <c r="Q148" s="559"/>
    </row>
    <row r="149" spans="2:17" s="561" customFormat="1" ht="15" x14ac:dyDescent="0.2">
      <c r="B149" s="783"/>
      <c r="C149" s="809"/>
      <c r="D149" s="810"/>
      <c r="E149" s="820"/>
      <c r="F149" s="688" t="s">
        <v>918</v>
      </c>
      <c r="G149" s="696">
        <f>1*0.1*(2*1.8*17)</f>
        <v>6.120000000000001</v>
      </c>
      <c r="H149" s="653"/>
      <c r="I149" s="732"/>
      <c r="J149" s="560"/>
      <c r="L149" s="559"/>
      <c r="M149" s="559"/>
      <c r="N149" s="559"/>
      <c r="O149" s="559"/>
      <c r="P149" s="559"/>
      <c r="Q149" s="559"/>
    </row>
    <row r="150" spans="2:17" s="561" customFormat="1" ht="15" x14ac:dyDescent="0.2">
      <c r="B150" s="783"/>
      <c r="C150" s="809"/>
      <c r="D150" s="810"/>
      <c r="E150" s="811"/>
      <c r="F150" s="688" t="s">
        <v>934</v>
      </c>
      <c r="G150" s="676"/>
      <c r="H150" s="674"/>
      <c r="I150" s="732"/>
      <c r="J150" s="560"/>
      <c r="L150" s="559"/>
      <c r="M150" s="559"/>
      <c r="N150" s="559"/>
      <c r="O150" s="559"/>
      <c r="P150" s="559"/>
      <c r="Q150" s="559"/>
    </row>
    <row r="151" spans="2:17" s="561" customFormat="1" ht="15" x14ac:dyDescent="0.2">
      <c r="B151" s="783"/>
      <c r="C151" s="809"/>
      <c r="D151" s="810"/>
      <c r="E151" s="811"/>
      <c r="F151" s="688" t="s">
        <v>812</v>
      </c>
      <c r="G151" s="696">
        <f>3*0.15*2.43*4</f>
        <v>4.3739999999999997</v>
      </c>
      <c r="H151" s="674"/>
      <c r="I151" s="732"/>
      <c r="J151" s="560"/>
      <c r="L151" s="559"/>
      <c r="M151" s="559"/>
      <c r="N151" s="559"/>
      <c r="O151" s="559"/>
      <c r="P151" s="559"/>
      <c r="Q151" s="559"/>
    </row>
    <row r="152" spans="2:17" s="561" customFormat="1" ht="15" x14ac:dyDescent="0.2">
      <c r="B152" s="783"/>
      <c r="C152" s="809"/>
      <c r="D152" s="810"/>
      <c r="E152" s="811"/>
      <c r="F152" s="698" t="s">
        <v>250</v>
      </c>
      <c r="G152" s="676">
        <f>SUM(G149:G151)</f>
        <v>10.494</v>
      </c>
      <c r="H152" s="674"/>
      <c r="I152" s="732"/>
      <c r="J152" s="560"/>
      <c r="L152" s="559"/>
      <c r="M152" s="559"/>
      <c r="N152" s="559"/>
      <c r="O152" s="559"/>
      <c r="P152" s="559"/>
      <c r="Q152" s="559"/>
    </row>
    <row r="153" spans="2:17" s="561" customFormat="1" ht="15" x14ac:dyDescent="0.2">
      <c r="B153" s="783"/>
      <c r="C153" s="809"/>
      <c r="D153" s="810"/>
      <c r="E153" s="811"/>
      <c r="F153" s="698"/>
      <c r="G153" s="676"/>
      <c r="H153" s="674"/>
      <c r="I153" s="732"/>
      <c r="J153" s="560"/>
      <c r="L153" s="559"/>
      <c r="M153" s="559"/>
      <c r="N153" s="559"/>
      <c r="O153" s="559"/>
      <c r="P153" s="559"/>
      <c r="Q153" s="559"/>
    </row>
    <row r="154" spans="2:17" s="561" customFormat="1" ht="25.5" x14ac:dyDescent="0.2">
      <c r="B154" s="655">
        <f>MAX(B$5:B151)+1</f>
        <v>26</v>
      </c>
      <c r="C154" s="809"/>
      <c r="D154" s="656" t="s">
        <v>110</v>
      </c>
      <c r="E154" s="657"/>
      <c r="F154" s="658" t="s">
        <v>111</v>
      </c>
      <c r="G154" s="659"/>
      <c r="H154" s="660" t="s">
        <v>12</v>
      </c>
      <c r="I154" s="823">
        <f>I155</f>
        <v>29.160000000000004</v>
      </c>
      <c r="J154" s="560"/>
      <c r="L154" s="559"/>
      <c r="M154" s="559"/>
      <c r="N154" s="559"/>
      <c r="O154" s="559"/>
      <c r="P154" s="559"/>
      <c r="Q154" s="559"/>
    </row>
    <row r="155" spans="2:17" s="561" customFormat="1" ht="25.5" x14ac:dyDescent="0.2">
      <c r="B155" s="783"/>
      <c r="C155" s="809"/>
      <c r="D155" s="736"/>
      <c r="E155" s="740" t="s">
        <v>112</v>
      </c>
      <c r="F155" s="741" t="s">
        <v>181</v>
      </c>
      <c r="G155" s="742"/>
      <c r="H155" s="704" t="s">
        <v>12</v>
      </c>
      <c r="I155" s="824">
        <f>G158</f>
        <v>29.160000000000004</v>
      </c>
      <c r="J155" s="560"/>
      <c r="L155" s="559"/>
      <c r="M155" s="559"/>
      <c r="N155" s="559"/>
      <c r="O155" s="559"/>
      <c r="P155" s="559"/>
      <c r="Q155" s="559"/>
    </row>
    <row r="156" spans="2:17" s="561" customFormat="1" ht="15" x14ac:dyDescent="0.2">
      <c r="B156" s="783"/>
      <c r="C156" s="809"/>
      <c r="D156" s="810"/>
      <c r="E156" s="811"/>
      <c r="F156" s="688" t="s">
        <v>934</v>
      </c>
      <c r="G156" s="676"/>
      <c r="H156" s="674"/>
      <c r="I156" s="732"/>
      <c r="J156" s="560"/>
      <c r="L156" s="559"/>
      <c r="M156" s="559"/>
      <c r="N156" s="559"/>
      <c r="O156" s="559"/>
      <c r="P156" s="559"/>
      <c r="Q156" s="559"/>
    </row>
    <row r="157" spans="2:17" s="561" customFormat="1" ht="15" x14ac:dyDescent="0.2">
      <c r="B157" s="783"/>
      <c r="C157" s="809"/>
      <c r="D157" s="810"/>
      <c r="E157" s="811"/>
      <c r="F157" s="688" t="s">
        <v>815</v>
      </c>
      <c r="G157" s="696">
        <f>3*2.43*4</f>
        <v>29.160000000000004</v>
      </c>
      <c r="H157" s="674"/>
      <c r="I157" s="732"/>
      <c r="J157" s="560"/>
      <c r="L157" s="559"/>
      <c r="M157" s="559"/>
      <c r="N157" s="559"/>
      <c r="O157" s="559"/>
      <c r="P157" s="559"/>
      <c r="Q157" s="559"/>
    </row>
    <row r="158" spans="2:17" s="561" customFormat="1" ht="15" x14ac:dyDescent="0.2">
      <c r="B158" s="783"/>
      <c r="C158" s="809"/>
      <c r="D158" s="810"/>
      <c r="E158" s="811"/>
      <c r="F158" s="698" t="s">
        <v>250</v>
      </c>
      <c r="G158" s="676">
        <f>G157</f>
        <v>29.160000000000004</v>
      </c>
      <c r="H158" s="674"/>
      <c r="I158" s="732"/>
      <c r="J158" s="560"/>
      <c r="L158" s="559"/>
      <c r="M158" s="559"/>
      <c r="N158" s="559"/>
      <c r="O158" s="559"/>
      <c r="P158" s="559"/>
      <c r="Q158" s="559"/>
    </row>
    <row r="159" spans="2:17" s="561" customFormat="1" ht="15" x14ac:dyDescent="0.2">
      <c r="B159" s="783"/>
      <c r="C159" s="809"/>
      <c r="D159" s="810"/>
      <c r="E159" s="811"/>
      <c r="F159" s="698"/>
      <c r="G159" s="676"/>
      <c r="H159" s="674"/>
      <c r="I159" s="732"/>
      <c r="J159" s="560"/>
      <c r="L159" s="559"/>
      <c r="M159" s="559"/>
      <c r="N159" s="559"/>
      <c r="O159" s="559"/>
      <c r="P159" s="559"/>
      <c r="Q159" s="559"/>
    </row>
    <row r="160" spans="2:17" s="561" customFormat="1" ht="25.5" x14ac:dyDescent="0.2">
      <c r="B160" s="655">
        <f>MAX(B$5:B156)+1</f>
        <v>27</v>
      </c>
      <c r="C160" s="809"/>
      <c r="D160" s="656" t="s">
        <v>113</v>
      </c>
      <c r="E160" s="657"/>
      <c r="F160" s="658" t="s">
        <v>182</v>
      </c>
      <c r="G160" s="659"/>
      <c r="H160" s="663" t="s">
        <v>5</v>
      </c>
      <c r="I160" s="738">
        <f>I161+I164</f>
        <v>2.7093800000000003</v>
      </c>
      <c r="J160" s="560"/>
      <c r="L160" s="559"/>
      <c r="M160" s="559"/>
      <c r="N160" s="559"/>
      <c r="O160" s="559"/>
      <c r="P160" s="559"/>
      <c r="Q160" s="559"/>
    </row>
    <row r="161" spans="2:17" s="561" customFormat="1" ht="25.5" x14ac:dyDescent="0.2">
      <c r="B161" s="783"/>
      <c r="C161" s="809"/>
      <c r="D161" s="810"/>
      <c r="E161" s="740" t="s">
        <v>114</v>
      </c>
      <c r="F161" s="741" t="s">
        <v>183</v>
      </c>
      <c r="G161" s="742"/>
      <c r="H161" s="743" t="s">
        <v>5</v>
      </c>
      <c r="I161" s="825">
        <f>G162</f>
        <v>0.39500000000000002</v>
      </c>
      <c r="J161" s="560"/>
      <c r="L161" s="559"/>
      <c r="M161" s="559"/>
      <c r="N161" s="559"/>
      <c r="O161" s="559"/>
      <c r="P161" s="559"/>
      <c r="Q161" s="559"/>
    </row>
    <row r="162" spans="2:17" s="561" customFormat="1" ht="15" x14ac:dyDescent="0.2">
      <c r="B162" s="783"/>
      <c r="C162" s="809"/>
      <c r="D162" s="810"/>
      <c r="E162" s="740"/>
      <c r="F162" s="785" t="s">
        <v>816</v>
      </c>
      <c r="G162" s="742">
        <f>0.395</f>
        <v>0.39500000000000002</v>
      </c>
      <c r="H162" s="743"/>
      <c r="I162" s="825"/>
      <c r="J162" s="560"/>
      <c r="L162" s="559"/>
      <c r="M162" s="559"/>
      <c r="N162" s="559"/>
      <c r="O162" s="559"/>
      <c r="P162" s="559"/>
      <c r="Q162" s="559"/>
    </row>
    <row r="163" spans="2:17" s="561" customFormat="1" ht="15" x14ac:dyDescent="0.2">
      <c r="B163" s="783"/>
      <c r="C163" s="809"/>
      <c r="D163" s="810"/>
      <c r="E163" s="740"/>
      <c r="F163" s="741"/>
      <c r="G163" s="742"/>
      <c r="H163" s="743"/>
      <c r="I163" s="825"/>
      <c r="J163" s="560"/>
      <c r="L163" s="559"/>
      <c r="M163" s="559"/>
      <c r="N163" s="559"/>
      <c r="O163" s="559"/>
      <c r="P163" s="559"/>
      <c r="Q163" s="559"/>
    </row>
    <row r="164" spans="2:17" s="561" customFormat="1" ht="25.5" x14ac:dyDescent="0.2">
      <c r="B164" s="783"/>
      <c r="C164" s="809"/>
      <c r="D164" s="810"/>
      <c r="E164" s="740" t="s">
        <v>813</v>
      </c>
      <c r="F164" s="741" t="s">
        <v>814</v>
      </c>
      <c r="G164" s="742"/>
      <c r="H164" s="743" t="s">
        <v>5</v>
      </c>
      <c r="I164" s="825">
        <f>G165</f>
        <v>2.3143800000000003</v>
      </c>
      <c r="J164" s="560"/>
      <c r="L164" s="559"/>
      <c r="M164" s="559"/>
      <c r="N164" s="559"/>
      <c r="O164" s="559"/>
      <c r="P164" s="559"/>
      <c r="Q164" s="559"/>
    </row>
    <row r="165" spans="2:17" s="561" customFormat="1" ht="25.5" x14ac:dyDescent="0.2">
      <c r="B165" s="783"/>
      <c r="C165" s="809"/>
      <c r="D165" s="810"/>
      <c r="E165" s="811"/>
      <c r="F165" s="688" t="s">
        <v>819</v>
      </c>
      <c r="G165" s="676">
        <f xml:space="preserve"> 0.24616+2.06822</f>
        <v>2.3143800000000003</v>
      </c>
      <c r="H165" s="674"/>
      <c r="I165" s="732"/>
      <c r="J165" s="560"/>
      <c r="L165" s="559"/>
      <c r="M165" s="559"/>
      <c r="N165" s="559"/>
      <c r="O165" s="559"/>
      <c r="P165" s="559"/>
      <c r="Q165" s="559"/>
    </row>
    <row r="166" spans="2:17" s="561" customFormat="1" ht="15" x14ac:dyDescent="0.2">
      <c r="B166" s="783"/>
      <c r="C166" s="809"/>
      <c r="D166" s="810"/>
      <c r="E166" s="811"/>
      <c r="F166" s="817"/>
      <c r="G166" s="696"/>
      <c r="H166" s="674"/>
      <c r="I166" s="732"/>
      <c r="J166" s="560"/>
      <c r="L166" s="559"/>
      <c r="M166" s="559"/>
      <c r="N166" s="559"/>
      <c r="O166" s="559"/>
      <c r="P166" s="559"/>
      <c r="Q166" s="559"/>
    </row>
    <row r="167" spans="2:17" s="561" customFormat="1" ht="25.5" x14ac:dyDescent="0.2">
      <c r="B167" s="655">
        <f>MAX(B$5:B166)+1</f>
        <v>28</v>
      </c>
      <c r="C167" s="809"/>
      <c r="D167" s="699" t="s">
        <v>127</v>
      </c>
      <c r="E167" s="700"/>
      <c r="F167" s="818" t="s">
        <v>128</v>
      </c>
      <c r="G167" s="701"/>
      <c r="H167" s="660" t="s">
        <v>51</v>
      </c>
      <c r="I167" s="664">
        <f>G170</f>
        <v>1.2137500000000001</v>
      </c>
      <c r="J167" s="560"/>
      <c r="L167" s="559"/>
      <c r="M167" s="559"/>
      <c r="N167" s="559"/>
      <c r="O167" s="559"/>
      <c r="P167" s="559"/>
      <c r="Q167" s="559"/>
    </row>
    <row r="168" spans="2:17" s="561" customFormat="1" ht="25.5" x14ac:dyDescent="0.2">
      <c r="B168" s="783"/>
      <c r="C168" s="809"/>
      <c r="D168" s="686"/>
      <c r="E168" s="826" t="s">
        <v>129</v>
      </c>
      <c r="F168" s="827" t="s">
        <v>130</v>
      </c>
      <c r="G168" s="791"/>
      <c r="H168" s="674" t="s">
        <v>51</v>
      </c>
      <c r="I168" s="732"/>
      <c r="J168" s="560"/>
      <c r="L168" s="559"/>
      <c r="M168" s="559"/>
      <c r="N168" s="559"/>
      <c r="O168" s="559"/>
      <c r="P168" s="559"/>
      <c r="Q168" s="559"/>
    </row>
    <row r="169" spans="2:17" s="561" customFormat="1" ht="15" x14ac:dyDescent="0.2">
      <c r="B169" s="783"/>
      <c r="C169" s="809"/>
      <c r="D169" s="686"/>
      <c r="E169" s="814"/>
      <c r="F169" s="785" t="s">
        <v>784</v>
      </c>
      <c r="G169" s="828">
        <f>9.71*0.5*0.25</f>
        <v>1.2137500000000001</v>
      </c>
      <c r="H169" s="674"/>
      <c r="I169" s="732"/>
      <c r="J169" s="560"/>
      <c r="L169" s="559"/>
      <c r="M169" s="559"/>
      <c r="N169" s="559"/>
      <c r="O169" s="559"/>
      <c r="P169" s="559"/>
      <c r="Q169" s="559"/>
    </row>
    <row r="170" spans="2:17" s="560" customFormat="1" ht="15" x14ac:dyDescent="0.2">
      <c r="B170" s="783"/>
      <c r="C170" s="809"/>
      <c r="D170" s="810"/>
      <c r="E170" s="811"/>
      <c r="F170" s="698" t="s">
        <v>298</v>
      </c>
      <c r="G170" s="676">
        <f>SUM(G169:G169)</f>
        <v>1.2137500000000001</v>
      </c>
      <c r="H170" s="674"/>
      <c r="I170" s="732"/>
      <c r="K170" s="561"/>
      <c r="L170" s="559"/>
      <c r="M170" s="559"/>
      <c r="N170" s="559"/>
      <c r="O170" s="559"/>
      <c r="P170" s="559"/>
      <c r="Q170" s="559"/>
    </row>
    <row r="171" spans="2:17" s="560" customFormat="1" ht="15" x14ac:dyDescent="0.2">
      <c r="B171" s="783"/>
      <c r="C171" s="809"/>
      <c r="D171" s="810"/>
      <c r="E171" s="811"/>
      <c r="F171" s="688" t="s">
        <v>253</v>
      </c>
      <c r="G171" s="696"/>
      <c r="H171" s="674"/>
      <c r="I171" s="732"/>
      <c r="K171" s="561"/>
      <c r="L171" s="559"/>
      <c r="M171" s="559"/>
      <c r="N171" s="559"/>
      <c r="O171" s="559"/>
      <c r="P171" s="559"/>
      <c r="Q171" s="559"/>
    </row>
    <row r="172" spans="2:17" s="560" customFormat="1" ht="15" x14ac:dyDescent="0.2">
      <c r="B172" s="783"/>
      <c r="C172" s="809"/>
      <c r="D172" s="810"/>
      <c r="E172" s="811"/>
      <c r="F172" s="688" t="s">
        <v>496</v>
      </c>
      <c r="G172" s="696"/>
      <c r="H172" s="674"/>
      <c r="I172" s="732"/>
      <c r="K172" s="561"/>
      <c r="L172" s="559"/>
      <c r="M172" s="559"/>
      <c r="N172" s="559"/>
      <c r="O172" s="559"/>
      <c r="P172" s="559"/>
      <c r="Q172" s="559"/>
    </row>
    <row r="173" spans="2:17" s="560" customFormat="1" ht="15" x14ac:dyDescent="0.2">
      <c r="B173" s="783"/>
      <c r="C173" s="809"/>
      <c r="D173" s="810"/>
      <c r="E173" s="811"/>
      <c r="F173" s="817"/>
      <c r="G173" s="696"/>
      <c r="H173" s="674"/>
      <c r="I173" s="732"/>
      <c r="K173" s="561"/>
      <c r="L173" s="559"/>
      <c r="M173" s="559"/>
      <c r="N173" s="559"/>
      <c r="O173" s="559"/>
      <c r="P173" s="559"/>
      <c r="Q173" s="559"/>
    </row>
    <row r="174" spans="2:17" s="560" customFormat="1" ht="25.5" x14ac:dyDescent="0.2">
      <c r="B174" s="655">
        <f>MAX(B$5:B172)+1</f>
        <v>29</v>
      </c>
      <c r="C174" s="809"/>
      <c r="D174" s="699" t="s">
        <v>131</v>
      </c>
      <c r="E174" s="700"/>
      <c r="F174" s="818" t="s">
        <v>184</v>
      </c>
      <c r="G174" s="701"/>
      <c r="H174" s="660" t="s">
        <v>12</v>
      </c>
      <c r="I174" s="664">
        <f>G177</f>
        <v>5.8260000000000005</v>
      </c>
      <c r="K174" s="561"/>
      <c r="L174" s="559"/>
      <c r="M174" s="559"/>
      <c r="N174" s="559"/>
      <c r="O174" s="559"/>
      <c r="P174" s="559"/>
      <c r="Q174" s="559"/>
    </row>
    <row r="175" spans="2:17" s="560" customFormat="1" ht="25.5" x14ac:dyDescent="0.2">
      <c r="B175" s="783"/>
      <c r="C175" s="809"/>
      <c r="D175" s="686"/>
      <c r="E175" s="703" t="s">
        <v>132</v>
      </c>
      <c r="F175" s="819" t="s">
        <v>185</v>
      </c>
      <c r="G175" s="649"/>
      <c r="H175" s="704" t="s">
        <v>12</v>
      </c>
      <c r="I175" s="732">
        <f>G177</f>
        <v>5.8260000000000005</v>
      </c>
      <c r="K175" s="561"/>
      <c r="L175" s="559"/>
      <c r="M175" s="559"/>
      <c r="N175" s="559"/>
      <c r="O175" s="559"/>
      <c r="P175" s="559"/>
      <c r="Q175" s="559"/>
    </row>
    <row r="176" spans="2:17" s="560" customFormat="1" ht="15" x14ac:dyDescent="0.2">
      <c r="B176" s="783"/>
      <c r="C176" s="809"/>
      <c r="D176" s="810"/>
      <c r="E176" s="811"/>
      <c r="F176" s="785" t="s">
        <v>785</v>
      </c>
      <c r="G176" s="828">
        <f xml:space="preserve"> (2*9.71*0.25)+ (0.1*9.71)</f>
        <v>5.8260000000000005</v>
      </c>
      <c r="H176" s="674"/>
      <c r="I176" s="732"/>
      <c r="K176" s="561"/>
      <c r="L176" s="559"/>
      <c r="M176" s="559"/>
      <c r="N176" s="559"/>
      <c r="O176" s="559"/>
      <c r="P176" s="559"/>
      <c r="Q176" s="559"/>
    </row>
    <row r="177" spans="2:17" s="560" customFormat="1" ht="15" x14ac:dyDescent="0.2">
      <c r="B177" s="783"/>
      <c r="C177" s="809"/>
      <c r="D177" s="810"/>
      <c r="E177" s="811"/>
      <c r="F177" s="829" t="s">
        <v>250</v>
      </c>
      <c r="G177" s="676">
        <f>SUM(G176:G176)</f>
        <v>5.8260000000000005</v>
      </c>
      <c r="H177" s="674"/>
      <c r="I177" s="732"/>
      <c r="K177" s="561"/>
      <c r="L177" s="559"/>
      <c r="M177" s="559"/>
      <c r="N177" s="559"/>
      <c r="O177" s="559"/>
      <c r="P177" s="559"/>
      <c r="Q177" s="559"/>
    </row>
    <row r="178" spans="2:17" s="560" customFormat="1" ht="9" customHeight="1" x14ac:dyDescent="0.2">
      <c r="B178" s="783"/>
      <c r="C178" s="809"/>
      <c r="D178" s="810"/>
      <c r="E178" s="811"/>
      <c r="F178" s="785"/>
      <c r="G178" s="676"/>
      <c r="H178" s="674"/>
      <c r="I178" s="732"/>
      <c r="K178" s="561"/>
      <c r="L178" s="559"/>
      <c r="M178" s="559"/>
      <c r="N178" s="559"/>
      <c r="O178" s="559"/>
      <c r="P178" s="559"/>
      <c r="Q178" s="559"/>
    </row>
    <row r="179" spans="2:17" s="560" customFormat="1" ht="25.5" x14ac:dyDescent="0.2">
      <c r="B179" s="655">
        <f>MAX(B$5:B178)+1</f>
        <v>30</v>
      </c>
      <c r="C179" s="809"/>
      <c r="D179" s="699" t="s">
        <v>133</v>
      </c>
      <c r="E179" s="700"/>
      <c r="F179" s="818" t="s">
        <v>186</v>
      </c>
      <c r="G179" s="701"/>
      <c r="H179" s="660" t="s">
        <v>5</v>
      </c>
      <c r="I179" s="664">
        <f>G183</f>
        <v>0.20130000000000001</v>
      </c>
      <c r="K179" s="561"/>
      <c r="L179" s="559"/>
      <c r="M179" s="559"/>
      <c r="N179" s="559"/>
      <c r="O179" s="559"/>
      <c r="P179" s="559"/>
      <c r="Q179" s="559"/>
    </row>
    <row r="180" spans="2:17" s="560" customFormat="1" ht="25.5" x14ac:dyDescent="0.2">
      <c r="B180" s="783"/>
      <c r="C180" s="809"/>
      <c r="D180" s="686"/>
      <c r="E180" s="703" t="s">
        <v>134</v>
      </c>
      <c r="F180" s="819" t="s">
        <v>187</v>
      </c>
      <c r="G180" s="830"/>
      <c r="H180" s="704" t="s">
        <v>5</v>
      </c>
      <c r="I180" s="732">
        <f>G183</f>
        <v>0.20130000000000001</v>
      </c>
      <c r="K180" s="561"/>
      <c r="L180" s="559"/>
      <c r="M180" s="559"/>
      <c r="N180" s="559"/>
      <c r="O180" s="559"/>
      <c r="P180" s="559"/>
      <c r="Q180" s="559"/>
    </row>
    <row r="181" spans="2:17" s="560" customFormat="1" ht="15" x14ac:dyDescent="0.2">
      <c r="B181" s="783"/>
      <c r="C181" s="809"/>
      <c r="D181" s="810"/>
      <c r="E181" s="811"/>
      <c r="F181" s="785" t="s">
        <v>787</v>
      </c>
      <c r="G181" s="649">
        <f>144.3*0.001</f>
        <v>0.14430000000000001</v>
      </c>
      <c r="H181" s="674"/>
      <c r="I181" s="732"/>
      <c r="K181" s="561"/>
      <c r="L181" s="559"/>
      <c r="M181" s="559"/>
      <c r="N181" s="559"/>
      <c r="O181" s="559"/>
      <c r="P181" s="559"/>
      <c r="Q181" s="559"/>
    </row>
    <row r="182" spans="2:17" s="560" customFormat="1" ht="15" x14ac:dyDescent="0.2">
      <c r="B182" s="783"/>
      <c r="C182" s="809"/>
      <c r="D182" s="810"/>
      <c r="E182" s="811"/>
      <c r="F182" s="785" t="s">
        <v>786</v>
      </c>
      <c r="G182" s="831">
        <f>57*0.001</f>
        <v>5.7000000000000002E-2</v>
      </c>
      <c r="H182" s="674"/>
      <c r="I182" s="732"/>
      <c r="K182" s="561"/>
      <c r="L182" s="559"/>
      <c r="M182" s="559"/>
      <c r="N182" s="559"/>
      <c r="O182" s="559"/>
      <c r="P182" s="559"/>
      <c r="Q182" s="559"/>
    </row>
    <row r="183" spans="2:17" s="560" customFormat="1" ht="15" x14ac:dyDescent="0.2">
      <c r="B183" s="783"/>
      <c r="C183" s="809"/>
      <c r="D183" s="810"/>
      <c r="E183" s="811"/>
      <c r="F183" s="829" t="s">
        <v>250</v>
      </c>
      <c r="G183" s="676">
        <f>SUM(G181:G182)</f>
        <v>0.20130000000000001</v>
      </c>
      <c r="H183" s="674"/>
      <c r="I183" s="732"/>
      <c r="K183" s="561"/>
      <c r="L183" s="559"/>
      <c r="M183" s="559"/>
      <c r="N183" s="559"/>
      <c r="O183" s="559"/>
      <c r="P183" s="559"/>
      <c r="Q183" s="559"/>
    </row>
    <row r="184" spans="2:17" s="560" customFormat="1" ht="15" x14ac:dyDescent="0.2">
      <c r="B184" s="783"/>
      <c r="C184" s="809"/>
      <c r="D184" s="810"/>
      <c r="E184" s="811"/>
      <c r="F184" s="785"/>
      <c r="G184" s="676"/>
      <c r="H184" s="674"/>
      <c r="I184" s="732"/>
      <c r="K184" s="561"/>
      <c r="L184" s="559"/>
      <c r="M184" s="559"/>
      <c r="N184" s="559"/>
      <c r="O184" s="559"/>
      <c r="P184" s="559"/>
      <c r="Q184" s="559"/>
    </row>
    <row r="185" spans="2:17" s="560" customFormat="1" ht="25.5" x14ac:dyDescent="0.2">
      <c r="B185" s="655">
        <f>MAX(B$5:B184)+1</f>
        <v>31</v>
      </c>
      <c r="C185" s="809"/>
      <c r="D185" s="656" t="s">
        <v>840</v>
      </c>
      <c r="E185" s="657"/>
      <c r="F185" s="658" t="s">
        <v>841</v>
      </c>
      <c r="G185" s="659"/>
      <c r="H185" s="660" t="s">
        <v>51</v>
      </c>
      <c r="I185" s="664">
        <f>G188</f>
        <v>73.073700000000017</v>
      </c>
      <c r="K185" s="561"/>
      <c r="L185" s="559"/>
      <c r="M185" s="559"/>
      <c r="N185" s="559"/>
      <c r="O185" s="559"/>
      <c r="P185" s="559"/>
      <c r="Q185" s="559"/>
    </row>
    <row r="186" spans="2:17" s="560" customFormat="1" ht="25.5" x14ac:dyDescent="0.2">
      <c r="B186" s="783"/>
      <c r="C186" s="809"/>
      <c r="D186" s="810"/>
      <c r="E186" s="811"/>
      <c r="F186" s="832" t="s">
        <v>935</v>
      </c>
      <c r="G186" s="696"/>
      <c r="H186" s="674"/>
      <c r="I186" s="732"/>
      <c r="K186" s="561"/>
      <c r="L186" s="559"/>
      <c r="M186" s="559"/>
      <c r="N186" s="559"/>
      <c r="O186" s="559"/>
      <c r="P186" s="559"/>
      <c r="Q186" s="559"/>
    </row>
    <row r="187" spans="2:17" s="560" customFormat="1" ht="16.5" customHeight="1" x14ac:dyDescent="0.2">
      <c r="B187" s="783"/>
      <c r="C187" s="809"/>
      <c r="D187" s="810"/>
      <c r="E187" s="811"/>
      <c r="F187" s="833" t="s">
        <v>842</v>
      </c>
      <c r="G187" s="696">
        <f>2.1*(8.995+8.145+8+8)*1.05</f>
        <v>73.073700000000017</v>
      </c>
      <c r="H187" s="674"/>
      <c r="I187" s="732"/>
      <c r="K187" s="561"/>
      <c r="L187" s="559"/>
      <c r="M187" s="559"/>
      <c r="N187" s="559"/>
      <c r="O187" s="559"/>
      <c r="P187" s="559"/>
      <c r="Q187" s="559"/>
    </row>
    <row r="188" spans="2:17" s="560" customFormat="1" ht="15" x14ac:dyDescent="0.2">
      <c r="B188" s="783"/>
      <c r="C188" s="809"/>
      <c r="D188" s="810"/>
      <c r="E188" s="811"/>
      <c r="F188" s="829" t="s">
        <v>250</v>
      </c>
      <c r="G188" s="676">
        <f>SUM(G186:G187)</f>
        <v>73.073700000000017</v>
      </c>
      <c r="H188" s="674"/>
      <c r="I188" s="732"/>
      <c r="K188" s="561"/>
      <c r="L188" s="559"/>
      <c r="M188" s="559"/>
      <c r="N188" s="559"/>
      <c r="O188" s="559"/>
      <c r="P188" s="559"/>
      <c r="Q188" s="559"/>
    </row>
    <row r="189" spans="2:17" s="561" customFormat="1" ht="15" x14ac:dyDescent="0.2">
      <c r="B189" s="783"/>
      <c r="C189" s="809"/>
      <c r="D189" s="810"/>
      <c r="E189" s="811"/>
      <c r="F189" s="688"/>
      <c r="G189" s="676"/>
      <c r="H189" s="674"/>
      <c r="I189" s="732"/>
      <c r="J189" s="560"/>
      <c r="L189" s="559"/>
      <c r="M189" s="559"/>
      <c r="N189" s="559"/>
      <c r="O189" s="559"/>
      <c r="P189" s="559"/>
      <c r="Q189" s="559"/>
    </row>
    <row r="190" spans="2:17" s="560" customFormat="1" ht="15" x14ac:dyDescent="0.2">
      <c r="B190" s="655">
        <f>MAX(B$5:B189)+1</f>
        <v>32</v>
      </c>
      <c r="C190" s="809"/>
      <c r="D190" s="699" t="s">
        <v>716</v>
      </c>
      <c r="E190" s="720"/>
      <c r="F190" s="818" t="s">
        <v>717</v>
      </c>
      <c r="G190" s="701"/>
      <c r="H190" s="660" t="s">
        <v>25</v>
      </c>
      <c r="I190" s="664">
        <f>G194</f>
        <v>32</v>
      </c>
      <c r="K190" s="561"/>
      <c r="L190" s="559"/>
      <c r="M190" s="559"/>
      <c r="N190" s="559"/>
      <c r="O190" s="559"/>
      <c r="P190" s="559"/>
      <c r="Q190" s="559"/>
    </row>
    <row r="191" spans="2:17" s="560" customFormat="1" ht="15" x14ac:dyDescent="0.2">
      <c r="B191" s="783"/>
      <c r="C191" s="809"/>
      <c r="D191" s="812"/>
      <c r="E191" s="720"/>
      <c r="F191" s="785" t="s">
        <v>936</v>
      </c>
      <c r="G191" s="676"/>
      <c r="H191" s="813"/>
      <c r="I191" s="732"/>
      <c r="K191" s="561"/>
      <c r="L191" s="559"/>
      <c r="M191" s="559"/>
      <c r="N191" s="559"/>
      <c r="O191" s="559"/>
      <c r="P191" s="559"/>
      <c r="Q191" s="559"/>
    </row>
    <row r="192" spans="2:17" s="560" customFormat="1" ht="15" x14ac:dyDescent="0.2">
      <c r="B192" s="783"/>
      <c r="C192" s="809"/>
      <c r="D192" s="812"/>
      <c r="E192" s="720"/>
      <c r="F192" s="834" t="s">
        <v>788</v>
      </c>
      <c r="G192" s="757">
        <f>14+10</f>
        <v>24</v>
      </c>
      <c r="H192" s="813"/>
      <c r="I192" s="732"/>
      <c r="K192" s="561"/>
      <c r="L192" s="559"/>
      <c r="M192" s="559"/>
      <c r="N192" s="559"/>
      <c r="O192" s="559"/>
      <c r="P192" s="559"/>
      <c r="Q192" s="559"/>
    </row>
    <row r="193" spans="2:17" s="560" customFormat="1" ht="15" x14ac:dyDescent="0.2">
      <c r="B193" s="783"/>
      <c r="C193" s="809"/>
      <c r="D193" s="812"/>
      <c r="E193" s="720"/>
      <c r="F193" s="834" t="s">
        <v>789</v>
      </c>
      <c r="G193" s="835">
        <v>8</v>
      </c>
      <c r="H193" s="813"/>
      <c r="I193" s="732"/>
      <c r="K193" s="561"/>
      <c r="L193" s="559"/>
      <c r="M193" s="559"/>
      <c r="N193" s="559"/>
      <c r="O193" s="559"/>
      <c r="P193" s="559"/>
      <c r="Q193" s="559"/>
    </row>
    <row r="194" spans="2:17" s="560" customFormat="1" ht="15" x14ac:dyDescent="0.2">
      <c r="B194" s="783"/>
      <c r="C194" s="809"/>
      <c r="D194" s="812"/>
      <c r="E194" s="720"/>
      <c r="F194" s="834" t="s">
        <v>250</v>
      </c>
      <c r="G194" s="757">
        <f>SUM(G192:G193)</f>
        <v>32</v>
      </c>
      <c r="H194" s="813"/>
      <c r="I194" s="732"/>
      <c r="K194" s="561"/>
      <c r="L194" s="559"/>
      <c r="M194" s="559"/>
      <c r="N194" s="559"/>
      <c r="O194" s="559"/>
      <c r="P194" s="559"/>
      <c r="Q194" s="559"/>
    </row>
    <row r="195" spans="2:17" s="560" customFormat="1" ht="25.5" x14ac:dyDescent="0.2">
      <c r="B195" s="783"/>
      <c r="C195" s="809"/>
      <c r="D195" s="812"/>
      <c r="E195" s="720"/>
      <c r="F195" s="785" t="s">
        <v>937</v>
      </c>
      <c r="G195" s="808"/>
      <c r="H195" s="813"/>
      <c r="I195" s="732"/>
      <c r="K195" s="561"/>
      <c r="L195" s="559"/>
      <c r="M195" s="559"/>
      <c r="N195" s="559"/>
      <c r="O195" s="559"/>
      <c r="P195" s="559"/>
      <c r="Q195" s="559"/>
    </row>
    <row r="196" spans="2:17" s="560" customFormat="1" ht="15" x14ac:dyDescent="0.2">
      <c r="B196" s="783"/>
      <c r="C196" s="809"/>
      <c r="D196" s="812"/>
      <c r="E196" s="720"/>
      <c r="F196" s="807"/>
      <c r="G196" s="808"/>
      <c r="H196" s="813"/>
      <c r="I196" s="678"/>
      <c r="K196" s="561"/>
      <c r="L196" s="559"/>
      <c r="M196" s="559"/>
      <c r="N196" s="559"/>
      <c r="O196" s="559"/>
      <c r="P196" s="559"/>
      <c r="Q196" s="559"/>
    </row>
    <row r="197" spans="2:17" s="561" customFormat="1" ht="15" x14ac:dyDescent="0.2">
      <c r="B197" s="783"/>
      <c r="C197" s="809"/>
      <c r="D197" s="812"/>
      <c r="E197" s="720"/>
      <c r="F197" s="807"/>
      <c r="G197" s="808"/>
      <c r="H197" s="813"/>
      <c r="I197" s="732"/>
      <c r="J197" s="560"/>
      <c r="L197" s="559"/>
      <c r="M197" s="559"/>
      <c r="N197" s="559"/>
      <c r="O197" s="559"/>
      <c r="P197" s="559"/>
      <c r="Q197" s="559"/>
    </row>
    <row r="198" spans="2:17" s="561" customFormat="1" ht="25.5" x14ac:dyDescent="0.2">
      <c r="B198" s="655">
        <f>MAX(B$5:B196)+1</f>
        <v>33</v>
      </c>
      <c r="C198" s="809"/>
      <c r="D198" s="699" t="s">
        <v>222</v>
      </c>
      <c r="E198" s="700"/>
      <c r="F198" s="818" t="s">
        <v>223</v>
      </c>
      <c r="G198" s="701"/>
      <c r="H198" s="660" t="s">
        <v>25</v>
      </c>
      <c r="I198" s="664">
        <f>I199</f>
        <v>144.5</v>
      </c>
      <c r="J198" s="560"/>
      <c r="L198" s="559"/>
      <c r="M198" s="559"/>
      <c r="N198" s="559"/>
      <c r="O198" s="559"/>
      <c r="P198" s="559"/>
      <c r="Q198" s="559"/>
    </row>
    <row r="199" spans="2:17" s="561" customFormat="1" ht="25.5" x14ac:dyDescent="0.2">
      <c r="B199" s="783"/>
      <c r="C199" s="809"/>
      <c r="D199" s="812"/>
      <c r="E199" s="687" t="s">
        <v>224</v>
      </c>
      <c r="F199" s="832" t="s">
        <v>225</v>
      </c>
      <c r="G199" s="676"/>
      <c r="H199" s="689" t="s">
        <v>25</v>
      </c>
      <c r="I199" s="732">
        <f>G202</f>
        <v>144.5</v>
      </c>
      <c r="J199" s="560"/>
      <c r="L199" s="559"/>
      <c r="M199" s="559"/>
      <c r="N199" s="559"/>
      <c r="O199" s="559"/>
      <c r="P199" s="559"/>
      <c r="Q199" s="559"/>
    </row>
    <row r="200" spans="2:17" s="561" customFormat="1" ht="25.5" x14ac:dyDescent="0.2">
      <c r="B200" s="783"/>
      <c r="C200" s="809"/>
      <c r="D200" s="812"/>
      <c r="E200" s="687"/>
      <c r="F200" s="832" t="s">
        <v>790</v>
      </c>
      <c r="G200" s="676">
        <f>15+10+0.5</f>
        <v>25.5</v>
      </c>
      <c r="H200" s="689"/>
      <c r="I200" s="732"/>
      <c r="J200" s="560"/>
      <c r="L200" s="559"/>
      <c r="M200" s="559"/>
      <c r="N200" s="559"/>
      <c r="O200" s="559"/>
      <c r="P200" s="559"/>
      <c r="Q200" s="559"/>
    </row>
    <row r="201" spans="2:17" s="561" customFormat="1" ht="25.5" x14ac:dyDescent="0.2">
      <c r="B201" s="783"/>
      <c r="C201" s="809"/>
      <c r="D201" s="812"/>
      <c r="E201" s="687"/>
      <c r="F201" s="832" t="s">
        <v>926</v>
      </c>
      <c r="G201" s="696">
        <f>7*17</f>
        <v>119</v>
      </c>
      <c r="H201" s="689"/>
      <c r="I201" s="732"/>
      <c r="J201" s="560"/>
      <c r="L201" s="559"/>
      <c r="M201" s="559"/>
      <c r="N201" s="559"/>
      <c r="O201" s="559"/>
      <c r="P201" s="559"/>
      <c r="Q201" s="559"/>
    </row>
    <row r="202" spans="2:17" s="561" customFormat="1" ht="15" x14ac:dyDescent="0.2">
      <c r="B202" s="783"/>
      <c r="C202" s="809"/>
      <c r="D202" s="812"/>
      <c r="E202" s="687"/>
      <c r="F202" s="836" t="s">
        <v>250</v>
      </c>
      <c r="G202" s="676">
        <f>SUM(G200:G201)</f>
        <v>144.5</v>
      </c>
      <c r="H202" s="689"/>
      <c r="I202" s="732"/>
      <c r="J202" s="560"/>
      <c r="L202" s="559"/>
      <c r="M202" s="559"/>
      <c r="N202" s="559"/>
      <c r="O202" s="559"/>
      <c r="P202" s="559"/>
      <c r="Q202" s="559"/>
    </row>
    <row r="203" spans="2:17" ht="7.5" customHeight="1" x14ac:dyDescent="0.2">
      <c r="B203" s="783"/>
      <c r="C203" s="809"/>
      <c r="D203" s="810"/>
      <c r="E203" s="811"/>
      <c r="F203" s="785"/>
      <c r="G203" s="696"/>
      <c r="H203" s="674"/>
      <c r="I203" s="732"/>
    </row>
    <row r="204" spans="2:17" ht="15" x14ac:dyDescent="0.2">
      <c r="B204" s="655">
        <f>MAX(B$5:B202)+1</f>
        <v>34</v>
      </c>
      <c r="C204" s="809"/>
      <c r="D204" s="699" t="s">
        <v>226</v>
      </c>
      <c r="E204" s="700"/>
      <c r="F204" s="818" t="s">
        <v>227</v>
      </c>
      <c r="G204" s="701"/>
      <c r="H204" s="660" t="s">
        <v>8</v>
      </c>
      <c r="I204" s="664">
        <f>G209</f>
        <v>24</v>
      </c>
    </row>
    <row r="205" spans="2:17" ht="15" x14ac:dyDescent="0.2">
      <c r="B205" s="783"/>
      <c r="C205" s="809"/>
      <c r="D205" s="810"/>
      <c r="E205" s="811"/>
      <c r="F205" s="785" t="s">
        <v>532</v>
      </c>
      <c r="G205" s="676"/>
      <c r="H205" s="674"/>
      <c r="I205" s="732"/>
    </row>
    <row r="206" spans="2:17" ht="25.5" x14ac:dyDescent="0.2">
      <c r="B206" s="783"/>
      <c r="C206" s="809"/>
      <c r="D206" s="810"/>
      <c r="E206" s="811"/>
      <c r="F206" s="785" t="s">
        <v>279</v>
      </c>
      <c r="G206" s="696">
        <v>12</v>
      </c>
      <c r="H206" s="674"/>
      <c r="I206" s="732"/>
    </row>
    <row r="207" spans="2:17" ht="38.25" x14ac:dyDescent="0.2">
      <c r="B207" s="783"/>
      <c r="C207" s="809"/>
      <c r="D207" s="810"/>
      <c r="E207" s="811"/>
      <c r="F207" s="785" t="s">
        <v>267</v>
      </c>
      <c r="G207" s="696"/>
      <c r="H207" s="674"/>
      <c r="I207" s="732"/>
    </row>
    <row r="208" spans="2:17" ht="42" customHeight="1" x14ac:dyDescent="0.2">
      <c r="B208" s="783"/>
      <c r="C208" s="809"/>
      <c r="D208" s="810"/>
      <c r="E208" s="811"/>
      <c r="F208" s="837" t="s">
        <v>914</v>
      </c>
      <c r="G208" s="696">
        <v>12</v>
      </c>
      <c r="H208" s="674"/>
      <c r="I208" s="732"/>
    </row>
    <row r="209" spans="2:17" ht="15" x14ac:dyDescent="0.2">
      <c r="B209" s="783"/>
      <c r="C209" s="809"/>
      <c r="D209" s="810"/>
      <c r="E209" s="811"/>
      <c r="F209" s="698" t="s">
        <v>298</v>
      </c>
      <c r="G209" s="676">
        <f>SUM(G205:G208)</f>
        <v>24</v>
      </c>
      <c r="H209" s="674"/>
      <c r="I209" s="732"/>
    </row>
    <row r="210" spans="2:17" ht="15" x14ac:dyDescent="0.2">
      <c r="B210" s="783"/>
      <c r="C210" s="809"/>
      <c r="D210" s="810"/>
      <c r="E210" s="811"/>
      <c r="F210" s="698"/>
      <c r="G210" s="676"/>
      <c r="H210" s="674"/>
      <c r="I210" s="732"/>
    </row>
    <row r="211" spans="2:17" ht="25.5" x14ac:dyDescent="0.2">
      <c r="B211" s="655">
        <f>MAX(B$5:B209)+1</f>
        <v>35</v>
      </c>
      <c r="C211" s="838"/>
      <c r="D211" s="839" t="s">
        <v>820</v>
      </c>
      <c r="E211" s="840"/>
      <c r="F211" s="841" t="s">
        <v>821</v>
      </c>
      <c r="G211" s="842"/>
      <c r="H211" s="843" t="s">
        <v>5</v>
      </c>
      <c r="I211" s="844">
        <f>I212</f>
        <v>10.301900399999999</v>
      </c>
    </row>
    <row r="212" spans="2:17" ht="25.5" x14ac:dyDescent="0.2">
      <c r="B212" s="655"/>
      <c r="C212" s="838"/>
      <c r="D212" s="839"/>
      <c r="E212" s="740" t="s">
        <v>822</v>
      </c>
      <c r="F212" s="741" t="s">
        <v>823</v>
      </c>
      <c r="G212" s="742"/>
      <c r="H212" s="743" t="s">
        <v>5</v>
      </c>
      <c r="I212" s="844">
        <f>G214</f>
        <v>10.301900399999999</v>
      </c>
    </row>
    <row r="213" spans="2:17" ht="15" x14ac:dyDescent="0.2">
      <c r="B213" s="783"/>
      <c r="C213" s="809"/>
      <c r="D213" s="810"/>
      <c r="E213" s="811"/>
      <c r="F213" s="688" t="s">
        <v>801</v>
      </c>
      <c r="G213" s="696">
        <f>6.6*(8.145+8+8+8.995)*2*0.003*7.85</f>
        <v>10.301900399999999</v>
      </c>
      <c r="H213" s="674"/>
      <c r="I213" s="732"/>
    </row>
    <row r="214" spans="2:17" ht="15" x14ac:dyDescent="0.2">
      <c r="B214" s="783"/>
      <c r="C214" s="809"/>
      <c r="D214" s="810"/>
      <c r="E214" s="811"/>
      <c r="F214" s="698" t="s">
        <v>250</v>
      </c>
      <c r="G214" s="676">
        <f>SUM(G213)</f>
        <v>10.301900399999999</v>
      </c>
      <c r="H214" s="674"/>
      <c r="I214" s="732"/>
    </row>
    <row r="215" spans="2:17" ht="38.25" x14ac:dyDescent="0.2">
      <c r="B215" s="783"/>
      <c r="C215" s="809"/>
      <c r="D215" s="810"/>
      <c r="E215" s="811"/>
      <c r="F215" s="845" t="s">
        <v>938</v>
      </c>
      <c r="G215" s="676"/>
      <c r="H215" s="674"/>
      <c r="I215" s="732"/>
    </row>
    <row r="216" spans="2:17" s="560" customFormat="1" ht="15" x14ac:dyDescent="0.2">
      <c r="B216" s="783"/>
      <c r="C216" s="809"/>
      <c r="D216" s="810"/>
      <c r="E216" s="811"/>
      <c r="F216" s="698"/>
      <c r="G216" s="676"/>
      <c r="H216" s="674"/>
      <c r="I216" s="732"/>
      <c r="K216" s="561"/>
      <c r="L216" s="559"/>
      <c r="M216" s="559"/>
      <c r="N216" s="559"/>
      <c r="O216" s="559"/>
      <c r="P216" s="559"/>
      <c r="Q216" s="559"/>
    </row>
    <row r="217" spans="2:17" s="560" customFormat="1" ht="25.5" x14ac:dyDescent="0.2">
      <c r="B217" s="783"/>
      <c r="C217" s="806" t="s">
        <v>248</v>
      </c>
      <c r="D217" s="806"/>
      <c r="E217" s="720"/>
      <c r="F217" s="807" t="s">
        <v>249</v>
      </c>
      <c r="G217" s="696"/>
      <c r="H217" s="674"/>
      <c r="I217" s="732"/>
      <c r="K217" s="561"/>
      <c r="L217" s="559"/>
      <c r="M217" s="559"/>
      <c r="N217" s="559"/>
      <c r="O217" s="559"/>
      <c r="P217" s="559"/>
      <c r="Q217" s="559"/>
    </row>
    <row r="218" spans="2:17" s="560" customFormat="1" ht="9.9499999999999993" customHeight="1" x14ac:dyDescent="0.2">
      <c r="B218" s="783"/>
      <c r="C218" s="806"/>
      <c r="D218" s="806"/>
      <c r="E218" s="720"/>
      <c r="F218" s="807"/>
      <c r="G218" s="696"/>
      <c r="H218" s="674"/>
      <c r="I218" s="732"/>
      <c r="K218" s="561"/>
      <c r="L218" s="559"/>
      <c r="M218" s="559"/>
      <c r="N218" s="559"/>
      <c r="O218" s="559"/>
      <c r="P218" s="559"/>
      <c r="Q218" s="559"/>
    </row>
    <row r="219" spans="2:17" s="560" customFormat="1" ht="25.5" x14ac:dyDescent="0.2">
      <c r="B219" s="846">
        <f>MAX(B$1:B218)+1</f>
        <v>36</v>
      </c>
      <c r="C219" s="847"/>
      <c r="D219" s="656" t="s">
        <v>234</v>
      </c>
      <c r="E219" s="657"/>
      <c r="F219" s="658" t="s">
        <v>456</v>
      </c>
      <c r="G219" s="659"/>
      <c r="H219" s="663" t="s">
        <v>25</v>
      </c>
      <c r="I219" s="751">
        <f>I220</f>
        <v>25.5</v>
      </c>
      <c r="K219" s="561"/>
      <c r="L219" s="559"/>
      <c r="M219" s="559"/>
      <c r="N219" s="559"/>
      <c r="O219" s="559"/>
      <c r="P219" s="559"/>
      <c r="Q219" s="559"/>
    </row>
    <row r="220" spans="2:17" s="560" customFormat="1" ht="28.5" customHeight="1" x14ac:dyDescent="0.2">
      <c r="B220" s="848"/>
      <c r="C220" s="849"/>
      <c r="D220" s="657"/>
      <c r="E220" s="740" t="s">
        <v>235</v>
      </c>
      <c r="F220" s="741" t="s">
        <v>457</v>
      </c>
      <c r="G220" s="742"/>
      <c r="H220" s="743" t="s">
        <v>25</v>
      </c>
      <c r="I220" s="759">
        <f>G222</f>
        <v>25.5</v>
      </c>
      <c r="K220" s="561"/>
      <c r="L220" s="559"/>
      <c r="M220" s="559"/>
      <c r="N220" s="559"/>
      <c r="O220" s="559"/>
      <c r="P220" s="559"/>
      <c r="Q220" s="559"/>
    </row>
    <row r="221" spans="2:17" s="560" customFormat="1" ht="15" x14ac:dyDescent="0.2">
      <c r="B221" s="848"/>
      <c r="C221" s="849"/>
      <c r="D221" s="657"/>
      <c r="E221" s="740"/>
      <c r="F221" s="850" t="s">
        <v>791</v>
      </c>
      <c r="G221" s="742">
        <f xml:space="preserve"> 10+15+0.5</f>
        <v>25.5</v>
      </c>
      <c r="H221" s="743"/>
      <c r="I221" s="759"/>
      <c r="K221" s="561"/>
      <c r="L221" s="559"/>
      <c r="M221" s="559"/>
      <c r="N221" s="559"/>
      <c r="O221" s="559"/>
      <c r="P221" s="559"/>
      <c r="Q221" s="559"/>
    </row>
    <row r="222" spans="2:17" s="560" customFormat="1" ht="15" x14ac:dyDescent="0.2">
      <c r="B222" s="848"/>
      <c r="C222" s="849"/>
      <c r="D222" s="657"/>
      <c r="E222" s="740"/>
      <c r="F222" s="851" t="s">
        <v>250</v>
      </c>
      <c r="G222" s="742">
        <f>SUM(G221:G221)</f>
        <v>25.5</v>
      </c>
      <c r="H222" s="743"/>
      <c r="I222" s="759"/>
      <c r="K222" s="561"/>
      <c r="L222" s="559"/>
      <c r="M222" s="559"/>
      <c r="N222" s="559"/>
      <c r="O222" s="559"/>
      <c r="P222" s="559"/>
      <c r="Q222" s="559"/>
    </row>
    <row r="223" spans="2:17" s="560" customFormat="1" ht="15" x14ac:dyDescent="0.2">
      <c r="B223" s="783"/>
      <c r="C223" s="852"/>
      <c r="D223" s="853"/>
      <c r="E223" s="729"/>
      <c r="F223" s="854"/>
      <c r="G223" s="692"/>
      <c r="H223" s="731"/>
      <c r="I223" s="732"/>
      <c r="K223" s="561"/>
      <c r="L223" s="559"/>
      <c r="M223" s="559"/>
      <c r="N223" s="559"/>
      <c r="O223" s="559"/>
      <c r="P223" s="559"/>
      <c r="Q223" s="559"/>
    </row>
    <row r="224" spans="2:17" s="560" customFormat="1" ht="25.5" x14ac:dyDescent="0.2">
      <c r="B224" s="846">
        <f>MAX(B$1:B223)+1</f>
        <v>37</v>
      </c>
      <c r="C224" s="847"/>
      <c r="D224" s="656" t="s">
        <v>246</v>
      </c>
      <c r="E224" s="657"/>
      <c r="F224" s="658" t="s">
        <v>247</v>
      </c>
      <c r="G224" s="659"/>
      <c r="H224" s="663" t="s">
        <v>25</v>
      </c>
      <c r="I224" s="751">
        <f>I225</f>
        <v>34</v>
      </c>
      <c r="K224" s="561"/>
      <c r="L224" s="559"/>
      <c r="M224" s="559"/>
      <c r="N224" s="559"/>
      <c r="O224" s="559"/>
      <c r="P224" s="559"/>
      <c r="Q224" s="559"/>
    </row>
    <row r="225" spans="2:17" s="560" customFormat="1" ht="25.5" x14ac:dyDescent="0.2">
      <c r="B225" s="848"/>
      <c r="C225" s="849"/>
      <c r="D225" s="736"/>
      <c r="E225" s="740" t="s">
        <v>718</v>
      </c>
      <c r="F225" s="741" t="s">
        <v>719</v>
      </c>
      <c r="G225" s="742"/>
      <c r="H225" s="743" t="s">
        <v>25</v>
      </c>
      <c r="I225" s="759">
        <f>G226</f>
        <v>34</v>
      </c>
      <c r="K225" s="561"/>
      <c r="L225" s="559"/>
      <c r="M225" s="559"/>
      <c r="N225" s="559"/>
      <c r="O225" s="559"/>
      <c r="P225" s="559"/>
      <c r="Q225" s="559"/>
    </row>
    <row r="226" spans="2:17" s="560" customFormat="1" ht="25.5" x14ac:dyDescent="0.2">
      <c r="B226" s="848"/>
      <c r="C226" s="849"/>
      <c r="D226" s="736"/>
      <c r="E226" s="740"/>
      <c r="F226" s="855" t="s">
        <v>792</v>
      </c>
      <c r="G226" s="676">
        <f>15+15+4</f>
        <v>34</v>
      </c>
      <c r="H226" s="743"/>
      <c r="I226" s="759"/>
      <c r="K226" s="561"/>
      <c r="L226" s="559"/>
      <c r="M226" s="559"/>
      <c r="N226" s="559"/>
      <c r="O226" s="559"/>
      <c r="P226" s="559"/>
      <c r="Q226" s="559"/>
    </row>
    <row r="227" spans="2:17" s="560" customFormat="1" ht="15" x14ac:dyDescent="0.2">
      <c r="B227" s="848"/>
      <c r="C227" s="849"/>
      <c r="D227" s="736"/>
      <c r="E227" s="740"/>
      <c r="F227" s="855" t="s">
        <v>277</v>
      </c>
      <c r="G227" s="742"/>
      <c r="H227" s="743"/>
      <c r="I227" s="759"/>
      <c r="K227" s="561"/>
      <c r="L227" s="559"/>
      <c r="M227" s="559"/>
      <c r="N227" s="559"/>
      <c r="O227" s="559"/>
      <c r="P227" s="559"/>
      <c r="Q227" s="559"/>
    </row>
    <row r="228" spans="2:17" s="560" customFormat="1" ht="15" x14ac:dyDescent="0.2">
      <c r="B228" s="783"/>
      <c r="C228" s="809"/>
      <c r="D228" s="853"/>
      <c r="E228" s="729"/>
      <c r="F228" s="691"/>
      <c r="G228" s="692"/>
      <c r="H228" s="731"/>
      <c r="I228" s="732"/>
      <c r="K228" s="561"/>
      <c r="L228" s="559"/>
      <c r="M228" s="559"/>
      <c r="N228" s="559"/>
      <c r="O228" s="559"/>
      <c r="P228" s="559"/>
      <c r="Q228" s="559"/>
    </row>
    <row r="229" spans="2:17" s="560" customFormat="1" ht="25.5" x14ac:dyDescent="0.2">
      <c r="B229" s="783"/>
      <c r="C229" s="856" t="s">
        <v>70</v>
      </c>
      <c r="D229" s="857"/>
      <c r="E229" s="858"/>
      <c r="F229" s="725" t="s">
        <v>71</v>
      </c>
      <c r="G229" s="692"/>
      <c r="H229" s="731"/>
      <c r="I229" s="732"/>
      <c r="K229" s="561"/>
      <c r="L229" s="559"/>
      <c r="M229" s="559"/>
      <c r="N229" s="559"/>
      <c r="O229" s="559"/>
      <c r="P229" s="559"/>
      <c r="Q229" s="559"/>
    </row>
    <row r="230" spans="2:17" s="560" customFormat="1" ht="9.9499999999999993" customHeight="1" x14ac:dyDescent="0.2">
      <c r="B230" s="783"/>
      <c r="C230" s="856"/>
      <c r="D230" s="857"/>
      <c r="E230" s="858"/>
      <c r="F230" s="725"/>
      <c r="G230" s="692"/>
      <c r="H230" s="731"/>
      <c r="I230" s="732"/>
      <c r="K230" s="561"/>
      <c r="L230" s="559"/>
      <c r="M230" s="559"/>
      <c r="N230" s="559"/>
      <c r="O230" s="559"/>
      <c r="P230" s="559"/>
      <c r="Q230" s="559"/>
    </row>
    <row r="231" spans="2:17" s="560" customFormat="1" ht="15" x14ac:dyDescent="0.2">
      <c r="B231" s="655">
        <f>MAX(B$2:B230)+1</f>
        <v>38</v>
      </c>
      <c r="C231" s="809"/>
      <c r="D231" s="699" t="s">
        <v>74</v>
      </c>
      <c r="E231" s="700"/>
      <c r="F231" s="666" t="s">
        <v>75</v>
      </c>
      <c r="G231" s="859"/>
      <c r="H231" s="660" t="s">
        <v>12</v>
      </c>
      <c r="I231" s="664">
        <f>G239</f>
        <v>171.35</v>
      </c>
      <c r="K231" s="561"/>
      <c r="L231" s="559"/>
      <c r="M231" s="559"/>
      <c r="N231" s="559"/>
      <c r="O231" s="559"/>
      <c r="P231" s="559"/>
      <c r="Q231" s="559"/>
    </row>
    <row r="232" spans="2:17" s="560" customFormat="1" ht="15" x14ac:dyDescent="0.2">
      <c r="B232" s="655"/>
      <c r="C232" s="809"/>
      <c r="D232" s="699"/>
      <c r="E232" s="700"/>
      <c r="F232" s="691" t="s">
        <v>796</v>
      </c>
      <c r="G232" s="692">
        <f>1.3*9</f>
        <v>11.700000000000001</v>
      </c>
      <c r="H232" s="660"/>
      <c r="I232" s="664"/>
      <c r="K232" s="561"/>
      <c r="L232" s="559"/>
      <c r="M232" s="559"/>
      <c r="N232" s="559"/>
      <c r="O232" s="559"/>
      <c r="P232" s="559"/>
      <c r="Q232" s="559"/>
    </row>
    <row r="233" spans="2:17" s="560" customFormat="1" ht="25.5" x14ac:dyDescent="0.2">
      <c r="B233" s="783"/>
      <c r="C233" s="809"/>
      <c r="D233" s="853"/>
      <c r="E233" s="729"/>
      <c r="F233" s="691" t="s">
        <v>795</v>
      </c>
      <c r="G233" s="692">
        <f>(0.25+1.85+1.3+1.85+0.25)*23.5</f>
        <v>129.25</v>
      </c>
      <c r="H233" s="731"/>
      <c r="I233" s="732"/>
      <c r="K233" s="561"/>
      <c r="L233" s="559"/>
      <c r="M233" s="559"/>
      <c r="N233" s="559"/>
      <c r="O233" s="559"/>
      <c r="P233" s="559"/>
      <c r="Q233" s="559"/>
    </row>
    <row r="234" spans="2:17" s="560" customFormat="1" ht="15" x14ac:dyDescent="0.2">
      <c r="B234" s="783"/>
      <c r="C234" s="809"/>
      <c r="D234" s="853"/>
      <c r="E234" s="729"/>
      <c r="F234" s="691" t="s">
        <v>793</v>
      </c>
      <c r="G234" s="692"/>
      <c r="H234" s="731"/>
      <c r="I234" s="732"/>
      <c r="K234" s="561"/>
      <c r="L234" s="559"/>
      <c r="M234" s="559"/>
      <c r="N234" s="559"/>
      <c r="O234" s="559"/>
      <c r="P234" s="559"/>
      <c r="Q234" s="559"/>
    </row>
    <row r="235" spans="2:17" s="560" customFormat="1" ht="25.5" x14ac:dyDescent="0.2">
      <c r="B235" s="783"/>
      <c r="C235" s="809"/>
      <c r="D235" s="853"/>
      <c r="E235" s="729"/>
      <c r="F235" s="691" t="s">
        <v>800</v>
      </c>
      <c r="G235" s="692">
        <f>11*1.4</f>
        <v>15.399999999999999</v>
      </c>
      <c r="H235" s="731"/>
      <c r="I235" s="732"/>
      <c r="K235" s="561"/>
      <c r="L235" s="559"/>
      <c r="M235" s="559"/>
      <c r="N235" s="559"/>
      <c r="O235" s="559"/>
      <c r="P235" s="559"/>
      <c r="Q235" s="559"/>
    </row>
    <row r="236" spans="2:17" s="560" customFormat="1" ht="15" x14ac:dyDescent="0.2">
      <c r="B236" s="783"/>
      <c r="C236" s="809"/>
      <c r="D236" s="853"/>
      <c r="E236" s="729"/>
      <c r="F236" s="691" t="s">
        <v>793</v>
      </c>
      <c r="G236" s="692"/>
      <c r="H236" s="731"/>
      <c r="I236" s="732"/>
      <c r="K236" s="561"/>
      <c r="L236" s="559"/>
      <c r="M236" s="559"/>
      <c r="N236" s="559"/>
      <c r="O236" s="559"/>
      <c r="P236" s="559"/>
      <c r="Q236" s="559"/>
    </row>
    <row r="237" spans="2:17" s="560" customFormat="1" ht="15" x14ac:dyDescent="0.2">
      <c r="B237" s="783"/>
      <c r="C237" s="809"/>
      <c r="D237" s="853"/>
      <c r="E237" s="729"/>
      <c r="F237" s="691" t="s">
        <v>794</v>
      </c>
      <c r="G237" s="692">
        <f>3*5</f>
        <v>15</v>
      </c>
      <c r="H237" s="731"/>
      <c r="I237" s="732"/>
      <c r="K237" s="561"/>
      <c r="L237" s="559"/>
      <c r="M237" s="559"/>
      <c r="N237" s="559"/>
      <c r="O237" s="559"/>
      <c r="P237" s="559"/>
      <c r="Q237" s="559"/>
    </row>
    <row r="238" spans="2:17" s="560" customFormat="1" ht="15" x14ac:dyDescent="0.2">
      <c r="B238" s="783"/>
      <c r="C238" s="809"/>
      <c r="D238" s="853"/>
      <c r="E238" s="687"/>
      <c r="F238" s="691" t="s">
        <v>720</v>
      </c>
      <c r="G238" s="860"/>
      <c r="H238" s="731"/>
      <c r="I238" s="732"/>
      <c r="K238" s="561"/>
      <c r="L238" s="559"/>
      <c r="M238" s="559"/>
      <c r="N238" s="559"/>
      <c r="O238" s="559"/>
      <c r="P238" s="559"/>
      <c r="Q238" s="559"/>
    </row>
    <row r="239" spans="2:17" s="560" customFormat="1" ht="15" x14ac:dyDescent="0.2">
      <c r="B239" s="783"/>
      <c r="C239" s="809"/>
      <c r="D239" s="853"/>
      <c r="E239" s="729"/>
      <c r="F239" s="861" t="s">
        <v>250</v>
      </c>
      <c r="G239" s="692">
        <f>SUM(G232:G238)</f>
        <v>171.35</v>
      </c>
      <c r="H239" s="731"/>
      <c r="I239" s="732"/>
      <c r="K239" s="561"/>
      <c r="L239" s="559"/>
      <c r="M239" s="559"/>
      <c r="N239" s="559"/>
      <c r="O239" s="559"/>
      <c r="P239" s="559"/>
      <c r="Q239" s="559"/>
    </row>
    <row r="240" spans="2:17" s="560" customFormat="1" ht="15" x14ac:dyDescent="0.2">
      <c r="B240" s="783"/>
      <c r="C240" s="809"/>
      <c r="D240" s="853"/>
      <c r="E240" s="729"/>
      <c r="F240" s="861"/>
      <c r="G240" s="692"/>
      <c r="H240" s="731"/>
      <c r="I240" s="732"/>
      <c r="K240" s="561"/>
      <c r="L240" s="559"/>
      <c r="M240" s="559"/>
      <c r="N240" s="559"/>
      <c r="O240" s="559"/>
      <c r="P240" s="559"/>
      <c r="Q240" s="559"/>
    </row>
    <row r="241" spans="2:17" s="560" customFormat="1" ht="15" x14ac:dyDescent="0.2">
      <c r="B241" s="655">
        <f>MAX(B$2:B240)+1</f>
        <v>39</v>
      </c>
      <c r="C241" s="809"/>
      <c r="D241" s="656" t="s">
        <v>843</v>
      </c>
      <c r="E241" s="657"/>
      <c r="F241" s="658" t="s">
        <v>844</v>
      </c>
      <c r="G241" s="659"/>
      <c r="H241" s="663" t="s">
        <v>12</v>
      </c>
      <c r="I241" s="664">
        <f>I242</f>
        <v>33.256</v>
      </c>
      <c r="K241" s="561"/>
      <c r="L241" s="559"/>
      <c r="M241" s="559"/>
      <c r="N241" s="559"/>
      <c r="O241" s="559"/>
      <c r="P241" s="559"/>
      <c r="Q241" s="559"/>
    </row>
    <row r="242" spans="2:17" s="560" customFormat="1" ht="25.5" x14ac:dyDescent="0.2">
      <c r="B242" s="783"/>
      <c r="C242" s="809"/>
      <c r="D242" s="656"/>
      <c r="E242" s="740" t="s">
        <v>845</v>
      </c>
      <c r="F242" s="741" t="s">
        <v>846</v>
      </c>
      <c r="G242" s="742"/>
      <c r="H242" s="743" t="s">
        <v>12</v>
      </c>
      <c r="I242" s="732">
        <f>G246</f>
        <v>33.256</v>
      </c>
      <c r="K242" s="561"/>
      <c r="L242" s="559"/>
      <c r="M242" s="559"/>
      <c r="N242" s="559"/>
      <c r="O242" s="559"/>
      <c r="P242" s="559"/>
      <c r="Q242" s="559"/>
    </row>
    <row r="243" spans="2:17" s="560" customFormat="1" ht="15" x14ac:dyDescent="0.2">
      <c r="B243" s="783"/>
      <c r="C243" s="809"/>
      <c r="D243" s="656"/>
      <c r="E243" s="657"/>
      <c r="F243" s="741" t="s">
        <v>847</v>
      </c>
      <c r="G243" s="659"/>
      <c r="H243" s="663"/>
      <c r="I243" s="732"/>
      <c r="K243" s="561"/>
      <c r="L243" s="559"/>
      <c r="M243" s="559"/>
      <c r="N243" s="559"/>
      <c r="O243" s="559"/>
      <c r="P243" s="559"/>
      <c r="Q243" s="559"/>
    </row>
    <row r="244" spans="2:17" s="560" customFormat="1" ht="15" x14ac:dyDescent="0.2">
      <c r="B244" s="783"/>
      <c r="C244" s="809"/>
      <c r="D244" s="853"/>
      <c r="E244" s="729"/>
      <c r="F244" s="691" t="s">
        <v>848</v>
      </c>
      <c r="G244" s="692">
        <f>2*0.2*(8.995+8.145+8+8)</f>
        <v>13.256</v>
      </c>
      <c r="H244" s="731"/>
      <c r="I244" s="732"/>
      <c r="K244" s="561"/>
      <c r="L244" s="559"/>
      <c r="M244" s="559"/>
      <c r="N244" s="559"/>
      <c r="O244" s="559"/>
      <c r="P244" s="559"/>
      <c r="Q244" s="559"/>
    </row>
    <row r="245" spans="2:17" s="560" customFormat="1" ht="15" x14ac:dyDescent="0.2">
      <c r="B245" s="783"/>
      <c r="C245" s="809"/>
      <c r="D245" s="853"/>
      <c r="E245" s="729"/>
      <c r="F245" s="691" t="s">
        <v>849</v>
      </c>
      <c r="G245" s="693">
        <v>20</v>
      </c>
      <c r="H245" s="731"/>
      <c r="I245" s="732"/>
      <c r="K245" s="561"/>
      <c r="L245" s="559"/>
      <c r="M245" s="559"/>
      <c r="N245" s="559"/>
      <c r="O245" s="559"/>
      <c r="P245" s="559"/>
      <c r="Q245" s="559"/>
    </row>
    <row r="246" spans="2:17" s="560" customFormat="1" ht="15" x14ac:dyDescent="0.2">
      <c r="B246" s="783"/>
      <c r="C246" s="809"/>
      <c r="D246" s="853"/>
      <c r="E246" s="729"/>
      <c r="F246" s="861" t="s">
        <v>250</v>
      </c>
      <c r="G246" s="692">
        <f>SUM(G244:G245)</f>
        <v>33.256</v>
      </c>
      <c r="H246" s="731"/>
      <c r="I246" s="732"/>
      <c r="K246" s="561"/>
      <c r="L246" s="559"/>
      <c r="M246" s="559"/>
      <c r="N246" s="559"/>
      <c r="O246" s="559"/>
      <c r="P246" s="559"/>
      <c r="Q246" s="559"/>
    </row>
    <row r="247" spans="2:17" s="560" customFormat="1" ht="15.75" x14ac:dyDescent="0.2">
      <c r="B247" s="783"/>
      <c r="C247" s="856" t="s">
        <v>696</v>
      </c>
      <c r="D247" s="857"/>
      <c r="E247" s="858"/>
      <c r="F247" s="725" t="s">
        <v>715</v>
      </c>
      <c r="G247" s="692"/>
      <c r="H247" s="731"/>
      <c r="I247" s="732"/>
      <c r="K247" s="561"/>
      <c r="L247" s="559"/>
      <c r="M247" s="559"/>
      <c r="N247" s="559"/>
      <c r="O247" s="559"/>
      <c r="P247" s="559"/>
      <c r="Q247" s="559"/>
    </row>
    <row r="248" spans="2:17" s="560" customFormat="1" x14ac:dyDescent="0.2">
      <c r="B248" s="655">
        <f>MAX(B$2:B247)+1</f>
        <v>40</v>
      </c>
      <c r="C248" s="856"/>
      <c r="D248" s="656" t="s">
        <v>27</v>
      </c>
      <c r="E248" s="657"/>
      <c r="F248" s="658" t="s">
        <v>28</v>
      </c>
      <c r="G248" s="659"/>
      <c r="H248" s="663" t="s">
        <v>51</v>
      </c>
      <c r="I248" s="664">
        <f>I249</f>
        <v>10.085000000000001</v>
      </c>
      <c r="K248" s="561"/>
      <c r="L248" s="559"/>
      <c r="M248" s="559"/>
      <c r="N248" s="559"/>
      <c r="O248" s="559"/>
      <c r="P248" s="559"/>
      <c r="Q248" s="559"/>
    </row>
    <row r="249" spans="2:17" s="560" customFormat="1" ht="15.75" x14ac:dyDescent="0.2">
      <c r="B249" s="783"/>
      <c r="C249" s="856"/>
      <c r="D249" s="857"/>
      <c r="E249" s="820" t="s">
        <v>850</v>
      </c>
      <c r="F249" s="821" t="s">
        <v>851</v>
      </c>
      <c r="G249" s="822"/>
      <c r="H249" s="862" t="s">
        <v>51</v>
      </c>
      <c r="I249" s="732">
        <f>G252</f>
        <v>10.085000000000001</v>
      </c>
      <c r="K249" s="561"/>
      <c r="L249" s="559"/>
      <c r="M249" s="559"/>
      <c r="N249" s="559"/>
      <c r="O249" s="559"/>
      <c r="P249" s="559"/>
      <c r="Q249" s="559"/>
    </row>
    <row r="250" spans="2:17" s="560" customFormat="1" ht="15.75" x14ac:dyDescent="0.2">
      <c r="B250" s="783"/>
      <c r="C250" s="856"/>
      <c r="D250" s="857"/>
      <c r="E250" s="858"/>
      <c r="F250" s="691" t="s">
        <v>778</v>
      </c>
      <c r="G250" s="692">
        <f>6.4*(0.5*0.8)</f>
        <v>2.5600000000000005</v>
      </c>
      <c r="H250" s="731"/>
      <c r="I250" s="732"/>
      <c r="K250" s="561"/>
      <c r="L250" s="559"/>
      <c r="M250" s="559"/>
      <c r="N250" s="559"/>
      <c r="O250" s="559"/>
      <c r="P250" s="559"/>
      <c r="Q250" s="559"/>
    </row>
    <row r="251" spans="2:17" s="560" customFormat="1" ht="15.75" x14ac:dyDescent="0.2">
      <c r="B251" s="783"/>
      <c r="C251" s="856"/>
      <c r="D251" s="857"/>
      <c r="E251" s="858"/>
      <c r="F251" s="691" t="s">
        <v>798</v>
      </c>
      <c r="G251" s="693">
        <f>(8.6)*(0.7*1.25)</f>
        <v>7.5249999999999995</v>
      </c>
      <c r="H251" s="731"/>
      <c r="I251" s="732"/>
      <c r="K251" s="561"/>
      <c r="L251" s="559"/>
      <c r="M251" s="559"/>
      <c r="N251" s="559"/>
      <c r="O251" s="559"/>
      <c r="P251" s="559"/>
      <c r="Q251" s="559"/>
    </row>
    <row r="252" spans="2:17" s="560" customFormat="1" ht="15.75" x14ac:dyDescent="0.2">
      <c r="B252" s="783"/>
      <c r="C252" s="856"/>
      <c r="D252" s="857"/>
      <c r="E252" s="858"/>
      <c r="F252" s="861" t="s">
        <v>250</v>
      </c>
      <c r="G252" s="692">
        <f>SUM(G250:G251)</f>
        <v>10.085000000000001</v>
      </c>
      <c r="H252" s="731"/>
      <c r="I252" s="732"/>
      <c r="K252" s="561"/>
      <c r="L252" s="559"/>
      <c r="M252" s="559"/>
      <c r="N252" s="559"/>
      <c r="O252" s="559"/>
      <c r="P252" s="559"/>
      <c r="Q252" s="559"/>
    </row>
    <row r="253" spans="2:17" s="560" customFormat="1" ht="15.75" x14ac:dyDescent="0.2">
      <c r="B253" s="783"/>
      <c r="C253" s="856"/>
      <c r="D253" s="857"/>
      <c r="E253" s="858"/>
      <c r="F253" s="861"/>
      <c r="G253" s="692"/>
      <c r="H253" s="863"/>
      <c r="I253" s="732"/>
      <c r="K253" s="561"/>
      <c r="L253" s="559"/>
      <c r="M253" s="559"/>
      <c r="N253" s="559"/>
      <c r="O253" s="559"/>
      <c r="P253" s="559"/>
      <c r="Q253" s="559"/>
    </row>
    <row r="254" spans="2:17" s="560" customFormat="1" ht="15" x14ac:dyDescent="0.2">
      <c r="B254" s="655">
        <f>MAX(B$2:B252)+1</f>
        <v>41</v>
      </c>
      <c r="C254" s="809"/>
      <c r="D254" s="864" t="s">
        <v>686</v>
      </c>
      <c r="E254" s="865"/>
      <c r="F254" s="866" t="s">
        <v>687</v>
      </c>
      <c r="G254" s="867"/>
      <c r="H254" s="868" t="s">
        <v>51</v>
      </c>
      <c r="I254" s="869">
        <f>I255</f>
        <v>0.52800000000000002</v>
      </c>
      <c r="K254" s="561"/>
      <c r="L254" s="559"/>
      <c r="M254" s="559"/>
      <c r="N254" s="559"/>
      <c r="O254" s="559"/>
      <c r="P254" s="559"/>
      <c r="Q254" s="559"/>
    </row>
    <row r="255" spans="2:17" s="560" customFormat="1" ht="15" x14ac:dyDescent="0.2">
      <c r="B255" s="655"/>
      <c r="C255" s="809"/>
      <c r="D255" s="864"/>
      <c r="E255" s="820" t="s">
        <v>858</v>
      </c>
      <c r="F255" s="821" t="s">
        <v>859</v>
      </c>
      <c r="G255" s="822"/>
      <c r="H255" s="862" t="s">
        <v>51</v>
      </c>
      <c r="I255" s="870">
        <f>G257</f>
        <v>0.52800000000000002</v>
      </c>
      <c r="K255" s="561"/>
      <c r="L255" s="559"/>
      <c r="M255" s="559"/>
      <c r="N255" s="559"/>
      <c r="O255" s="559"/>
      <c r="P255" s="559"/>
      <c r="Q255" s="559"/>
    </row>
    <row r="256" spans="2:17" s="560" customFormat="1" ht="15" x14ac:dyDescent="0.2">
      <c r="B256" s="655"/>
      <c r="C256" s="809"/>
      <c r="D256" s="871"/>
      <c r="E256" s="872"/>
      <c r="F256" s="691" t="s">
        <v>860</v>
      </c>
      <c r="G256" s="693">
        <f>0.2*0.3*2.2*4</f>
        <v>0.52800000000000002</v>
      </c>
      <c r="H256" s="873"/>
      <c r="I256" s="874"/>
      <c r="K256" s="561"/>
      <c r="L256" s="559"/>
      <c r="M256" s="559"/>
      <c r="N256" s="559"/>
      <c r="O256" s="559"/>
      <c r="P256" s="559"/>
      <c r="Q256" s="559"/>
    </row>
    <row r="257" spans="2:17" s="560" customFormat="1" ht="15.75" x14ac:dyDescent="0.2">
      <c r="B257" s="783"/>
      <c r="C257" s="856"/>
      <c r="D257" s="857"/>
      <c r="E257" s="858"/>
      <c r="F257" s="861" t="s">
        <v>250</v>
      </c>
      <c r="G257" s="692">
        <f>SUM(G254:G256)</f>
        <v>0.52800000000000002</v>
      </c>
      <c r="H257" s="731"/>
      <c r="I257" s="732"/>
      <c r="K257" s="561"/>
      <c r="L257" s="559"/>
      <c r="M257" s="559"/>
      <c r="N257" s="559"/>
      <c r="O257" s="559"/>
      <c r="P257" s="559"/>
      <c r="Q257" s="559"/>
    </row>
    <row r="258" spans="2:17" s="560" customFormat="1" ht="15.75" x14ac:dyDescent="0.2">
      <c r="B258" s="783"/>
      <c r="C258" s="856"/>
      <c r="D258" s="857"/>
      <c r="E258" s="858"/>
      <c r="F258" s="861"/>
      <c r="G258" s="692"/>
      <c r="H258" s="731"/>
      <c r="I258" s="732"/>
      <c r="K258" s="561"/>
      <c r="L258" s="559"/>
      <c r="M258" s="559"/>
      <c r="N258" s="559"/>
      <c r="O258" s="559"/>
      <c r="P258" s="559"/>
      <c r="Q258" s="559"/>
    </row>
    <row r="259" spans="2:17" s="560" customFormat="1" x14ac:dyDescent="0.2">
      <c r="B259" s="655">
        <f>MAX(B$2:B258)+1</f>
        <v>42</v>
      </c>
      <c r="C259" s="856"/>
      <c r="D259" s="656" t="s">
        <v>852</v>
      </c>
      <c r="E259" s="657"/>
      <c r="F259" s="658" t="s">
        <v>853</v>
      </c>
      <c r="G259" s="659"/>
      <c r="H259" s="663" t="s">
        <v>12</v>
      </c>
      <c r="I259" s="664">
        <f>I260</f>
        <v>37.810000000000009</v>
      </c>
      <c r="K259" s="561"/>
      <c r="L259" s="559"/>
      <c r="M259" s="559"/>
      <c r="N259" s="559"/>
      <c r="O259" s="559"/>
      <c r="P259" s="559"/>
      <c r="Q259" s="559"/>
    </row>
    <row r="260" spans="2:17" s="560" customFormat="1" x14ac:dyDescent="0.2">
      <c r="B260" s="783"/>
      <c r="C260" s="856"/>
      <c r="D260" s="736"/>
      <c r="E260" s="740" t="s">
        <v>854</v>
      </c>
      <c r="F260" s="741" t="s">
        <v>855</v>
      </c>
      <c r="G260" s="742"/>
      <c r="H260" s="743" t="s">
        <v>12</v>
      </c>
      <c r="I260" s="732">
        <f>G264</f>
        <v>37.810000000000009</v>
      </c>
      <c r="K260" s="561"/>
      <c r="L260" s="559"/>
      <c r="M260" s="559"/>
      <c r="N260" s="559"/>
      <c r="O260" s="559"/>
      <c r="P260" s="559"/>
      <c r="Q260" s="559"/>
    </row>
    <row r="261" spans="2:17" s="560" customFormat="1" ht="15.75" x14ac:dyDescent="0.2">
      <c r="B261" s="783"/>
      <c r="C261" s="856"/>
      <c r="D261" s="857"/>
      <c r="E261" s="858"/>
      <c r="F261" s="691" t="s">
        <v>856</v>
      </c>
      <c r="G261" s="692">
        <f>2*6.4*0.8+2*0.5*0.8</f>
        <v>11.040000000000003</v>
      </c>
      <c r="H261" s="731"/>
      <c r="I261" s="732"/>
      <c r="K261" s="561"/>
      <c r="L261" s="559"/>
      <c r="M261" s="559"/>
      <c r="N261" s="559"/>
      <c r="O261" s="559"/>
      <c r="P261" s="559"/>
      <c r="Q261" s="559"/>
    </row>
    <row r="262" spans="2:17" s="560" customFormat="1" ht="15.75" x14ac:dyDescent="0.2">
      <c r="B262" s="783"/>
      <c r="C262" s="856"/>
      <c r="D262" s="857"/>
      <c r="E262" s="858"/>
      <c r="F262" s="691" t="s">
        <v>857</v>
      </c>
      <c r="G262" s="693">
        <f>2*8.6*1.25+2*0.7*1.25</f>
        <v>23.25</v>
      </c>
      <c r="H262" s="731"/>
      <c r="I262" s="732"/>
      <c r="K262" s="561"/>
      <c r="L262" s="559"/>
      <c r="M262" s="559"/>
      <c r="N262" s="559"/>
      <c r="O262" s="559"/>
      <c r="P262" s="559"/>
      <c r="Q262" s="559"/>
    </row>
    <row r="263" spans="2:17" s="560" customFormat="1" ht="15.75" x14ac:dyDescent="0.2">
      <c r="B263" s="783"/>
      <c r="C263" s="856"/>
      <c r="D263" s="857"/>
      <c r="E263" s="858"/>
      <c r="F263" s="691" t="s">
        <v>861</v>
      </c>
      <c r="G263" s="693">
        <f>0.2*2.2*2*4</f>
        <v>3.5200000000000005</v>
      </c>
      <c r="H263" s="731"/>
      <c r="I263" s="732"/>
      <c r="K263" s="561"/>
      <c r="L263" s="559"/>
      <c r="M263" s="559"/>
      <c r="N263" s="559"/>
      <c r="O263" s="559"/>
      <c r="P263" s="559"/>
      <c r="Q263" s="559"/>
    </row>
    <row r="264" spans="2:17" s="560" customFormat="1" ht="15.75" x14ac:dyDescent="0.2">
      <c r="B264" s="783"/>
      <c r="C264" s="856"/>
      <c r="D264" s="857"/>
      <c r="E264" s="858"/>
      <c r="F264" s="861" t="s">
        <v>250</v>
      </c>
      <c r="G264" s="692">
        <f>SUM(G261:G263)</f>
        <v>37.810000000000009</v>
      </c>
      <c r="H264" s="731"/>
      <c r="I264" s="732"/>
      <c r="K264" s="561"/>
      <c r="L264" s="559"/>
      <c r="M264" s="559"/>
      <c r="N264" s="559"/>
      <c r="O264" s="559"/>
      <c r="P264" s="559"/>
      <c r="Q264" s="559"/>
    </row>
    <row r="265" spans="2:17" s="560" customFormat="1" ht="15" x14ac:dyDescent="0.2">
      <c r="B265" s="783"/>
      <c r="C265" s="809"/>
      <c r="D265" s="853"/>
      <c r="E265" s="729"/>
      <c r="F265" s="691"/>
      <c r="G265" s="692"/>
      <c r="H265" s="731"/>
      <c r="I265" s="732"/>
      <c r="K265" s="561"/>
      <c r="L265" s="559"/>
      <c r="M265" s="559"/>
      <c r="N265" s="559"/>
      <c r="O265" s="559"/>
      <c r="P265" s="559"/>
      <c r="Q265" s="559"/>
    </row>
    <row r="266" spans="2:17" s="560" customFormat="1" ht="15" x14ac:dyDescent="0.2">
      <c r="B266" s="655">
        <f>MAX(B$2:B265)+1</f>
        <v>43</v>
      </c>
      <c r="C266" s="809"/>
      <c r="D266" s="656" t="s">
        <v>862</v>
      </c>
      <c r="E266" s="657"/>
      <c r="F266" s="658" t="s">
        <v>863</v>
      </c>
      <c r="G266" s="659"/>
      <c r="H266" s="663" t="s">
        <v>51</v>
      </c>
      <c r="I266" s="869">
        <f>I267</f>
        <v>0.64000000000000012</v>
      </c>
      <c r="K266" s="561"/>
      <c r="L266" s="559"/>
      <c r="M266" s="559"/>
      <c r="N266" s="559"/>
      <c r="O266" s="559"/>
      <c r="P266" s="559"/>
      <c r="Q266" s="559"/>
    </row>
    <row r="267" spans="2:17" s="560" customFormat="1" ht="15" x14ac:dyDescent="0.2">
      <c r="B267" s="655"/>
      <c r="C267" s="809"/>
      <c r="D267" s="656"/>
      <c r="E267" s="820" t="s">
        <v>864</v>
      </c>
      <c r="F267" s="821" t="s">
        <v>865</v>
      </c>
      <c r="G267" s="822"/>
      <c r="H267" s="862" t="s">
        <v>51</v>
      </c>
      <c r="I267" s="870">
        <f>G269</f>
        <v>0.64000000000000012</v>
      </c>
      <c r="K267" s="561"/>
      <c r="L267" s="559"/>
      <c r="M267" s="559"/>
      <c r="N267" s="559"/>
      <c r="O267" s="559"/>
      <c r="P267" s="559"/>
      <c r="Q267" s="559"/>
    </row>
    <row r="268" spans="2:17" s="560" customFormat="1" ht="15" x14ac:dyDescent="0.2">
      <c r="B268" s="655"/>
      <c r="C268" s="809"/>
      <c r="D268" s="871"/>
      <c r="E268" s="872"/>
      <c r="F268" s="691" t="s">
        <v>797</v>
      </c>
      <c r="G268" s="693">
        <f>0.4*0.4*0.5*8</f>
        <v>0.64000000000000012</v>
      </c>
      <c r="H268" s="873"/>
      <c r="I268" s="874"/>
      <c r="K268" s="561"/>
      <c r="L268" s="559"/>
      <c r="M268" s="559"/>
      <c r="N268" s="559"/>
      <c r="O268" s="559"/>
      <c r="P268" s="559"/>
      <c r="Q268" s="559"/>
    </row>
    <row r="269" spans="2:17" s="560" customFormat="1" ht="15" x14ac:dyDescent="0.2">
      <c r="B269" s="655"/>
      <c r="C269" s="809"/>
      <c r="D269" s="871"/>
      <c r="E269" s="872"/>
      <c r="F269" s="861" t="s">
        <v>250</v>
      </c>
      <c r="G269" s="692">
        <f>SUM(G268:G268)</f>
        <v>0.64000000000000012</v>
      </c>
      <c r="H269" s="873"/>
      <c r="I269" s="874"/>
      <c r="K269" s="561"/>
      <c r="L269" s="559"/>
      <c r="M269" s="559"/>
      <c r="N269" s="559"/>
      <c r="O269" s="559"/>
      <c r="P269" s="559"/>
      <c r="Q269" s="559"/>
    </row>
    <row r="270" spans="2:17" s="560" customFormat="1" ht="15" x14ac:dyDescent="0.2">
      <c r="B270" s="655"/>
      <c r="C270" s="809"/>
      <c r="D270" s="871"/>
      <c r="E270" s="872"/>
      <c r="F270" s="861"/>
      <c r="G270" s="692"/>
      <c r="H270" s="873"/>
      <c r="I270" s="874"/>
      <c r="K270" s="561"/>
      <c r="L270" s="559"/>
      <c r="M270" s="559"/>
      <c r="N270" s="559"/>
      <c r="O270" s="559"/>
      <c r="P270" s="559"/>
      <c r="Q270" s="559"/>
    </row>
    <row r="271" spans="2:17" s="560" customFormat="1" ht="15" x14ac:dyDescent="0.2">
      <c r="B271" s="655">
        <f>MAX(B$2:B270)+1</f>
        <v>44</v>
      </c>
      <c r="C271" s="809"/>
      <c r="D271" s="656" t="s">
        <v>38</v>
      </c>
      <c r="E271" s="657"/>
      <c r="F271" s="658" t="s">
        <v>3</v>
      </c>
      <c r="G271" s="659"/>
      <c r="H271" s="663" t="s">
        <v>12</v>
      </c>
      <c r="I271" s="874">
        <f>I272</f>
        <v>6.4</v>
      </c>
      <c r="K271" s="561"/>
      <c r="L271" s="559"/>
      <c r="M271" s="559"/>
      <c r="N271" s="559"/>
      <c r="O271" s="559"/>
      <c r="P271" s="559"/>
      <c r="Q271" s="559"/>
    </row>
    <row r="272" spans="2:17" s="560" customFormat="1" ht="15" x14ac:dyDescent="0.2">
      <c r="B272" s="655"/>
      <c r="C272" s="809"/>
      <c r="D272" s="736"/>
      <c r="E272" s="740" t="s">
        <v>39</v>
      </c>
      <c r="F272" s="741" t="s">
        <v>4</v>
      </c>
      <c r="G272" s="742"/>
      <c r="H272" s="743" t="s">
        <v>12</v>
      </c>
      <c r="I272" s="875">
        <f>G274</f>
        <v>6.4</v>
      </c>
      <c r="K272" s="561"/>
      <c r="L272" s="559"/>
      <c r="M272" s="559"/>
      <c r="N272" s="559"/>
      <c r="O272" s="559"/>
      <c r="P272" s="559"/>
      <c r="Q272" s="559"/>
    </row>
    <row r="273" spans="2:17" s="560" customFormat="1" ht="15" x14ac:dyDescent="0.2">
      <c r="B273" s="655"/>
      <c r="C273" s="809"/>
      <c r="D273" s="736"/>
      <c r="E273" s="740"/>
      <c r="F273" s="691" t="s">
        <v>866</v>
      </c>
      <c r="G273" s="693">
        <f>4*0.4*0.5*8</f>
        <v>6.4</v>
      </c>
      <c r="H273" s="743"/>
      <c r="I273" s="874"/>
      <c r="K273" s="561"/>
      <c r="L273" s="559"/>
      <c r="M273" s="559"/>
      <c r="N273" s="559"/>
      <c r="O273" s="559"/>
      <c r="P273" s="559"/>
      <c r="Q273" s="559"/>
    </row>
    <row r="274" spans="2:17" s="560" customFormat="1" ht="15" x14ac:dyDescent="0.2">
      <c r="B274" s="655"/>
      <c r="C274" s="809"/>
      <c r="D274" s="871"/>
      <c r="E274" s="872"/>
      <c r="F274" s="861" t="s">
        <v>250</v>
      </c>
      <c r="G274" s="692">
        <f>SUM(G273:G273)</f>
        <v>6.4</v>
      </c>
      <c r="H274" s="873"/>
      <c r="I274" s="874"/>
      <c r="K274" s="561"/>
      <c r="L274" s="559"/>
      <c r="M274" s="559"/>
      <c r="N274" s="559"/>
      <c r="O274" s="559"/>
      <c r="P274" s="559"/>
      <c r="Q274" s="559"/>
    </row>
    <row r="275" spans="2:17" s="560" customFormat="1" ht="15" x14ac:dyDescent="0.2">
      <c r="B275" s="655"/>
      <c r="C275" s="809"/>
      <c r="D275" s="871"/>
      <c r="E275" s="872"/>
      <c r="F275" s="691"/>
      <c r="G275" s="692"/>
      <c r="H275" s="873"/>
      <c r="I275" s="874"/>
      <c r="K275" s="561"/>
      <c r="L275" s="559"/>
      <c r="M275" s="559"/>
      <c r="N275" s="559"/>
      <c r="O275" s="559"/>
      <c r="P275" s="559"/>
      <c r="Q275" s="559"/>
    </row>
    <row r="276" spans="2:17" s="560" customFormat="1" ht="25.5" x14ac:dyDescent="0.2">
      <c r="B276" s="655">
        <f>MAX(B$2:B275)+1</f>
        <v>45</v>
      </c>
      <c r="C276" s="809"/>
      <c r="D276" s="876" t="s">
        <v>52</v>
      </c>
      <c r="E276" s="724"/>
      <c r="F276" s="725" t="s">
        <v>55</v>
      </c>
      <c r="G276" s="877"/>
      <c r="H276" s="727" t="s">
        <v>51</v>
      </c>
      <c r="I276" s="664">
        <f>G278</f>
        <v>0.70000000000000007</v>
      </c>
      <c r="K276" s="561"/>
      <c r="L276" s="559"/>
      <c r="M276" s="559"/>
      <c r="N276" s="559"/>
      <c r="O276" s="559"/>
      <c r="P276" s="559"/>
      <c r="Q276" s="559"/>
    </row>
    <row r="277" spans="2:17" s="560" customFormat="1" ht="15" x14ac:dyDescent="0.2">
      <c r="B277" s="655"/>
      <c r="C277" s="809"/>
      <c r="D277" s="878"/>
      <c r="E277" s="879"/>
      <c r="F277" s="880" t="s">
        <v>939</v>
      </c>
      <c r="G277" s="881">
        <f>(6+8)*0.1*0.5</f>
        <v>0.70000000000000007</v>
      </c>
      <c r="H277" s="733" t="s">
        <v>51</v>
      </c>
      <c r="I277" s="732">
        <f>G278</f>
        <v>0.70000000000000007</v>
      </c>
      <c r="K277" s="561"/>
      <c r="L277" s="559"/>
      <c r="M277" s="559"/>
      <c r="N277" s="559"/>
      <c r="O277" s="559"/>
      <c r="P277" s="559"/>
      <c r="Q277" s="559"/>
    </row>
    <row r="278" spans="2:17" s="560" customFormat="1" ht="15" x14ac:dyDescent="0.2">
      <c r="B278" s="655"/>
      <c r="C278" s="809"/>
      <c r="D278" s="882"/>
      <c r="E278" s="883"/>
      <c r="F278" s="861" t="s">
        <v>250</v>
      </c>
      <c r="G278" s="692">
        <f>SUM(G277:G277)</f>
        <v>0.70000000000000007</v>
      </c>
      <c r="H278" s="733"/>
      <c r="I278" s="664"/>
      <c r="K278" s="561"/>
      <c r="L278" s="559"/>
      <c r="M278" s="559"/>
      <c r="N278" s="559"/>
      <c r="O278" s="559"/>
      <c r="P278" s="559"/>
      <c r="Q278" s="559"/>
    </row>
    <row r="279" spans="2:17" s="558" customFormat="1" ht="15" x14ac:dyDescent="0.2">
      <c r="B279" s="783"/>
      <c r="C279" s="809"/>
      <c r="D279" s="810"/>
      <c r="E279" s="811"/>
      <c r="F279" s="817"/>
      <c r="G279" s="696"/>
      <c r="H279" s="674"/>
      <c r="I279" s="732"/>
      <c r="J279" s="788"/>
      <c r="K279" s="690"/>
    </row>
    <row r="280" spans="2:17" s="558" customFormat="1" x14ac:dyDescent="0.2">
      <c r="B280" s="783"/>
      <c r="C280" s="806" t="s">
        <v>80</v>
      </c>
      <c r="D280" s="685"/>
      <c r="E280" s="884"/>
      <c r="F280" s="807" t="s">
        <v>81</v>
      </c>
      <c r="G280" s="696"/>
      <c r="H280" s="674"/>
      <c r="I280" s="732"/>
      <c r="J280" s="788"/>
      <c r="K280" s="690"/>
    </row>
    <row r="281" spans="2:17" s="558" customFormat="1" ht="16.5" customHeight="1" x14ac:dyDescent="0.2">
      <c r="B281" s="655">
        <f>MAX(B$2:B280)+1</f>
        <v>46</v>
      </c>
      <c r="C281" s="806"/>
      <c r="D281" s="656" t="s">
        <v>824</v>
      </c>
      <c r="E281" s="657"/>
      <c r="F281" s="658" t="s">
        <v>825</v>
      </c>
      <c r="G281" s="659"/>
      <c r="H281" s="663" t="s">
        <v>12</v>
      </c>
      <c r="I281" s="751">
        <f>G283</f>
        <v>220</v>
      </c>
      <c r="J281" s="788"/>
      <c r="K281" s="690"/>
    </row>
    <row r="282" spans="2:17" s="558" customFormat="1" ht="25.5" x14ac:dyDescent="0.2">
      <c r="B282" s="783"/>
      <c r="C282" s="806"/>
      <c r="D282" s="885"/>
      <c r="E282" s="740" t="s">
        <v>826</v>
      </c>
      <c r="F282" s="741" t="s">
        <v>827</v>
      </c>
      <c r="G282" s="742"/>
      <c r="H282" s="743" t="s">
        <v>12</v>
      </c>
      <c r="I282" s="759"/>
      <c r="J282" s="788"/>
      <c r="K282" s="690"/>
    </row>
    <row r="283" spans="2:17" s="558" customFormat="1" x14ac:dyDescent="0.2">
      <c r="B283" s="783"/>
      <c r="C283" s="806"/>
      <c r="D283" s="885"/>
      <c r="E283" s="740"/>
      <c r="F283" s="855" t="s">
        <v>828</v>
      </c>
      <c r="G283" s="886">
        <f>2*55*2</f>
        <v>220</v>
      </c>
      <c r="H283" s="743"/>
      <c r="I283" s="759"/>
      <c r="J283" s="788"/>
      <c r="K283" s="690"/>
    </row>
    <row r="284" spans="2:17" s="558" customFormat="1" ht="15" x14ac:dyDescent="0.2">
      <c r="B284" s="783"/>
      <c r="C284" s="809"/>
      <c r="D284" s="810"/>
      <c r="E284" s="811"/>
      <c r="F284" s="817"/>
      <c r="G284" s="696"/>
      <c r="H284" s="674"/>
      <c r="I284" s="732"/>
      <c r="J284" s="788"/>
      <c r="K284" s="690"/>
    </row>
    <row r="285" spans="2:17" s="558" customFormat="1" ht="25.5" x14ac:dyDescent="0.2">
      <c r="B285" s="655">
        <f>MAX(B$5:B284)+1</f>
        <v>47</v>
      </c>
      <c r="C285" s="809"/>
      <c r="D285" s="699" t="s">
        <v>82</v>
      </c>
      <c r="E285" s="700"/>
      <c r="F285" s="818" t="s">
        <v>83</v>
      </c>
      <c r="G285" s="701"/>
      <c r="H285" s="660" t="s">
        <v>25</v>
      </c>
      <c r="I285" s="664">
        <f>G289</f>
        <v>32.700000000000003</v>
      </c>
      <c r="J285" s="788"/>
      <c r="K285" s="690"/>
    </row>
    <row r="286" spans="2:17" s="558" customFormat="1" ht="25.5" x14ac:dyDescent="0.2">
      <c r="B286" s="783"/>
      <c r="C286" s="809"/>
      <c r="D286" s="810"/>
      <c r="E286" s="703" t="s">
        <v>84</v>
      </c>
      <c r="F286" s="819" t="s">
        <v>83</v>
      </c>
      <c r="G286" s="649"/>
      <c r="H286" s="704" t="s">
        <v>25</v>
      </c>
      <c r="I286" s="732">
        <f>G289</f>
        <v>32.700000000000003</v>
      </c>
      <c r="J286" s="788"/>
      <c r="K286" s="690"/>
    </row>
    <row r="287" spans="2:17" s="558" customFormat="1" ht="15" x14ac:dyDescent="0.2">
      <c r="B287" s="783"/>
      <c r="C287" s="809"/>
      <c r="D287" s="810"/>
      <c r="E287" s="811"/>
      <c r="F287" s="688" t="s">
        <v>940</v>
      </c>
      <c r="G287" s="676">
        <f>15+9.7</f>
        <v>24.7</v>
      </c>
      <c r="H287" s="674"/>
      <c r="I287" s="732"/>
      <c r="J287" s="788"/>
      <c r="K287" s="690"/>
    </row>
    <row r="288" spans="2:17" s="558" customFormat="1" ht="15" x14ac:dyDescent="0.2">
      <c r="B288" s="783"/>
      <c r="C288" s="809"/>
      <c r="D288" s="810"/>
      <c r="E288" s="811"/>
      <c r="F288" s="688" t="s">
        <v>941</v>
      </c>
      <c r="G288" s="696">
        <v>8</v>
      </c>
      <c r="H288" s="674"/>
      <c r="I288" s="732"/>
      <c r="J288" s="788"/>
      <c r="K288" s="690"/>
    </row>
    <row r="289" spans="2:17" s="558" customFormat="1" ht="15" x14ac:dyDescent="0.2">
      <c r="B289" s="783"/>
      <c r="C289" s="809"/>
      <c r="D289" s="810"/>
      <c r="E289" s="811"/>
      <c r="F289" s="688"/>
      <c r="G289" s="676">
        <f>SUM(G287:G288)</f>
        <v>32.700000000000003</v>
      </c>
      <c r="H289" s="674"/>
      <c r="I289" s="732"/>
      <c r="J289" s="788"/>
      <c r="K289" s="690"/>
    </row>
    <row r="290" spans="2:17" s="560" customFormat="1" ht="15" x14ac:dyDescent="0.2">
      <c r="B290" s="783"/>
      <c r="C290" s="809"/>
      <c r="D290" s="810"/>
      <c r="E290" s="811"/>
      <c r="F290" s="817"/>
      <c r="G290" s="696"/>
      <c r="H290" s="674"/>
      <c r="I290" s="732"/>
      <c r="K290" s="561"/>
      <c r="L290" s="559"/>
      <c r="M290" s="559"/>
      <c r="N290" s="559"/>
      <c r="O290" s="559"/>
      <c r="P290" s="559"/>
      <c r="Q290" s="559"/>
    </row>
    <row r="291" spans="2:17" s="560" customFormat="1" x14ac:dyDescent="0.2">
      <c r="B291" s="783"/>
      <c r="C291" s="806" t="s">
        <v>412</v>
      </c>
      <c r="D291" s="806"/>
      <c r="E291" s="720"/>
      <c r="F291" s="807" t="s">
        <v>413</v>
      </c>
      <c r="G291" s="696"/>
      <c r="H291" s="674"/>
      <c r="I291" s="887"/>
      <c r="K291" s="561"/>
      <c r="L291" s="559"/>
      <c r="M291" s="559"/>
      <c r="N291" s="559"/>
      <c r="O291" s="559"/>
      <c r="P291" s="559"/>
      <c r="Q291" s="559"/>
    </row>
    <row r="292" spans="2:17" s="560" customFormat="1" x14ac:dyDescent="0.2">
      <c r="B292" s="783"/>
      <c r="C292" s="911"/>
      <c r="D292" s="806"/>
      <c r="E292" s="720"/>
      <c r="F292" s="807"/>
      <c r="G292" s="696"/>
      <c r="H292" s="674"/>
      <c r="I292" s="887"/>
      <c r="K292" s="561"/>
      <c r="L292" s="559"/>
      <c r="M292" s="559"/>
      <c r="N292" s="559"/>
      <c r="O292" s="559"/>
      <c r="P292" s="559"/>
      <c r="Q292" s="559"/>
    </row>
    <row r="293" spans="2:17" s="560" customFormat="1" ht="25.5" x14ac:dyDescent="0.2">
      <c r="B293" s="62">
        <f>MAX(B$3:B292)+1</f>
        <v>48</v>
      </c>
      <c r="C293" s="913"/>
      <c r="D293" s="914" t="s">
        <v>919</v>
      </c>
      <c r="E293" s="915"/>
      <c r="F293" s="916" t="s">
        <v>920</v>
      </c>
      <c r="G293" s="917"/>
      <c r="H293" s="918" t="s">
        <v>12</v>
      </c>
      <c r="I293" s="919">
        <f>G295</f>
        <v>124.95</v>
      </c>
      <c r="K293" s="561"/>
      <c r="L293" s="559"/>
      <c r="M293" s="559"/>
      <c r="N293" s="559"/>
      <c r="O293" s="559"/>
      <c r="P293" s="559"/>
      <c r="Q293" s="559"/>
    </row>
    <row r="294" spans="2:17" s="560" customFormat="1" ht="24" x14ac:dyDescent="0.2">
      <c r="B294" s="62"/>
      <c r="C294" s="920"/>
      <c r="D294" s="921"/>
      <c r="E294" s="922"/>
      <c r="F294" s="923" t="s">
        <v>921</v>
      </c>
      <c r="G294" s="924"/>
      <c r="H294" s="925"/>
      <c r="I294" s="926"/>
      <c r="K294" s="561"/>
      <c r="L294" s="559"/>
      <c r="M294" s="559"/>
      <c r="N294" s="559"/>
      <c r="O294" s="559"/>
      <c r="P294" s="559"/>
      <c r="Q294" s="559"/>
    </row>
    <row r="295" spans="2:17" s="560" customFormat="1" ht="15" x14ac:dyDescent="0.2">
      <c r="B295" s="912"/>
      <c r="C295" s="920"/>
      <c r="D295" s="921"/>
      <c r="E295" s="922"/>
      <c r="F295" s="927" t="s">
        <v>922</v>
      </c>
      <c r="G295" s="924">
        <f>1*7*17*1.05</f>
        <v>124.95</v>
      </c>
      <c r="H295" s="925"/>
      <c r="I295" s="926"/>
      <c r="K295" s="561"/>
      <c r="L295" s="559"/>
      <c r="M295" s="559"/>
      <c r="N295" s="559"/>
      <c r="O295" s="559"/>
      <c r="P295" s="559"/>
      <c r="Q295" s="559"/>
    </row>
    <row r="296" spans="2:17" s="560" customFormat="1" ht="6.75" customHeight="1" x14ac:dyDescent="0.2">
      <c r="B296" s="783"/>
      <c r="C296" s="888"/>
      <c r="D296" s="810"/>
      <c r="E296" s="811"/>
      <c r="F296" s="785"/>
      <c r="G296" s="696"/>
      <c r="H296" s="674"/>
      <c r="I296" s="887"/>
      <c r="K296" s="561"/>
      <c r="L296" s="559"/>
      <c r="M296" s="559"/>
      <c r="N296" s="559"/>
      <c r="O296" s="559"/>
      <c r="P296" s="559"/>
      <c r="Q296" s="559"/>
    </row>
    <row r="297" spans="2:17" s="560" customFormat="1" ht="25.5" x14ac:dyDescent="0.2">
      <c r="B297" s="655">
        <f>MAX(B$5:B296)+1</f>
        <v>49</v>
      </c>
      <c r="C297" s="888"/>
      <c r="D297" s="699" t="s">
        <v>441</v>
      </c>
      <c r="E297" s="700"/>
      <c r="F297" s="818" t="s">
        <v>442</v>
      </c>
      <c r="G297" s="889"/>
      <c r="H297" s="660" t="s">
        <v>12</v>
      </c>
      <c r="I297" s="890">
        <f>G302</f>
        <v>269.5</v>
      </c>
      <c r="K297" s="561"/>
      <c r="L297" s="559"/>
      <c r="M297" s="559"/>
      <c r="N297" s="559"/>
      <c r="O297" s="559"/>
      <c r="P297" s="559"/>
      <c r="Q297" s="559"/>
    </row>
    <row r="298" spans="2:17" s="560" customFormat="1" ht="24" x14ac:dyDescent="0.2">
      <c r="B298" s="783"/>
      <c r="C298" s="888"/>
      <c r="D298" s="810"/>
      <c r="E298" s="811"/>
      <c r="F298" s="706" t="s">
        <v>912</v>
      </c>
      <c r="G298" s="676"/>
      <c r="H298" s="674"/>
      <c r="I298" s="887"/>
      <c r="K298" s="561"/>
      <c r="L298" s="559"/>
      <c r="M298" s="559"/>
      <c r="N298" s="559"/>
      <c r="O298" s="559"/>
      <c r="P298" s="559"/>
      <c r="Q298" s="559"/>
    </row>
    <row r="299" spans="2:17" s="560" customFormat="1" ht="15" x14ac:dyDescent="0.2">
      <c r="B299" s="783"/>
      <c r="C299" s="888"/>
      <c r="D299" s="810"/>
      <c r="E299" s="811"/>
      <c r="F299" s="688" t="s">
        <v>764</v>
      </c>
      <c r="G299" s="676">
        <f>3.5*55*0.4</f>
        <v>77</v>
      </c>
      <c r="H299" s="674"/>
      <c r="I299" s="887"/>
      <c r="K299" s="561"/>
      <c r="L299" s="559"/>
      <c r="M299" s="559"/>
      <c r="N299" s="559"/>
      <c r="O299" s="559"/>
      <c r="P299" s="559"/>
      <c r="Q299" s="559"/>
    </row>
    <row r="300" spans="2:17" s="560" customFormat="1" ht="24" x14ac:dyDescent="0.2">
      <c r="B300" s="783"/>
      <c r="C300" s="888"/>
      <c r="D300" s="810"/>
      <c r="E300" s="811"/>
      <c r="F300" s="706" t="s">
        <v>913</v>
      </c>
      <c r="G300" s="696"/>
      <c r="H300" s="674"/>
      <c r="I300" s="887"/>
      <c r="K300" s="561"/>
      <c r="L300" s="559"/>
      <c r="M300" s="559"/>
      <c r="N300" s="559"/>
      <c r="O300" s="559"/>
      <c r="P300" s="559"/>
      <c r="Q300" s="559"/>
    </row>
    <row r="301" spans="2:17" s="560" customFormat="1" ht="15" x14ac:dyDescent="0.2">
      <c r="B301" s="783"/>
      <c r="C301" s="888"/>
      <c r="D301" s="810"/>
      <c r="E301" s="811"/>
      <c r="F301" s="891" t="s">
        <v>765</v>
      </c>
      <c r="G301" s="676">
        <f>3.5*55</f>
        <v>192.5</v>
      </c>
      <c r="H301" s="674"/>
      <c r="I301" s="887"/>
      <c r="K301" s="561"/>
      <c r="L301" s="559"/>
      <c r="M301" s="559"/>
      <c r="N301" s="559"/>
      <c r="O301" s="559"/>
      <c r="P301" s="559"/>
      <c r="Q301" s="559"/>
    </row>
    <row r="302" spans="2:17" s="560" customFormat="1" ht="15" x14ac:dyDescent="0.2">
      <c r="B302" s="783"/>
      <c r="C302" s="888"/>
      <c r="D302" s="810"/>
      <c r="E302" s="811"/>
      <c r="F302" s="892" t="s">
        <v>250</v>
      </c>
      <c r="G302" s="676">
        <f>SUM(G298:G301)</f>
        <v>269.5</v>
      </c>
      <c r="H302" s="674"/>
      <c r="I302" s="887"/>
      <c r="K302" s="561"/>
      <c r="L302" s="559"/>
      <c r="M302" s="559"/>
      <c r="N302" s="559"/>
      <c r="O302" s="559"/>
      <c r="P302" s="559"/>
      <c r="Q302" s="559"/>
    </row>
    <row r="303" spans="2:17" s="560" customFormat="1" ht="8.25" customHeight="1" x14ac:dyDescent="0.2">
      <c r="B303" s="783"/>
      <c r="C303" s="888"/>
      <c r="D303" s="810"/>
      <c r="E303" s="811"/>
      <c r="F303" s="893"/>
      <c r="G303" s="676"/>
      <c r="H303" s="674"/>
      <c r="I303" s="887"/>
      <c r="K303" s="561"/>
      <c r="L303" s="559"/>
      <c r="M303" s="559"/>
      <c r="N303" s="559"/>
      <c r="O303" s="559"/>
      <c r="P303" s="559"/>
      <c r="Q303" s="559"/>
    </row>
    <row r="304" spans="2:17" s="560" customFormat="1" ht="25.5" x14ac:dyDescent="0.2">
      <c r="B304" s="655">
        <f>MAX(B$5:B302)+1</f>
        <v>50</v>
      </c>
      <c r="C304" s="888"/>
      <c r="D304" s="699" t="s">
        <v>443</v>
      </c>
      <c r="E304" s="700"/>
      <c r="F304" s="818" t="s">
        <v>444</v>
      </c>
      <c r="G304" s="889"/>
      <c r="H304" s="660" t="s">
        <v>12</v>
      </c>
      <c r="I304" s="890">
        <f>G310+G316</f>
        <v>392.71568000000002</v>
      </c>
      <c r="K304" s="561"/>
      <c r="L304" s="559"/>
      <c r="M304" s="559"/>
      <c r="N304" s="559"/>
      <c r="O304" s="559"/>
      <c r="P304" s="559"/>
      <c r="Q304" s="559"/>
    </row>
    <row r="305" spans="2:17" s="560" customFormat="1" ht="15" x14ac:dyDescent="0.2">
      <c r="B305" s="655"/>
      <c r="C305" s="888"/>
      <c r="D305" s="699"/>
      <c r="E305" s="700"/>
      <c r="F305" s="894" t="s">
        <v>910</v>
      </c>
      <c r="G305" s="676"/>
      <c r="H305" s="660"/>
      <c r="I305" s="890"/>
      <c r="K305" s="561"/>
      <c r="L305" s="559"/>
      <c r="M305" s="559"/>
      <c r="N305" s="559"/>
      <c r="O305" s="559"/>
      <c r="P305" s="559"/>
      <c r="Q305" s="559"/>
    </row>
    <row r="306" spans="2:17" s="560" customFormat="1" ht="15" x14ac:dyDescent="0.2">
      <c r="B306" s="655"/>
      <c r="C306" s="888"/>
      <c r="D306" s="699"/>
      <c r="E306" s="700"/>
      <c r="F306" s="708" t="s">
        <v>766</v>
      </c>
      <c r="G306" s="676">
        <f>2*1.8*55*0.4</f>
        <v>79.2</v>
      </c>
      <c r="H306" s="660"/>
      <c r="I306" s="890"/>
      <c r="K306" s="561"/>
      <c r="L306" s="559"/>
      <c r="M306" s="559"/>
      <c r="N306" s="559"/>
      <c r="O306" s="559"/>
      <c r="P306" s="559"/>
      <c r="Q306" s="559"/>
    </row>
    <row r="307" spans="2:17" s="560" customFormat="1" ht="15" x14ac:dyDescent="0.2">
      <c r="B307" s="655"/>
      <c r="C307" s="888"/>
      <c r="D307" s="699"/>
      <c r="E307" s="700"/>
      <c r="F307" s="707" t="s">
        <v>911</v>
      </c>
      <c r="G307" s="649"/>
      <c r="H307" s="660"/>
      <c r="I307" s="890"/>
      <c r="K307" s="561"/>
      <c r="L307" s="559"/>
      <c r="M307" s="559"/>
      <c r="N307" s="559"/>
      <c r="O307" s="559"/>
      <c r="P307" s="559"/>
      <c r="Q307" s="559"/>
    </row>
    <row r="308" spans="2:17" s="560" customFormat="1" ht="15" x14ac:dyDescent="0.2">
      <c r="B308" s="655"/>
      <c r="C308" s="888"/>
      <c r="D308" s="699"/>
      <c r="E308" s="700"/>
      <c r="F308" s="708" t="s">
        <v>772</v>
      </c>
      <c r="G308" s="649">
        <f xml:space="preserve"> ((14.02*4.36))*0.4</f>
        <v>24.450880000000002</v>
      </c>
      <c r="H308" s="660"/>
      <c r="I308" s="890"/>
      <c r="K308" s="561"/>
      <c r="L308" s="559"/>
      <c r="M308" s="559"/>
      <c r="N308" s="559"/>
      <c r="O308" s="559"/>
      <c r="P308" s="559"/>
      <c r="Q308" s="559"/>
    </row>
    <row r="309" spans="2:17" s="560" customFormat="1" ht="15" x14ac:dyDescent="0.2">
      <c r="B309" s="655"/>
      <c r="C309" s="888"/>
      <c r="D309" s="699"/>
      <c r="E309" s="700"/>
      <c r="F309" s="708" t="s">
        <v>767</v>
      </c>
      <c r="G309" s="831">
        <f xml:space="preserve"> (((0.5+4.36)/2)*8.8)*0.4</f>
        <v>8.5536000000000012</v>
      </c>
      <c r="H309" s="660"/>
      <c r="I309" s="890"/>
      <c r="K309" s="561"/>
      <c r="L309" s="559"/>
      <c r="M309" s="559"/>
      <c r="N309" s="559"/>
      <c r="O309" s="559"/>
      <c r="P309" s="559"/>
      <c r="Q309" s="559"/>
    </row>
    <row r="310" spans="2:17" s="560" customFormat="1" ht="15" x14ac:dyDescent="0.2">
      <c r="B310" s="655"/>
      <c r="C310" s="888"/>
      <c r="D310" s="699"/>
      <c r="E310" s="700"/>
      <c r="F310" s="709" t="s">
        <v>942</v>
      </c>
      <c r="G310" s="649">
        <f>SUM(G306:G309)</f>
        <v>112.20448</v>
      </c>
      <c r="H310" s="660"/>
      <c r="I310" s="890"/>
      <c r="K310" s="561"/>
      <c r="L310" s="559"/>
      <c r="M310" s="559"/>
      <c r="N310" s="559"/>
      <c r="O310" s="559"/>
      <c r="P310" s="559"/>
      <c r="Q310" s="559"/>
    </row>
    <row r="311" spans="2:17" s="560" customFormat="1" ht="15" x14ac:dyDescent="0.2">
      <c r="B311" s="655"/>
      <c r="C311" s="888"/>
      <c r="D311" s="699"/>
      <c r="E311" s="700"/>
      <c r="F311" s="894" t="s">
        <v>908</v>
      </c>
      <c r="G311" s="676"/>
      <c r="H311" s="660"/>
      <c r="I311" s="890"/>
      <c r="K311" s="561"/>
      <c r="L311" s="559"/>
      <c r="M311" s="559"/>
      <c r="N311" s="559"/>
      <c r="O311" s="559"/>
      <c r="P311" s="559"/>
      <c r="Q311" s="559"/>
    </row>
    <row r="312" spans="2:17" s="560" customFormat="1" ht="15" x14ac:dyDescent="0.2">
      <c r="B312" s="655"/>
      <c r="C312" s="888"/>
      <c r="D312" s="699"/>
      <c r="E312" s="700"/>
      <c r="F312" s="708" t="s">
        <v>768</v>
      </c>
      <c r="G312" s="676">
        <f>2*1.8*55</f>
        <v>198</v>
      </c>
      <c r="H312" s="660"/>
      <c r="I312" s="890"/>
      <c r="K312" s="561"/>
      <c r="L312" s="559"/>
      <c r="M312" s="559"/>
      <c r="N312" s="559"/>
      <c r="O312" s="559"/>
      <c r="P312" s="559"/>
      <c r="Q312" s="559"/>
    </row>
    <row r="313" spans="2:17" s="560" customFormat="1" ht="15" x14ac:dyDescent="0.2">
      <c r="B313" s="655"/>
      <c r="C313" s="888"/>
      <c r="D313" s="699"/>
      <c r="E313" s="700"/>
      <c r="F313" s="707" t="s">
        <v>909</v>
      </c>
      <c r="G313" s="649"/>
      <c r="H313" s="660"/>
      <c r="I313" s="890"/>
      <c r="K313" s="561"/>
      <c r="L313" s="559"/>
      <c r="M313" s="559"/>
      <c r="N313" s="559"/>
      <c r="O313" s="559"/>
      <c r="P313" s="559"/>
      <c r="Q313" s="559"/>
    </row>
    <row r="314" spans="2:17" s="560" customFormat="1" ht="15" x14ac:dyDescent="0.2">
      <c r="B314" s="655"/>
      <c r="C314" s="888"/>
      <c r="D314" s="699"/>
      <c r="E314" s="700"/>
      <c r="F314" s="708" t="s">
        <v>773</v>
      </c>
      <c r="G314" s="649">
        <f xml:space="preserve"> 14.02*4.36</f>
        <v>61.127200000000002</v>
      </c>
      <c r="H314" s="660"/>
      <c r="I314" s="890"/>
      <c r="K314" s="561"/>
      <c r="L314" s="559"/>
      <c r="M314" s="559"/>
      <c r="N314" s="559"/>
      <c r="O314" s="559"/>
      <c r="P314" s="559"/>
      <c r="Q314" s="559"/>
    </row>
    <row r="315" spans="2:17" s="560" customFormat="1" ht="15" x14ac:dyDescent="0.2">
      <c r="B315" s="655"/>
      <c r="C315" s="888"/>
      <c r="D315" s="699"/>
      <c r="E315" s="700"/>
      <c r="F315" s="708" t="s">
        <v>775</v>
      </c>
      <c r="G315" s="831">
        <f xml:space="preserve"> (((0.5+4.36)/2)*8.8)</f>
        <v>21.384000000000004</v>
      </c>
      <c r="H315" s="660"/>
      <c r="I315" s="890"/>
      <c r="K315" s="561"/>
      <c r="L315" s="559"/>
      <c r="M315" s="559"/>
      <c r="N315" s="559"/>
      <c r="O315" s="559"/>
      <c r="P315" s="559"/>
      <c r="Q315" s="559"/>
    </row>
    <row r="316" spans="2:17" s="560" customFormat="1" ht="15" x14ac:dyDescent="0.2">
      <c r="B316" s="655"/>
      <c r="C316" s="888"/>
      <c r="D316" s="699"/>
      <c r="E316" s="700"/>
      <c r="F316" s="709" t="s">
        <v>752</v>
      </c>
      <c r="G316" s="649">
        <f>SUM(G312:G315)</f>
        <v>280.51120000000003</v>
      </c>
      <c r="H316" s="660"/>
      <c r="I316" s="890"/>
      <c r="K316" s="561"/>
      <c r="L316" s="559"/>
      <c r="M316" s="559"/>
      <c r="N316" s="559"/>
      <c r="O316" s="559"/>
      <c r="P316" s="559"/>
      <c r="Q316" s="559"/>
    </row>
    <row r="317" spans="2:17" s="560" customFormat="1" ht="15" x14ac:dyDescent="0.2">
      <c r="B317" s="655"/>
      <c r="C317" s="888"/>
      <c r="D317" s="699"/>
      <c r="E317" s="700"/>
      <c r="F317" s="818"/>
      <c r="G317" s="889"/>
      <c r="H317" s="660"/>
      <c r="I317" s="890"/>
      <c r="K317" s="561"/>
      <c r="L317" s="559"/>
      <c r="M317" s="559"/>
      <c r="N317" s="559"/>
      <c r="O317" s="559"/>
      <c r="P317" s="559"/>
      <c r="Q317" s="559"/>
    </row>
    <row r="318" spans="2:17" s="560" customFormat="1" ht="25.5" x14ac:dyDescent="0.2">
      <c r="B318" s="783"/>
      <c r="C318" s="806" t="s">
        <v>414</v>
      </c>
      <c r="D318" s="806"/>
      <c r="E318" s="720"/>
      <c r="F318" s="807" t="s">
        <v>415</v>
      </c>
      <c r="G318" s="696"/>
      <c r="H318" s="674"/>
      <c r="I318" s="887"/>
      <c r="K318" s="561"/>
      <c r="L318" s="559"/>
      <c r="M318" s="559"/>
      <c r="N318" s="559"/>
      <c r="O318" s="559"/>
      <c r="P318" s="559"/>
      <c r="Q318" s="559"/>
    </row>
    <row r="319" spans="2:17" s="560" customFormat="1" ht="9.9499999999999993" customHeight="1" x14ac:dyDescent="0.2">
      <c r="B319" s="783"/>
      <c r="C319" s="888"/>
      <c r="D319" s="810"/>
      <c r="E319" s="811"/>
      <c r="F319" s="785"/>
      <c r="G319" s="696"/>
      <c r="H319" s="674"/>
      <c r="I319" s="887"/>
      <c r="K319" s="561"/>
      <c r="L319" s="559"/>
      <c r="M319" s="559"/>
      <c r="N319" s="559"/>
      <c r="O319" s="559"/>
      <c r="P319" s="559"/>
      <c r="Q319" s="559"/>
    </row>
    <row r="320" spans="2:17" s="560" customFormat="1" ht="25.5" customHeight="1" x14ac:dyDescent="0.2">
      <c r="B320" s="655">
        <f>MAX(B$5:B318)+1</f>
        <v>51</v>
      </c>
      <c r="C320" s="888"/>
      <c r="D320" s="656" t="s">
        <v>721</v>
      </c>
      <c r="E320" s="657"/>
      <c r="F320" s="658" t="s">
        <v>722</v>
      </c>
      <c r="G320" s="659"/>
      <c r="H320" s="660" t="s">
        <v>12</v>
      </c>
      <c r="I320" s="890">
        <f>I333+I325+I321</f>
        <v>492.75670000000002</v>
      </c>
      <c r="K320" s="561"/>
      <c r="L320" s="559"/>
      <c r="M320" s="559"/>
      <c r="N320" s="559"/>
      <c r="O320" s="559"/>
      <c r="P320" s="559"/>
      <c r="Q320" s="559"/>
    </row>
    <row r="321" spans="2:17" s="560" customFormat="1" ht="24.75" customHeight="1" x14ac:dyDescent="0.2">
      <c r="B321" s="783"/>
      <c r="C321" s="888"/>
      <c r="D321" s="810"/>
      <c r="E321" s="703" t="s">
        <v>723</v>
      </c>
      <c r="F321" s="819" t="s">
        <v>724</v>
      </c>
      <c r="G321" s="895"/>
      <c r="H321" s="704" t="s">
        <v>12</v>
      </c>
      <c r="I321" s="887">
        <f>G323</f>
        <v>192.5</v>
      </c>
      <c r="K321" s="561"/>
      <c r="L321" s="559"/>
      <c r="M321" s="559"/>
      <c r="N321" s="559"/>
      <c r="O321" s="559"/>
      <c r="P321" s="559"/>
      <c r="Q321" s="559"/>
    </row>
    <row r="322" spans="2:17" s="560" customFormat="1" ht="15" x14ac:dyDescent="0.2">
      <c r="B322" s="783"/>
      <c r="C322" s="888"/>
      <c r="D322" s="810"/>
      <c r="E322" s="811"/>
      <c r="F322" s="688" t="s">
        <v>769</v>
      </c>
      <c r="G322" s="676"/>
      <c r="H322" s="674"/>
      <c r="I322" s="887"/>
      <c r="K322" s="561"/>
      <c r="L322" s="559"/>
      <c r="M322" s="559"/>
      <c r="N322" s="559"/>
      <c r="O322" s="559"/>
      <c r="P322" s="559"/>
      <c r="Q322" s="559"/>
    </row>
    <row r="323" spans="2:17" s="560" customFormat="1" ht="15" x14ac:dyDescent="0.2">
      <c r="B323" s="783"/>
      <c r="C323" s="888"/>
      <c r="D323" s="810"/>
      <c r="E323" s="811"/>
      <c r="F323" s="891" t="s">
        <v>765</v>
      </c>
      <c r="G323" s="676">
        <f>3.5*55</f>
        <v>192.5</v>
      </c>
      <c r="H323" s="674"/>
      <c r="I323" s="887"/>
      <c r="K323" s="561"/>
      <c r="L323" s="559"/>
      <c r="M323" s="559"/>
      <c r="N323" s="559"/>
      <c r="O323" s="559"/>
      <c r="P323" s="559"/>
      <c r="Q323" s="559"/>
    </row>
    <row r="324" spans="2:17" s="560" customFormat="1" ht="15" x14ac:dyDescent="0.2">
      <c r="B324" s="783"/>
      <c r="C324" s="888"/>
      <c r="D324" s="810"/>
      <c r="E324" s="811"/>
      <c r="F324" s="785"/>
      <c r="G324" s="696"/>
      <c r="H324" s="674"/>
      <c r="I324" s="887"/>
      <c r="K324" s="561"/>
      <c r="L324" s="559"/>
      <c r="M324" s="559"/>
      <c r="N324" s="559"/>
      <c r="O324" s="559"/>
      <c r="P324" s="559"/>
      <c r="Q324" s="559"/>
    </row>
    <row r="325" spans="2:17" s="560" customFormat="1" ht="24.75" customHeight="1" x14ac:dyDescent="0.2">
      <c r="B325" s="783"/>
      <c r="C325" s="888"/>
      <c r="D325" s="810"/>
      <c r="E325" s="740" t="s">
        <v>725</v>
      </c>
      <c r="F325" s="741" t="s">
        <v>726</v>
      </c>
      <c r="G325" s="895"/>
      <c r="H325" s="704" t="s">
        <v>12</v>
      </c>
      <c r="I325" s="887">
        <f>G331</f>
        <v>280.51120000000003</v>
      </c>
      <c r="K325" s="561"/>
      <c r="L325" s="559"/>
      <c r="M325" s="559"/>
      <c r="N325" s="559"/>
      <c r="O325" s="559"/>
      <c r="P325" s="559"/>
      <c r="Q325" s="559"/>
    </row>
    <row r="326" spans="2:17" s="560" customFormat="1" ht="15" x14ac:dyDescent="0.2">
      <c r="B326" s="783"/>
      <c r="C326" s="888"/>
      <c r="D326" s="810"/>
      <c r="E326" s="811"/>
      <c r="F326" s="697" t="s">
        <v>770</v>
      </c>
      <c r="G326" s="676"/>
      <c r="H326" s="674"/>
      <c r="I326" s="887"/>
      <c r="K326" s="561"/>
      <c r="L326" s="559"/>
      <c r="M326" s="559"/>
      <c r="N326" s="559"/>
      <c r="O326" s="559"/>
      <c r="P326" s="559"/>
      <c r="Q326" s="559"/>
    </row>
    <row r="327" spans="2:17" s="560" customFormat="1" ht="15" x14ac:dyDescent="0.2">
      <c r="B327" s="783"/>
      <c r="C327" s="888"/>
      <c r="D327" s="810"/>
      <c r="E327" s="811"/>
      <c r="F327" s="708" t="s">
        <v>771</v>
      </c>
      <c r="G327" s="676">
        <f>(2*1.8*55)</f>
        <v>198</v>
      </c>
      <c r="H327" s="674"/>
      <c r="I327" s="887"/>
      <c r="K327" s="561"/>
      <c r="L327" s="559"/>
      <c r="M327" s="559"/>
      <c r="N327" s="559"/>
      <c r="O327" s="559"/>
      <c r="P327" s="559"/>
      <c r="Q327" s="559"/>
    </row>
    <row r="328" spans="2:17" s="560" customFormat="1" ht="15" x14ac:dyDescent="0.2">
      <c r="B328" s="783"/>
      <c r="C328" s="888"/>
      <c r="D328" s="810"/>
      <c r="E328" s="811"/>
      <c r="F328" s="707" t="s">
        <v>774</v>
      </c>
      <c r="G328" s="649"/>
      <c r="H328" s="674"/>
      <c r="I328" s="887"/>
      <c r="K328" s="561"/>
      <c r="L328" s="559"/>
      <c r="M328" s="559"/>
      <c r="N328" s="559"/>
      <c r="O328" s="559"/>
      <c r="P328" s="559"/>
      <c r="Q328" s="559"/>
    </row>
    <row r="329" spans="2:17" s="560" customFormat="1" ht="15" x14ac:dyDescent="0.2">
      <c r="B329" s="783"/>
      <c r="C329" s="888"/>
      <c r="D329" s="810"/>
      <c r="E329" s="811"/>
      <c r="F329" s="708" t="s">
        <v>773</v>
      </c>
      <c r="G329" s="649">
        <f xml:space="preserve"> 14.02*4.36</f>
        <v>61.127200000000002</v>
      </c>
      <c r="H329" s="674"/>
      <c r="I329" s="887"/>
      <c r="K329" s="561"/>
      <c r="L329" s="559"/>
      <c r="M329" s="559"/>
      <c r="N329" s="559"/>
      <c r="O329" s="559"/>
      <c r="P329" s="559"/>
      <c r="Q329" s="559"/>
    </row>
    <row r="330" spans="2:17" s="560" customFormat="1" ht="15" x14ac:dyDescent="0.2">
      <c r="B330" s="783"/>
      <c r="C330" s="888"/>
      <c r="D330" s="810"/>
      <c r="E330" s="811"/>
      <c r="F330" s="708" t="s">
        <v>775</v>
      </c>
      <c r="G330" s="831">
        <f xml:space="preserve"> (((0.5+4.36)/2)*8.8)</f>
        <v>21.384000000000004</v>
      </c>
      <c r="H330" s="674"/>
      <c r="I330" s="887"/>
      <c r="K330" s="561"/>
      <c r="L330" s="559"/>
      <c r="M330" s="559"/>
      <c r="N330" s="559"/>
      <c r="O330" s="559"/>
      <c r="P330" s="559"/>
      <c r="Q330" s="559"/>
    </row>
    <row r="331" spans="2:17" s="560" customFormat="1" ht="15" x14ac:dyDescent="0.2">
      <c r="B331" s="783"/>
      <c r="C331" s="888"/>
      <c r="D331" s="810"/>
      <c r="E331" s="811"/>
      <c r="F331" s="709" t="s">
        <v>250</v>
      </c>
      <c r="G331" s="649">
        <f>SUM(G327:G330)</f>
        <v>280.51120000000003</v>
      </c>
      <c r="H331" s="674"/>
      <c r="I331" s="887"/>
      <c r="K331" s="561"/>
      <c r="L331" s="559"/>
      <c r="M331" s="559"/>
      <c r="N331" s="559"/>
      <c r="O331" s="559"/>
      <c r="P331" s="559"/>
      <c r="Q331" s="559"/>
    </row>
    <row r="332" spans="2:17" s="560" customFormat="1" ht="15" x14ac:dyDescent="0.2">
      <c r="B332" s="783"/>
      <c r="C332" s="888"/>
      <c r="D332" s="810"/>
      <c r="E332" s="811"/>
      <c r="F332" s="785"/>
      <c r="G332" s="696"/>
      <c r="H332" s="674"/>
      <c r="I332" s="887"/>
      <c r="K332" s="561"/>
      <c r="L332" s="559"/>
      <c r="M332" s="559"/>
      <c r="N332" s="559"/>
      <c r="O332" s="559"/>
      <c r="P332" s="559"/>
      <c r="Q332" s="559"/>
    </row>
    <row r="333" spans="2:17" s="560" customFormat="1" ht="25.5" x14ac:dyDescent="0.2">
      <c r="B333" s="783"/>
      <c r="C333" s="888"/>
      <c r="D333" s="810"/>
      <c r="E333" s="740" t="s">
        <v>727</v>
      </c>
      <c r="F333" s="741" t="s">
        <v>728</v>
      </c>
      <c r="G333" s="895"/>
      <c r="H333" s="704" t="s">
        <v>12</v>
      </c>
      <c r="I333" s="887">
        <f>G336</f>
        <v>19.7455</v>
      </c>
      <c r="K333" s="561"/>
      <c r="L333" s="559"/>
      <c r="M333" s="559"/>
      <c r="N333" s="559"/>
      <c r="O333" s="559"/>
      <c r="P333" s="559"/>
      <c r="Q333" s="559"/>
    </row>
    <row r="334" spans="2:17" s="560" customFormat="1" ht="27" customHeight="1" x14ac:dyDescent="0.2">
      <c r="B334" s="783"/>
      <c r="C334" s="888"/>
      <c r="D334" s="810"/>
      <c r="E334" s="811"/>
      <c r="F334" s="705" t="s">
        <v>776</v>
      </c>
      <c r="G334" s="676">
        <f>((0.5+0.1)*9.71)+(0.45+0.1)*14.365</f>
        <v>13.726750000000001</v>
      </c>
      <c r="H334" s="674"/>
      <c r="I334" s="887"/>
      <c r="K334" s="561"/>
      <c r="L334" s="559"/>
      <c r="M334" s="559"/>
      <c r="N334" s="559"/>
      <c r="O334" s="559"/>
      <c r="P334" s="559"/>
      <c r="Q334" s="559"/>
    </row>
    <row r="335" spans="2:17" s="560" customFormat="1" ht="21.75" customHeight="1" x14ac:dyDescent="0.2">
      <c r="B335" s="783"/>
      <c r="C335" s="888"/>
      <c r="D335" s="810"/>
      <c r="E335" s="811"/>
      <c r="F335" s="896" t="s">
        <v>777</v>
      </c>
      <c r="G335" s="696">
        <f>((0.2+0.05)*9.71)+(0.2+0.05)*14.365</f>
        <v>6.0187500000000007</v>
      </c>
      <c r="H335" s="674"/>
      <c r="I335" s="887"/>
      <c r="K335" s="561"/>
      <c r="L335" s="559"/>
      <c r="M335" s="559"/>
      <c r="N335" s="559"/>
      <c r="O335" s="559"/>
      <c r="P335" s="559"/>
      <c r="Q335" s="559"/>
    </row>
    <row r="336" spans="2:17" s="560" customFormat="1" ht="15" x14ac:dyDescent="0.2">
      <c r="B336" s="783"/>
      <c r="C336" s="888"/>
      <c r="D336" s="810"/>
      <c r="E336" s="811"/>
      <c r="F336" s="698" t="s">
        <v>298</v>
      </c>
      <c r="G336" s="676">
        <f>SUM(G334:G335)</f>
        <v>19.7455</v>
      </c>
      <c r="H336" s="674"/>
      <c r="I336" s="887"/>
      <c r="K336" s="561"/>
      <c r="L336" s="559"/>
      <c r="M336" s="559"/>
      <c r="N336" s="559"/>
      <c r="O336" s="559"/>
      <c r="P336" s="559"/>
      <c r="Q336" s="559"/>
    </row>
    <row r="337" spans="2:17" s="560" customFormat="1" ht="13.5" thickBot="1" x14ac:dyDescent="0.25">
      <c r="B337" s="897"/>
      <c r="C337" s="898"/>
      <c r="D337" s="899"/>
      <c r="E337" s="899"/>
      <c r="F337" s="900"/>
      <c r="G337" s="901"/>
      <c r="H337" s="899"/>
      <c r="I337" s="902"/>
      <c r="K337" s="561"/>
      <c r="L337" s="559"/>
      <c r="M337" s="559"/>
      <c r="N337" s="559"/>
      <c r="O337" s="559"/>
      <c r="P337" s="559"/>
      <c r="Q337" s="559"/>
    </row>
    <row r="340" spans="2:17" s="560" customFormat="1" ht="15.75" customHeight="1" x14ac:dyDescent="0.2">
      <c r="B340" s="558"/>
      <c r="C340" s="903"/>
      <c r="D340" s="904"/>
      <c r="E340" s="904"/>
      <c r="F340" s="559"/>
      <c r="G340" s="905"/>
      <c r="H340" s="904"/>
      <c r="I340" s="906"/>
      <c r="K340" s="561"/>
      <c r="L340" s="559"/>
      <c r="M340" s="559"/>
      <c r="N340" s="559"/>
      <c r="O340" s="559"/>
      <c r="P340" s="559"/>
      <c r="Q340" s="559"/>
    </row>
  </sheetData>
  <sheetProtection algorithmName="SHA-512" hashValue="3x7lvBPM01oJOuWNs1HO0ES3C4lmHS5pi3u/AqwE70Vt/VnO/zg6MmfXFR64C0SXXTgVKz2vxdqoBJcX0to9hA==" saltValue="Jw0Tr8WHp7h95QBt6iHeqA==" spinCount="100000" sheet="1"/>
  <mergeCells count="6">
    <mergeCell ref="F1:I1"/>
    <mergeCell ref="F2:G2"/>
    <mergeCell ref="B6:D6"/>
    <mergeCell ref="F6:G7"/>
    <mergeCell ref="H6:H7"/>
    <mergeCell ref="I6:I7"/>
  </mergeCells>
  <printOptions horizontalCentered="1"/>
  <pageMargins left="0.51181102362204722" right="0.51181102362204722" top="0.55118110236220474" bottom="0.55118110236220474" header="0.31496062992125984" footer="0.11811023622047245"/>
  <pageSetup paperSize="9" scale="75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3"/>
  <dimension ref="A2:P59"/>
  <sheetViews>
    <sheetView zoomScaleNormal="100" zoomScaleSheetLayoutView="70"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1" max="1" width="4.7109375" style="128" customWidth="1"/>
    <col min="2" max="2" width="7.140625" style="128" customWidth="1"/>
    <col min="3" max="3" width="40.140625" style="128" customWidth="1"/>
    <col min="4" max="4" width="9" style="168" customWidth="1"/>
    <col min="5" max="5" width="10" style="374" customWidth="1"/>
    <col min="6" max="6" width="14" style="128" customWidth="1"/>
    <col min="7" max="7" width="6.28515625" style="128" customWidth="1"/>
    <col min="8" max="8" width="51.85546875" style="128" customWidth="1"/>
    <col min="9" max="9" width="4.5703125" style="128" customWidth="1"/>
    <col min="10" max="10" width="11.28515625" style="368" customWidth="1"/>
    <col min="11" max="11" width="6.28515625" style="128" customWidth="1"/>
    <col min="12" max="16384" width="9.140625" style="128"/>
  </cols>
  <sheetData>
    <row r="2" spans="1:10" x14ac:dyDescent="0.2">
      <c r="B2" s="343"/>
      <c r="C2" s="343"/>
      <c r="D2" s="37" t="s">
        <v>149</v>
      </c>
      <c r="E2" s="34"/>
      <c r="F2" s="34"/>
      <c r="G2" s="34"/>
      <c r="H2" s="36" t="s">
        <v>459</v>
      </c>
      <c r="I2" s="37"/>
      <c r="J2" s="369"/>
    </row>
    <row r="3" spans="1:10" ht="13.5" thickBot="1" x14ac:dyDescent="0.25">
      <c r="B3" s="344"/>
      <c r="C3" s="344"/>
      <c r="D3" s="43" t="s">
        <v>150</v>
      </c>
      <c r="E3" s="34"/>
      <c r="F3" s="34"/>
      <c r="G3" s="34"/>
      <c r="H3" s="42">
        <v>2141</v>
      </c>
      <c r="I3" s="43"/>
      <c r="J3" s="369"/>
    </row>
    <row r="4" spans="1:10" x14ac:dyDescent="0.2">
      <c r="A4" s="350" t="s">
        <v>617</v>
      </c>
      <c r="B4" s="345" t="s">
        <v>618</v>
      </c>
      <c r="C4" s="345" t="s">
        <v>619</v>
      </c>
      <c r="D4" s="346" t="s">
        <v>285</v>
      </c>
      <c r="E4" s="346" t="s">
        <v>286</v>
      </c>
      <c r="F4" s="346" t="s">
        <v>622</v>
      </c>
      <c r="G4" s="346" t="s">
        <v>623</v>
      </c>
      <c r="H4" s="347" t="s">
        <v>620</v>
      </c>
      <c r="I4" s="348" t="s">
        <v>153</v>
      </c>
      <c r="J4" s="370" t="s">
        <v>621</v>
      </c>
    </row>
    <row r="5" spans="1:10" ht="25.5" x14ac:dyDescent="0.2">
      <c r="A5" s="350">
        <v>1</v>
      </c>
      <c r="B5" s="350" t="s">
        <v>615</v>
      </c>
      <c r="C5" s="350" t="s">
        <v>616</v>
      </c>
      <c r="D5" s="354" t="s">
        <v>288</v>
      </c>
      <c r="E5" s="359" t="s">
        <v>290</v>
      </c>
      <c r="F5" s="355"/>
      <c r="G5" s="355"/>
      <c r="H5" s="356" t="s">
        <v>291</v>
      </c>
      <c r="I5" s="357" t="s">
        <v>51</v>
      </c>
      <c r="J5" s="358">
        <v>11.25</v>
      </c>
    </row>
    <row r="6" spans="1:10" ht="25.5" customHeight="1" x14ac:dyDescent="0.2">
      <c r="A6" s="350">
        <v>2</v>
      </c>
      <c r="B6" s="350" t="s">
        <v>615</v>
      </c>
      <c r="C6" s="350" t="s">
        <v>616</v>
      </c>
      <c r="D6" s="354" t="s">
        <v>288</v>
      </c>
      <c r="E6" s="359" t="s">
        <v>292</v>
      </c>
      <c r="F6" s="355"/>
      <c r="G6" s="355"/>
      <c r="H6" s="356" t="s">
        <v>293</v>
      </c>
      <c r="I6" s="357" t="s">
        <v>12</v>
      </c>
      <c r="J6" s="358">
        <v>70</v>
      </c>
    </row>
    <row r="7" spans="1:10" ht="25.5" x14ac:dyDescent="0.2">
      <c r="A7" s="350">
        <v>3</v>
      </c>
      <c r="B7" s="350" t="s">
        <v>615</v>
      </c>
      <c r="C7" s="350" t="s">
        <v>616</v>
      </c>
      <c r="D7" s="354" t="s">
        <v>288</v>
      </c>
      <c r="E7" s="359" t="s">
        <v>294</v>
      </c>
      <c r="F7" s="355"/>
      <c r="G7" s="355"/>
      <c r="H7" s="356" t="s">
        <v>295</v>
      </c>
      <c r="I7" s="357" t="s">
        <v>12</v>
      </c>
      <c r="J7" s="358">
        <v>80</v>
      </c>
    </row>
    <row r="8" spans="1:10" ht="25.5" customHeight="1" x14ac:dyDescent="0.2">
      <c r="A8" s="350">
        <v>4</v>
      </c>
      <c r="B8" s="350" t="s">
        <v>615</v>
      </c>
      <c r="C8" s="350" t="s">
        <v>616</v>
      </c>
      <c r="D8" s="354" t="s">
        <v>288</v>
      </c>
      <c r="E8" s="359" t="s">
        <v>299</v>
      </c>
      <c r="F8" s="355"/>
      <c r="G8" s="355"/>
      <c r="H8" s="356" t="s">
        <v>300</v>
      </c>
      <c r="I8" s="357" t="s">
        <v>12</v>
      </c>
      <c r="J8" s="358">
        <v>178.4</v>
      </c>
    </row>
    <row r="9" spans="1:10" ht="25.5" customHeight="1" x14ac:dyDescent="0.2">
      <c r="A9" s="350">
        <v>5</v>
      </c>
      <c r="B9" s="350" t="s">
        <v>615</v>
      </c>
      <c r="C9" s="350" t="s">
        <v>616</v>
      </c>
      <c r="D9" s="354" t="s">
        <v>288</v>
      </c>
      <c r="E9" s="359" t="s">
        <v>303</v>
      </c>
      <c r="F9" s="355"/>
      <c r="G9" s="355"/>
      <c r="H9" s="356" t="s">
        <v>304</v>
      </c>
      <c r="I9" s="357" t="s">
        <v>25</v>
      </c>
      <c r="J9" s="358">
        <v>46.12</v>
      </c>
    </row>
    <row r="10" spans="1:10" ht="25.5" customHeight="1" x14ac:dyDescent="0.2">
      <c r="A10" s="350">
        <v>6</v>
      </c>
      <c r="B10" s="350" t="s">
        <v>615</v>
      </c>
      <c r="C10" s="350" t="s">
        <v>616</v>
      </c>
      <c r="D10" s="354" t="s">
        <v>288</v>
      </c>
      <c r="E10" s="359" t="s">
        <v>307</v>
      </c>
      <c r="F10" s="355"/>
      <c r="G10" s="355"/>
      <c r="H10" s="356" t="s">
        <v>308</v>
      </c>
      <c r="I10" s="357" t="s">
        <v>25</v>
      </c>
      <c r="J10" s="358">
        <v>46.12</v>
      </c>
    </row>
    <row r="11" spans="1:10" ht="25.5" x14ac:dyDescent="0.2">
      <c r="A11" s="350">
        <v>7</v>
      </c>
      <c r="B11" s="350" t="s">
        <v>615</v>
      </c>
      <c r="C11" s="350" t="s">
        <v>616</v>
      </c>
      <c r="D11" s="354" t="s">
        <v>288</v>
      </c>
      <c r="E11" s="359" t="s">
        <v>313</v>
      </c>
      <c r="F11" s="355"/>
      <c r="G11" s="355"/>
      <c r="H11" s="356" t="s">
        <v>314</v>
      </c>
      <c r="I11" s="357" t="s">
        <v>15</v>
      </c>
      <c r="J11" s="358">
        <v>10.6</v>
      </c>
    </row>
    <row r="12" spans="1:10" x14ac:dyDescent="0.2">
      <c r="A12" s="350">
        <v>8</v>
      </c>
      <c r="B12" s="350" t="s">
        <v>615</v>
      </c>
      <c r="C12" s="350" t="s">
        <v>616</v>
      </c>
      <c r="D12" s="354" t="s">
        <v>288</v>
      </c>
      <c r="E12" s="359" t="s">
        <v>318</v>
      </c>
      <c r="F12" s="355"/>
      <c r="G12" s="355"/>
      <c r="H12" s="356" t="s">
        <v>319</v>
      </c>
      <c r="I12" s="357" t="s">
        <v>12</v>
      </c>
      <c r="J12" s="358">
        <v>50</v>
      </c>
    </row>
    <row r="13" spans="1:10" x14ac:dyDescent="0.2">
      <c r="A13" s="350">
        <v>9</v>
      </c>
      <c r="B13" s="350" t="s">
        <v>615</v>
      </c>
      <c r="C13" s="350" t="s">
        <v>616</v>
      </c>
      <c r="D13" s="354" t="s">
        <v>288</v>
      </c>
      <c r="E13" s="359" t="s">
        <v>546</v>
      </c>
      <c r="F13" s="359"/>
      <c r="G13" s="359"/>
      <c r="H13" s="356" t="s">
        <v>547</v>
      </c>
      <c r="I13" s="357" t="s">
        <v>548</v>
      </c>
      <c r="J13" s="358">
        <v>10510.000000000002</v>
      </c>
    </row>
    <row r="14" spans="1:10" x14ac:dyDescent="0.2">
      <c r="A14" s="350">
        <v>10</v>
      </c>
      <c r="B14" s="350" t="s">
        <v>615</v>
      </c>
      <c r="C14" s="350" t="s">
        <v>616</v>
      </c>
      <c r="D14" s="354" t="s">
        <v>288</v>
      </c>
      <c r="E14" s="359" t="s">
        <v>309</v>
      </c>
      <c r="F14" s="355"/>
      <c r="G14" s="355"/>
      <c r="H14" s="356" t="s">
        <v>310</v>
      </c>
      <c r="I14" s="357" t="s">
        <v>5</v>
      </c>
      <c r="J14" s="358">
        <v>99.243200000000002</v>
      </c>
    </row>
    <row r="15" spans="1:10" s="120" customFormat="1" x14ac:dyDescent="0.2">
      <c r="A15" s="350">
        <v>11</v>
      </c>
      <c r="B15" s="351" t="s">
        <v>615</v>
      </c>
      <c r="C15" s="351" t="s">
        <v>616</v>
      </c>
      <c r="D15" s="354" t="s">
        <v>322</v>
      </c>
      <c r="E15" s="375" t="s">
        <v>324</v>
      </c>
      <c r="F15" s="360"/>
      <c r="G15" s="360"/>
      <c r="H15" s="361" t="s">
        <v>325</v>
      </c>
      <c r="I15" s="362" t="s">
        <v>12</v>
      </c>
      <c r="J15" s="363">
        <v>100</v>
      </c>
    </row>
    <row r="16" spans="1:10" s="120" customFormat="1" x14ac:dyDescent="0.2">
      <c r="A16" s="350">
        <v>12</v>
      </c>
      <c r="B16" s="351" t="s">
        <v>615</v>
      </c>
      <c r="C16" s="351" t="s">
        <v>616</v>
      </c>
      <c r="D16" s="354" t="s">
        <v>322</v>
      </c>
      <c r="E16" s="375" t="s">
        <v>329</v>
      </c>
      <c r="F16" s="360"/>
      <c r="G16" s="360"/>
      <c r="H16" s="361" t="s">
        <v>330</v>
      </c>
      <c r="I16" s="362" t="s">
        <v>12</v>
      </c>
      <c r="J16" s="363">
        <v>50</v>
      </c>
    </row>
    <row r="17" spans="1:16" s="120" customFormat="1" x14ac:dyDescent="0.2">
      <c r="A17" s="350">
        <v>13</v>
      </c>
      <c r="B17" s="351" t="s">
        <v>615</v>
      </c>
      <c r="C17" s="351" t="s">
        <v>616</v>
      </c>
      <c r="D17" s="364" t="s">
        <v>333</v>
      </c>
      <c r="E17" s="359" t="s">
        <v>557</v>
      </c>
      <c r="F17" s="355"/>
      <c r="G17" s="355"/>
      <c r="H17" s="356" t="s">
        <v>558</v>
      </c>
      <c r="I17" s="346" t="s">
        <v>51</v>
      </c>
      <c r="J17" s="358">
        <v>15</v>
      </c>
    </row>
    <row r="18" spans="1:16" s="120" customFormat="1" x14ac:dyDescent="0.2">
      <c r="A18" s="350">
        <v>14</v>
      </c>
      <c r="B18" s="351" t="s">
        <v>615</v>
      </c>
      <c r="C18" s="351" t="s">
        <v>616</v>
      </c>
      <c r="D18" s="354" t="s">
        <v>333</v>
      </c>
      <c r="E18" s="359" t="s">
        <v>165</v>
      </c>
      <c r="F18" s="355"/>
      <c r="G18" s="355"/>
      <c r="H18" s="356" t="s">
        <v>166</v>
      </c>
      <c r="I18" s="357" t="s">
        <v>51</v>
      </c>
      <c r="J18" s="363">
        <v>22.72</v>
      </c>
    </row>
    <row r="19" spans="1:16" s="372" customFormat="1" x14ac:dyDescent="0.2">
      <c r="A19" s="350">
        <v>15</v>
      </c>
      <c r="B19" s="352" t="s">
        <v>615</v>
      </c>
      <c r="C19" s="352" t="s">
        <v>616</v>
      </c>
      <c r="D19" s="371" t="s">
        <v>333</v>
      </c>
      <c r="E19" s="359" t="s">
        <v>542</v>
      </c>
      <c r="F19" s="359"/>
      <c r="G19" s="359"/>
      <c r="H19" s="361" t="s">
        <v>578</v>
      </c>
      <c r="I19" s="357" t="s">
        <v>543</v>
      </c>
      <c r="J19" s="363">
        <v>2</v>
      </c>
    </row>
    <row r="20" spans="1:16" x14ac:dyDescent="0.2">
      <c r="A20" s="350">
        <v>16</v>
      </c>
      <c r="B20" s="350" t="s">
        <v>615</v>
      </c>
      <c r="C20" s="350" t="s">
        <v>616</v>
      </c>
      <c r="D20" s="354" t="s">
        <v>178</v>
      </c>
      <c r="E20" s="359" t="s">
        <v>157</v>
      </c>
      <c r="F20" s="355"/>
      <c r="G20" s="355"/>
      <c r="H20" s="356" t="s">
        <v>158</v>
      </c>
      <c r="I20" s="357" t="s">
        <v>51</v>
      </c>
      <c r="J20" s="363">
        <v>22.72</v>
      </c>
    </row>
    <row r="21" spans="1:16" s="8" customFormat="1" x14ac:dyDescent="0.2">
      <c r="A21" s="350">
        <v>17</v>
      </c>
      <c r="B21" s="349" t="s">
        <v>615</v>
      </c>
      <c r="C21" s="349" t="s">
        <v>616</v>
      </c>
      <c r="D21" s="354" t="s">
        <v>178</v>
      </c>
      <c r="E21" s="359" t="s">
        <v>161</v>
      </c>
      <c r="F21" s="355"/>
      <c r="G21" s="355"/>
      <c r="H21" s="356" t="s">
        <v>162</v>
      </c>
      <c r="I21" s="357" t="s">
        <v>51</v>
      </c>
      <c r="J21" s="363">
        <v>22.72</v>
      </c>
    </row>
    <row r="22" spans="1:16" ht="25.5" x14ac:dyDescent="0.2">
      <c r="A22" s="350">
        <v>18</v>
      </c>
      <c r="B22" s="350" t="s">
        <v>615</v>
      </c>
      <c r="C22" s="350" t="s">
        <v>616</v>
      </c>
      <c r="D22" s="364" t="s">
        <v>156</v>
      </c>
      <c r="E22" s="376" t="s">
        <v>94</v>
      </c>
      <c r="F22" s="365"/>
      <c r="G22" s="365"/>
      <c r="H22" s="366" t="s">
        <v>95</v>
      </c>
      <c r="I22" s="346" t="s">
        <v>51</v>
      </c>
      <c r="J22" s="358">
        <v>10.97412125</v>
      </c>
    </row>
    <row r="23" spans="1:16" s="120" customFormat="1" ht="25.5" x14ac:dyDescent="0.2">
      <c r="A23" s="350">
        <v>19</v>
      </c>
      <c r="B23" s="351" t="s">
        <v>615</v>
      </c>
      <c r="C23" s="351" t="s">
        <v>616</v>
      </c>
      <c r="D23" s="364" t="s">
        <v>156</v>
      </c>
      <c r="E23" s="359" t="s">
        <v>96</v>
      </c>
      <c r="F23" s="355"/>
      <c r="G23" s="355"/>
      <c r="H23" s="351" t="s">
        <v>97</v>
      </c>
      <c r="I23" s="357" t="s">
        <v>12</v>
      </c>
      <c r="J23" s="358">
        <v>14.669150000000002</v>
      </c>
      <c r="K23" s="128"/>
      <c r="L23" s="128"/>
      <c r="M23" s="128"/>
      <c r="N23" s="128"/>
      <c r="O23" s="128"/>
      <c r="P23" s="128"/>
    </row>
    <row r="24" spans="1:16" s="120" customFormat="1" ht="25.5" x14ac:dyDescent="0.2">
      <c r="A24" s="350">
        <v>20</v>
      </c>
      <c r="B24" s="351" t="s">
        <v>615</v>
      </c>
      <c r="C24" s="351" t="s">
        <v>616</v>
      </c>
      <c r="D24" s="364" t="s">
        <v>156</v>
      </c>
      <c r="E24" s="359" t="s">
        <v>100</v>
      </c>
      <c r="F24" s="355"/>
      <c r="G24" s="355"/>
      <c r="H24" s="351" t="s">
        <v>101</v>
      </c>
      <c r="I24" s="357" t="s">
        <v>5</v>
      </c>
      <c r="J24" s="363">
        <v>2.0590000000000002</v>
      </c>
      <c r="K24" s="128"/>
      <c r="L24" s="128"/>
      <c r="M24" s="128"/>
      <c r="N24" s="128"/>
      <c r="O24" s="128"/>
      <c r="P24" s="128"/>
    </row>
    <row r="25" spans="1:16" s="299" customFormat="1" ht="25.5" x14ac:dyDescent="0.2">
      <c r="A25" s="350">
        <v>21</v>
      </c>
      <c r="B25" s="353" t="s">
        <v>615</v>
      </c>
      <c r="C25" s="353" t="s">
        <v>616</v>
      </c>
      <c r="D25" s="364" t="s">
        <v>156</v>
      </c>
      <c r="E25" s="359" t="s">
        <v>127</v>
      </c>
      <c r="F25" s="355"/>
      <c r="G25" s="355"/>
      <c r="H25" s="351" t="s">
        <v>128</v>
      </c>
      <c r="I25" s="357" t="s">
        <v>51</v>
      </c>
      <c r="J25" s="363">
        <v>13.539239999999999</v>
      </c>
      <c r="K25" s="128"/>
      <c r="L25" s="128"/>
      <c r="M25" s="128"/>
      <c r="N25" s="128"/>
      <c r="O25" s="128"/>
      <c r="P25" s="128"/>
    </row>
    <row r="26" spans="1:16" s="120" customFormat="1" ht="25.5" x14ac:dyDescent="0.2">
      <c r="A26" s="350">
        <v>22</v>
      </c>
      <c r="B26" s="351" t="s">
        <v>615</v>
      </c>
      <c r="C26" s="351" t="s">
        <v>616</v>
      </c>
      <c r="D26" s="364" t="s">
        <v>156</v>
      </c>
      <c r="E26" s="359" t="s">
        <v>131</v>
      </c>
      <c r="F26" s="355"/>
      <c r="G26" s="355"/>
      <c r="H26" s="351" t="s">
        <v>184</v>
      </c>
      <c r="I26" s="357" t="s">
        <v>12</v>
      </c>
      <c r="J26" s="363">
        <v>41.644999999999996</v>
      </c>
      <c r="K26" s="128"/>
      <c r="L26" s="128"/>
      <c r="M26" s="128"/>
      <c r="N26" s="128"/>
      <c r="O26" s="128"/>
      <c r="P26" s="128"/>
    </row>
    <row r="27" spans="1:16" s="120" customFormat="1" ht="25.5" x14ac:dyDescent="0.2">
      <c r="A27" s="350">
        <v>23</v>
      </c>
      <c r="B27" s="351" t="s">
        <v>615</v>
      </c>
      <c r="C27" s="351" t="s">
        <v>616</v>
      </c>
      <c r="D27" s="364" t="s">
        <v>156</v>
      </c>
      <c r="E27" s="359" t="s">
        <v>133</v>
      </c>
      <c r="F27" s="355"/>
      <c r="G27" s="355"/>
      <c r="H27" s="351" t="s">
        <v>186</v>
      </c>
      <c r="I27" s="357" t="s">
        <v>5</v>
      </c>
      <c r="J27" s="363">
        <v>1.62</v>
      </c>
      <c r="K27" s="128"/>
      <c r="L27" s="128"/>
      <c r="M27" s="128"/>
      <c r="N27" s="128"/>
      <c r="O27" s="128"/>
      <c r="P27" s="128"/>
    </row>
    <row r="28" spans="1:16" s="120" customFormat="1" ht="25.5" x14ac:dyDescent="0.2">
      <c r="A28" s="350">
        <v>24</v>
      </c>
      <c r="B28" s="351" t="s">
        <v>615</v>
      </c>
      <c r="C28" s="351" t="s">
        <v>616</v>
      </c>
      <c r="D28" s="364" t="s">
        <v>156</v>
      </c>
      <c r="E28" s="359" t="s">
        <v>144</v>
      </c>
      <c r="F28" s="355"/>
      <c r="G28" s="355"/>
      <c r="H28" s="351" t="s">
        <v>189</v>
      </c>
      <c r="I28" s="357" t="s">
        <v>51</v>
      </c>
      <c r="J28" s="363">
        <v>11.0466</v>
      </c>
      <c r="K28" s="128"/>
      <c r="L28" s="128"/>
      <c r="M28" s="128"/>
      <c r="N28" s="128"/>
      <c r="O28" s="128"/>
      <c r="P28" s="128"/>
    </row>
    <row r="29" spans="1:16" s="299" customFormat="1" ht="25.5" x14ac:dyDescent="0.2">
      <c r="A29" s="350">
        <v>25</v>
      </c>
      <c r="B29" s="353" t="s">
        <v>615</v>
      </c>
      <c r="C29" s="353" t="s">
        <v>616</v>
      </c>
      <c r="D29" s="364" t="s">
        <v>156</v>
      </c>
      <c r="E29" s="359" t="s">
        <v>145</v>
      </c>
      <c r="F29" s="355"/>
      <c r="G29" s="355"/>
      <c r="H29" s="351" t="s">
        <v>190</v>
      </c>
      <c r="I29" s="357" t="s">
        <v>12</v>
      </c>
      <c r="J29" s="363">
        <v>6.8400000000000007</v>
      </c>
      <c r="K29" s="128"/>
      <c r="L29" s="128"/>
      <c r="M29" s="128"/>
      <c r="N29" s="128"/>
      <c r="O29" s="128"/>
      <c r="P29" s="128"/>
    </row>
    <row r="30" spans="1:16" s="299" customFormat="1" ht="25.5" x14ac:dyDescent="0.2">
      <c r="A30" s="350">
        <v>26</v>
      </c>
      <c r="B30" s="353" t="s">
        <v>615</v>
      </c>
      <c r="C30" s="353" t="s">
        <v>616</v>
      </c>
      <c r="D30" s="364" t="s">
        <v>156</v>
      </c>
      <c r="E30" s="359" t="s">
        <v>147</v>
      </c>
      <c r="F30" s="355"/>
      <c r="G30" s="355"/>
      <c r="H30" s="351" t="s">
        <v>192</v>
      </c>
      <c r="I30" s="357" t="s">
        <v>5</v>
      </c>
      <c r="J30" s="363">
        <v>1.5229999999999999</v>
      </c>
      <c r="K30" s="128"/>
      <c r="L30" s="128"/>
      <c r="M30" s="128"/>
      <c r="N30" s="128"/>
      <c r="O30" s="128"/>
      <c r="P30" s="128"/>
    </row>
    <row r="31" spans="1:16" s="120" customFormat="1" x14ac:dyDescent="0.2">
      <c r="A31" s="350">
        <v>27</v>
      </c>
      <c r="B31" s="351" t="s">
        <v>615</v>
      </c>
      <c r="C31" s="351" t="s">
        <v>616</v>
      </c>
      <c r="D31" s="364" t="s">
        <v>156</v>
      </c>
      <c r="E31" s="359" t="s">
        <v>370</v>
      </c>
      <c r="F31" s="355"/>
      <c r="G31" s="355"/>
      <c r="H31" s="351" t="s">
        <v>371</v>
      </c>
      <c r="I31" s="357" t="s">
        <v>25</v>
      </c>
      <c r="J31" s="363">
        <v>20.21</v>
      </c>
      <c r="K31" s="128"/>
      <c r="L31" s="128"/>
      <c r="M31" s="128"/>
      <c r="N31" s="128"/>
      <c r="O31" s="128"/>
      <c r="P31" s="128"/>
    </row>
    <row r="32" spans="1:16" s="120" customFormat="1" x14ac:dyDescent="0.2">
      <c r="A32" s="350">
        <v>28</v>
      </c>
      <c r="B32" s="351" t="s">
        <v>615</v>
      </c>
      <c r="C32" s="351" t="s">
        <v>616</v>
      </c>
      <c r="D32" s="364" t="s">
        <v>156</v>
      </c>
      <c r="E32" s="375" t="s">
        <v>214</v>
      </c>
      <c r="F32" s="360"/>
      <c r="G32" s="360"/>
      <c r="H32" s="367" t="s">
        <v>215</v>
      </c>
      <c r="I32" s="362" t="s">
        <v>8</v>
      </c>
      <c r="J32" s="363">
        <v>1</v>
      </c>
      <c r="K32" s="128"/>
      <c r="L32" s="128"/>
      <c r="M32" s="128"/>
      <c r="N32" s="128"/>
      <c r="O32" s="128"/>
      <c r="P32" s="128"/>
    </row>
    <row r="33" spans="1:16" s="299" customFormat="1" ht="25.5" x14ac:dyDescent="0.2">
      <c r="A33" s="350">
        <v>29</v>
      </c>
      <c r="B33" s="353" t="s">
        <v>615</v>
      </c>
      <c r="C33" s="353" t="s">
        <v>616</v>
      </c>
      <c r="D33" s="364" t="s">
        <v>156</v>
      </c>
      <c r="E33" s="359" t="s">
        <v>218</v>
      </c>
      <c r="F33" s="355"/>
      <c r="G33" s="355"/>
      <c r="H33" s="351" t="s">
        <v>219</v>
      </c>
      <c r="I33" s="357" t="s">
        <v>12</v>
      </c>
      <c r="J33" s="363">
        <v>17.28</v>
      </c>
      <c r="K33" s="128"/>
      <c r="L33" s="128"/>
      <c r="M33" s="128"/>
      <c r="N33" s="128"/>
      <c r="O33" s="128"/>
      <c r="P33" s="128"/>
    </row>
    <row r="34" spans="1:16" s="299" customFormat="1" ht="25.5" x14ac:dyDescent="0.2">
      <c r="A34" s="350">
        <v>30</v>
      </c>
      <c r="B34" s="353" t="s">
        <v>615</v>
      </c>
      <c r="C34" s="353" t="s">
        <v>616</v>
      </c>
      <c r="D34" s="364" t="s">
        <v>156</v>
      </c>
      <c r="E34" s="359" t="s">
        <v>222</v>
      </c>
      <c r="F34" s="355"/>
      <c r="G34" s="355"/>
      <c r="H34" s="351" t="s">
        <v>223</v>
      </c>
      <c r="I34" s="357" t="s">
        <v>25</v>
      </c>
      <c r="J34" s="363">
        <v>22.96</v>
      </c>
      <c r="K34" s="128"/>
      <c r="L34" s="128"/>
      <c r="M34" s="128"/>
      <c r="N34" s="128"/>
      <c r="O34" s="128"/>
      <c r="P34" s="128"/>
    </row>
    <row r="35" spans="1:16" ht="25.5" x14ac:dyDescent="0.2">
      <c r="A35" s="350">
        <v>31</v>
      </c>
      <c r="B35" s="350" t="s">
        <v>615</v>
      </c>
      <c r="C35" s="350" t="s">
        <v>616</v>
      </c>
      <c r="D35" s="364" t="s">
        <v>156</v>
      </c>
      <c r="E35" s="359" t="s">
        <v>372</v>
      </c>
      <c r="F35" s="355"/>
      <c r="G35" s="355"/>
      <c r="H35" s="351" t="s">
        <v>373</v>
      </c>
      <c r="I35" s="357" t="s">
        <v>25</v>
      </c>
      <c r="J35" s="363">
        <v>21.24</v>
      </c>
    </row>
    <row r="36" spans="1:16" x14ac:dyDescent="0.2">
      <c r="A36" s="350">
        <v>32</v>
      </c>
      <c r="B36" s="350" t="s">
        <v>615</v>
      </c>
      <c r="C36" s="350" t="s">
        <v>616</v>
      </c>
      <c r="D36" s="364" t="s">
        <v>156</v>
      </c>
      <c r="E36" s="359" t="s">
        <v>226</v>
      </c>
      <c r="F36" s="355"/>
      <c r="G36" s="355"/>
      <c r="H36" s="351" t="s">
        <v>227</v>
      </c>
      <c r="I36" s="357" t="s">
        <v>8</v>
      </c>
      <c r="J36" s="363">
        <v>125</v>
      </c>
    </row>
    <row r="37" spans="1:16" s="120" customFormat="1" ht="29.25" customHeight="1" x14ac:dyDescent="0.2">
      <c r="A37" s="350">
        <v>33</v>
      </c>
      <c r="B37" s="351" t="s">
        <v>615</v>
      </c>
      <c r="C37" s="351" t="s">
        <v>616</v>
      </c>
      <c r="D37" s="364" t="s">
        <v>505</v>
      </c>
      <c r="E37" s="359" t="s">
        <v>507</v>
      </c>
      <c r="F37" s="355"/>
      <c r="G37" s="355"/>
      <c r="H37" s="351" t="s">
        <v>508</v>
      </c>
      <c r="I37" s="357" t="s">
        <v>51</v>
      </c>
      <c r="J37" s="363">
        <v>1.3</v>
      </c>
      <c r="K37" s="128"/>
      <c r="L37" s="128"/>
      <c r="M37" s="128"/>
      <c r="N37" s="128"/>
      <c r="O37" s="128"/>
      <c r="P37" s="128"/>
    </row>
    <row r="38" spans="1:16" s="120" customFormat="1" ht="25.5" x14ac:dyDescent="0.2">
      <c r="A38" s="350">
        <v>34</v>
      </c>
      <c r="B38" s="351" t="s">
        <v>615</v>
      </c>
      <c r="C38" s="351" t="s">
        <v>616</v>
      </c>
      <c r="D38" s="364" t="s">
        <v>612</v>
      </c>
      <c r="E38" s="359" t="s">
        <v>374</v>
      </c>
      <c r="F38" s="355"/>
      <c r="G38" s="355"/>
      <c r="H38" s="351" t="s">
        <v>375</v>
      </c>
      <c r="I38" s="357" t="s">
        <v>51</v>
      </c>
      <c r="J38" s="363">
        <v>15</v>
      </c>
      <c r="K38" s="128"/>
      <c r="L38" s="128"/>
      <c r="M38" s="128"/>
      <c r="N38" s="128"/>
      <c r="O38" s="128"/>
      <c r="P38" s="128"/>
    </row>
    <row r="39" spans="1:16" s="120" customFormat="1" ht="25.5" x14ac:dyDescent="0.2">
      <c r="A39" s="350">
        <v>35</v>
      </c>
      <c r="B39" s="351" t="s">
        <v>615</v>
      </c>
      <c r="C39" s="351" t="s">
        <v>616</v>
      </c>
      <c r="D39" s="364" t="s">
        <v>612</v>
      </c>
      <c r="E39" s="359" t="s">
        <v>376</v>
      </c>
      <c r="F39" s="355"/>
      <c r="G39" s="355"/>
      <c r="H39" s="351" t="s">
        <v>377</v>
      </c>
      <c r="I39" s="357" t="s">
        <v>12</v>
      </c>
      <c r="J39" s="363">
        <v>26</v>
      </c>
      <c r="K39" s="128"/>
      <c r="L39" s="128"/>
      <c r="M39" s="128"/>
      <c r="N39" s="128"/>
      <c r="O39" s="128"/>
      <c r="P39" s="128"/>
    </row>
    <row r="40" spans="1:16" s="120" customFormat="1" ht="25.5" x14ac:dyDescent="0.2">
      <c r="A40" s="350">
        <v>36</v>
      </c>
      <c r="B40" s="351" t="s">
        <v>615</v>
      </c>
      <c r="C40" s="351" t="s">
        <v>616</v>
      </c>
      <c r="D40" s="364" t="s">
        <v>248</v>
      </c>
      <c r="E40" s="359" t="s">
        <v>228</v>
      </c>
      <c r="F40" s="355"/>
      <c r="G40" s="355"/>
      <c r="H40" s="351" t="s">
        <v>229</v>
      </c>
      <c r="I40" s="357" t="s">
        <v>12</v>
      </c>
      <c r="J40" s="363">
        <v>204</v>
      </c>
      <c r="K40" s="128"/>
      <c r="L40" s="128"/>
      <c r="M40" s="128"/>
      <c r="N40" s="128"/>
      <c r="O40" s="128"/>
      <c r="P40" s="128"/>
    </row>
    <row r="41" spans="1:16" s="120" customFormat="1" ht="25.5" x14ac:dyDescent="0.2">
      <c r="A41" s="350">
        <v>37</v>
      </c>
      <c r="B41" s="351" t="s">
        <v>615</v>
      </c>
      <c r="C41" s="351" t="s">
        <v>616</v>
      </c>
      <c r="D41" s="364" t="s">
        <v>248</v>
      </c>
      <c r="E41" s="359" t="s">
        <v>380</v>
      </c>
      <c r="F41" s="355"/>
      <c r="G41" s="355"/>
      <c r="H41" s="351" t="s">
        <v>381</v>
      </c>
      <c r="I41" s="357" t="s">
        <v>51</v>
      </c>
      <c r="J41" s="363">
        <v>21.42</v>
      </c>
      <c r="K41" s="128"/>
      <c r="L41" s="128"/>
      <c r="M41" s="128"/>
      <c r="N41" s="128"/>
      <c r="O41" s="128"/>
      <c r="P41" s="128"/>
    </row>
    <row r="42" spans="1:16" s="120" customFormat="1" ht="25.5" x14ac:dyDescent="0.2">
      <c r="A42" s="350">
        <v>38</v>
      </c>
      <c r="B42" s="351" t="s">
        <v>615</v>
      </c>
      <c r="C42" s="351" t="s">
        <v>616</v>
      </c>
      <c r="D42" s="364" t="s">
        <v>248</v>
      </c>
      <c r="E42" s="359" t="s">
        <v>230</v>
      </c>
      <c r="F42" s="355"/>
      <c r="G42" s="355"/>
      <c r="H42" s="351" t="s">
        <v>231</v>
      </c>
      <c r="I42" s="357" t="s">
        <v>12</v>
      </c>
      <c r="J42" s="363">
        <v>30.549999999999997</v>
      </c>
      <c r="K42" s="128"/>
      <c r="L42" s="128"/>
      <c r="M42" s="128"/>
      <c r="N42" s="128"/>
      <c r="O42" s="128"/>
      <c r="P42" s="128"/>
    </row>
    <row r="43" spans="1:16" s="120" customFormat="1" ht="25.5" x14ac:dyDescent="0.2">
      <c r="A43" s="350">
        <v>39</v>
      </c>
      <c r="B43" s="351" t="s">
        <v>615</v>
      </c>
      <c r="C43" s="351" t="s">
        <v>616</v>
      </c>
      <c r="D43" s="373" t="s">
        <v>248</v>
      </c>
      <c r="E43" s="375" t="s">
        <v>510</v>
      </c>
      <c r="F43" s="360"/>
      <c r="G43" s="360"/>
      <c r="H43" s="367" t="s">
        <v>511</v>
      </c>
      <c r="I43" s="362" t="s">
        <v>12</v>
      </c>
      <c r="J43" s="363">
        <v>36</v>
      </c>
      <c r="K43" s="128"/>
      <c r="L43" s="128"/>
      <c r="M43" s="128"/>
      <c r="N43" s="128"/>
      <c r="O43" s="128"/>
      <c r="P43" s="128"/>
    </row>
    <row r="44" spans="1:16" s="120" customFormat="1" x14ac:dyDescent="0.2">
      <c r="A44" s="350">
        <v>40</v>
      </c>
      <c r="B44" s="351" t="s">
        <v>615</v>
      </c>
      <c r="C44" s="351" t="s">
        <v>616</v>
      </c>
      <c r="D44" s="373" t="s">
        <v>248</v>
      </c>
      <c r="E44" s="359" t="s">
        <v>539</v>
      </c>
      <c r="F44" s="355"/>
      <c r="G44" s="355"/>
      <c r="H44" s="351" t="s">
        <v>540</v>
      </c>
      <c r="I44" s="357" t="s">
        <v>25</v>
      </c>
      <c r="J44" s="363">
        <v>40</v>
      </c>
      <c r="K44" s="128"/>
      <c r="L44" s="128"/>
      <c r="M44" s="128"/>
      <c r="N44" s="128"/>
      <c r="O44" s="128"/>
      <c r="P44" s="128"/>
    </row>
    <row r="45" spans="1:16" s="120" customFormat="1" ht="25.5" x14ac:dyDescent="0.2">
      <c r="A45" s="350">
        <v>41</v>
      </c>
      <c r="B45" s="351" t="s">
        <v>615</v>
      </c>
      <c r="C45" s="351" t="s">
        <v>616</v>
      </c>
      <c r="D45" s="364" t="s">
        <v>248</v>
      </c>
      <c r="E45" s="359" t="s">
        <v>238</v>
      </c>
      <c r="F45" s="355"/>
      <c r="G45" s="355"/>
      <c r="H45" s="351" t="s">
        <v>239</v>
      </c>
      <c r="I45" s="357" t="s">
        <v>8</v>
      </c>
      <c r="J45" s="363">
        <v>2</v>
      </c>
      <c r="K45" s="128"/>
      <c r="L45" s="128"/>
      <c r="M45" s="128"/>
      <c r="N45" s="128"/>
      <c r="O45" s="128"/>
      <c r="P45" s="128"/>
    </row>
    <row r="46" spans="1:16" s="120" customFormat="1" x14ac:dyDescent="0.2">
      <c r="A46" s="350">
        <v>42</v>
      </c>
      <c r="B46" s="351" t="s">
        <v>615</v>
      </c>
      <c r="C46" s="351" t="s">
        <v>616</v>
      </c>
      <c r="D46" s="364" t="s">
        <v>248</v>
      </c>
      <c r="E46" s="359" t="s">
        <v>240</v>
      </c>
      <c r="F46" s="355"/>
      <c r="G46" s="355"/>
      <c r="H46" s="351" t="s">
        <v>241</v>
      </c>
      <c r="I46" s="357" t="s">
        <v>25</v>
      </c>
      <c r="J46" s="363">
        <v>45.97</v>
      </c>
      <c r="K46" s="128"/>
      <c r="L46" s="128"/>
      <c r="M46" s="128"/>
      <c r="N46" s="128"/>
      <c r="O46" s="128"/>
      <c r="P46" s="128"/>
    </row>
    <row r="47" spans="1:16" s="120" customFormat="1" x14ac:dyDescent="0.2">
      <c r="A47" s="350">
        <v>43</v>
      </c>
      <c r="B47" s="351" t="s">
        <v>615</v>
      </c>
      <c r="C47" s="351" t="s">
        <v>616</v>
      </c>
      <c r="D47" s="364" t="s">
        <v>248</v>
      </c>
      <c r="E47" s="375" t="s">
        <v>242</v>
      </c>
      <c r="F47" s="360"/>
      <c r="G47" s="360"/>
      <c r="H47" s="367" t="s">
        <v>243</v>
      </c>
      <c r="I47" s="362" t="s">
        <v>25</v>
      </c>
      <c r="J47" s="363">
        <v>10</v>
      </c>
      <c r="K47" s="128"/>
      <c r="L47" s="128"/>
      <c r="M47" s="128"/>
      <c r="N47" s="128"/>
      <c r="O47" s="128"/>
      <c r="P47" s="128"/>
    </row>
    <row r="48" spans="1:16" s="120" customFormat="1" ht="25.5" x14ac:dyDescent="0.2">
      <c r="A48" s="350">
        <v>44</v>
      </c>
      <c r="B48" s="351" t="s">
        <v>615</v>
      </c>
      <c r="C48" s="351" t="s">
        <v>616</v>
      </c>
      <c r="D48" s="373" t="s">
        <v>78</v>
      </c>
      <c r="E48" s="375" t="s">
        <v>29</v>
      </c>
      <c r="F48" s="360"/>
      <c r="G48" s="360"/>
      <c r="H48" s="367" t="s">
        <v>50</v>
      </c>
      <c r="I48" s="362" t="s">
        <v>12</v>
      </c>
      <c r="J48" s="363">
        <v>12</v>
      </c>
      <c r="K48" s="128"/>
      <c r="L48" s="128"/>
      <c r="M48" s="128"/>
      <c r="N48" s="128"/>
      <c r="O48" s="128"/>
      <c r="P48" s="128"/>
    </row>
    <row r="49" spans="1:16" s="120" customFormat="1" ht="25.5" x14ac:dyDescent="0.2">
      <c r="A49" s="350">
        <v>45</v>
      </c>
      <c r="B49" s="351" t="s">
        <v>615</v>
      </c>
      <c r="C49" s="351" t="s">
        <v>616</v>
      </c>
      <c r="D49" s="364" t="s">
        <v>78</v>
      </c>
      <c r="E49" s="359" t="s">
        <v>46</v>
      </c>
      <c r="F49" s="355"/>
      <c r="G49" s="355"/>
      <c r="H49" s="351" t="s">
        <v>43</v>
      </c>
      <c r="I49" s="357" t="s">
        <v>12</v>
      </c>
      <c r="J49" s="363">
        <v>65</v>
      </c>
      <c r="K49" s="128"/>
      <c r="L49" s="128"/>
      <c r="M49" s="128"/>
      <c r="N49" s="128"/>
      <c r="O49" s="128"/>
      <c r="P49" s="128"/>
    </row>
    <row r="50" spans="1:16" s="120" customFormat="1" ht="26.25" customHeight="1" x14ac:dyDescent="0.2">
      <c r="A50" s="350">
        <v>46</v>
      </c>
      <c r="B50" s="351" t="s">
        <v>615</v>
      </c>
      <c r="C50" s="351" t="s">
        <v>616</v>
      </c>
      <c r="D50" s="364" t="s">
        <v>78</v>
      </c>
      <c r="E50" s="359" t="s">
        <v>48</v>
      </c>
      <c r="F50" s="355"/>
      <c r="G50" s="355"/>
      <c r="H50" s="351" t="s">
        <v>19</v>
      </c>
      <c r="I50" s="357" t="s">
        <v>12</v>
      </c>
      <c r="J50" s="363">
        <v>119.95</v>
      </c>
      <c r="K50" s="128"/>
      <c r="L50" s="128"/>
      <c r="M50" s="128"/>
      <c r="N50" s="128"/>
      <c r="O50" s="128"/>
      <c r="P50" s="128"/>
    </row>
    <row r="51" spans="1:16" s="8" customFormat="1" ht="25.5" x14ac:dyDescent="0.2">
      <c r="A51" s="350">
        <v>47</v>
      </c>
      <c r="B51" s="349" t="s">
        <v>615</v>
      </c>
      <c r="C51" s="349" t="s">
        <v>616</v>
      </c>
      <c r="D51" s="364" t="s">
        <v>80</v>
      </c>
      <c r="E51" s="359" t="s">
        <v>82</v>
      </c>
      <c r="F51" s="355"/>
      <c r="G51" s="355"/>
      <c r="H51" s="351" t="s">
        <v>83</v>
      </c>
      <c r="I51" s="357" t="s">
        <v>25</v>
      </c>
      <c r="J51" s="363">
        <v>30</v>
      </c>
    </row>
    <row r="52" spans="1:16" s="8" customFormat="1" x14ac:dyDescent="0.2">
      <c r="A52" s="350">
        <v>48</v>
      </c>
      <c r="B52" s="349" t="s">
        <v>615</v>
      </c>
      <c r="C52" s="349" t="s">
        <v>616</v>
      </c>
      <c r="D52" s="373" t="s">
        <v>80</v>
      </c>
      <c r="E52" s="375" t="s">
        <v>404</v>
      </c>
      <c r="F52" s="360"/>
      <c r="G52" s="360"/>
      <c r="H52" s="367" t="s">
        <v>405</v>
      </c>
      <c r="I52" s="362" t="s">
        <v>25</v>
      </c>
      <c r="J52" s="363">
        <v>28</v>
      </c>
    </row>
    <row r="53" spans="1:16" s="120" customFormat="1" ht="25.5" x14ac:dyDescent="0.2">
      <c r="A53" s="350">
        <v>49</v>
      </c>
      <c r="B53" s="351" t="s">
        <v>615</v>
      </c>
      <c r="C53" s="351" t="s">
        <v>616</v>
      </c>
      <c r="D53" s="364" t="s">
        <v>86</v>
      </c>
      <c r="E53" s="359" t="s">
        <v>88</v>
      </c>
      <c r="F53" s="355"/>
      <c r="G53" s="355"/>
      <c r="H53" s="351" t="s">
        <v>89</v>
      </c>
      <c r="I53" s="357" t="s">
        <v>25</v>
      </c>
      <c r="J53" s="363">
        <v>21.900000000000002</v>
      </c>
      <c r="K53" s="128"/>
      <c r="L53" s="128"/>
      <c r="M53" s="128"/>
      <c r="N53" s="128"/>
      <c r="O53" s="128"/>
      <c r="P53" s="128"/>
    </row>
    <row r="54" spans="1:16" s="120" customFormat="1" x14ac:dyDescent="0.2">
      <c r="A54" s="350">
        <v>50</v>
      </c>
      <c r="B54" s="351" t="s">
        <v>615</v>
      </c>
      <c r="C54" s="351" t="s">
        <v>616</v>
      </c>
      <c r="D54" s="373" t="s">
        <v>86</v>
      </c>
      <c r="E54" s="375" t="s">
        <v>280</v>
      </c>
      <c r="F54" s="360"/>
      <c r="G54" s="360"/>
      <c r="H54" s="367" t="s">
        <v>281</v>
      </c>
      <c r="I54" s="362" t="s">
        <v>25</v>
      </c>
      <c r="J54" s="363">
        <v>45</v>
      </c>
      <c r="K54" s="128"/>
      <c r="L54" s="128"/>
      <c r="M54" s="128"/>
      <c r="N54" s="128"/>
      <c r="O54" s="128"/>
      <c r="P54" s="128"/>
    </row>
    <row r="55" spans="1:16" s="120" customFormat="1" ht="32.25" customHeight="1" x14ac:dyDescent="0.2">
      <c r="A55" s="350">
        <v>51</v>
      </c>
      <c r="B55" s="351" t="s">
        <v>615</v>
      </c>
      <c r="C55" s="351" t="s">
        <v>616</v>
      </c>
      <c r="D55" s="364" t="s">
        <v>86</v>
      </c>
      <c r="E55" s="359" t="s">
        <v>534</v>
      </c>
      <c r="F55" s="355"/>
      <c r="G55" s="355"/>
      <c r="H55" s="351" t="s">
        <v>535</v>
      </c>
      <c r="I55" s="357" t="s">
        <v>8</v>
      </c>
      <c r="J55" s="363">
        <v>11</v>
      </c>
      <c r="K55" s="128"/>
      <c r="L55" s="128"/>
      <c r="M55" s="128"/>
      <c r="N55" s="128"/>
      <c r="O55" s="128"/>
      <c r="P55" s="128"/>
    </row>
    <row r="56" spans="1:16" s="120" customFormat="1" ht="25.5" x14ac:dyDescent="0.2">
      <c r="A56" s="350">
        <v>52</v>
      </c>
      <c r="B56" s="351" t="s">
        <v>615</v>
      </c>
      <c r="C56" s="351" t="s">
        <v>616</v>
      </c>
      <c r="D56" s="364" t="s">
        <v>412</v>
      </c>
      <c r="E56" s="359" t="s">
        <v>438</v>
      </c>
      <c r="F56" s="355"/>
      <c r="G56" s="355"/>
      <c r="H56" s="351" t="s">
        <v>439</v>
      </c>
      <c r="I56" s="357" t="s">
        <v>12</v>
      </c>
      <c r="J56" s="363">
        <v>0.24492000000000003</v>
      </c>
      <c r="K56" s="128"/>
      <c r="L56" s="128"/>
      <c r="M56" s="128"/>
      <c r="N56" s="128"/>
      <c r="O56" s="128"/>
      <c r="P56" s="128"/>
    </row>
    <row r="57" spans="1:16" s="120" customFormat="1" ht="25.5" x14ac:dyDescent="0.2">
      <c r="A57" s="350">
        <v>53</v>
      </c>
      <c r="B57" s="351" t="s">
        <v>615</v>
      </c>
      <c r="C57" s="351" t="s">
        <v>616</v>
      </c>
      <c r="D57" s="364" t="s">
        <v>412</v>
      </c>
      <c r="E57" s="359" t="s">
        <v>441</v>
      </c>
      <c r="F57" s="355"/>
      <c r="G57" s="355"/>
      <c r="H57" s="351" t="s">
        <v>442</v>
      </c>
      <c r="I57" s="357" t="s">
        <v>12</v>
      </c>
      <c r="J57" s="363">
        <v>54.625</v>
      </c>
      <c r="K57" s="128"/>
      <c r="L57" s="128"/>
      <c r="M57" s="128"/>
      <c r="N57" s="128"/>
      <c r="O57" s="128"/>
      <c r="P57" s="128"/>
    </row>
    <row r="58" spans="1:16" s="120" customFormat="1" ht="25.5" x14ac:dyDescent="0.2">
      <c r="A58" s="350">
        <v>54</v>
      </c>
      <c r="B58" s="351" t="s">
        <v>615</v>
      </c>
      <c r="C58" s="351" t="s">
        <v>616</v>
      </c>
      <c r="D58" s="364" t="s">
        <v>412</v>
      </c>
      <c r="E58" s="359" t="s">
        <v>443</v>
      </c>
      <c r="F58" s="355"/>
      <c r="G58" s="355"/>
      <c r="H58" s="351" t="s">
        <v>444</v>
      </c>
      <c r="I58" s="357" t="s">
        <v>12</v>
      </c>
      <c r="J58" s="363">
        <v>50.45</v>
      </c>
      <c r="K58" s="128"/>
      <c r="L58" s="128"/>
      <c r="M58" s="128"/>
      <c r="N58" s="128"/>
      <c r="O58" s="128"/>
      <c r="P58" s="128"/>
    </row>
    <row r="59" spans="1:16" s="120" customFormat="1" ht="25.5" customHeight="1" x14ac:dyDescent="0.2">
      <c r="A59" s="350">
        <v>55</v>
      </c>
      <c r="B59" s="351" t="s">
        <v>615</v>
      </c>
      <c r="C59" s="351" t="s">
        <v>616</v>
      </c>
      <c r="D59" s="364" t="s">
        <v>414</v>
      </c>
      <c r="E59" s="359" t="s">
        <v>445</v>
      </c>
      <c r="F59" s="355"/>
      <c r="G59" s="355"/>
      <c r="H59" s="351" t="s">
        <v>446</v>
      </c>
      <c r="I59" s="357" t="s">
        <v>12</v>
      </c>
      <c r="J59" s="363">
        <v>219.0488</v>
      </c>
      <c r="K59" s="128"/>
      <c r="L59" s="128"/>
      <c r="M59" s="128"/>
      <c r="N59" s="128"/>
      <c r="O59" s="128"/>
      <c r="P59" s="12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4"/>
  <dimension ref="A2:L59"/>
  <sheetViews>
    <sheetView zoomScaleNormal="100" zoomScaleSheetLayoutView="70" workbookViewId="0">
      <pane ySplit="4" topLeftCell="A5" activePane="bottomLeft" state="frozen"/>
      <selection pane="bottomLeft" activeCell="C7" sqref="C7"/>
    </sheetView>
  </sheetViews>
  <sheetFormatPr defaultRowHeight="12.75" x14ac:dyDescent="0.2"/>
  <cols>
    <col min="1" max="1" width="4.7109375" style="128" customWidth="1"/>
    <col min="2" max="2" width="9" style="168" customWidth="1"/>
    <col min="3" max="3" width="10" style="374" customWidth="1"/>
    <col min="4" max="4" width="51.85546875" style="128" customWidth="1"/>
    <col min="5" max="5" width="4.5703125" style="128" customWidth="1"/>
    <col min="6" max="6" width="11.28515625" style="368" customWidth="1"/>
    <col min="7" max="7" width="6.28515625" style="128" customWidth="1"/>
    <col min="8" max="16384" width="9.140625" style="128"/>
  </cols>
  <sheetData>
    <row r="2" spans="1:6" x14ac:dyDescent="0.2">
      <c r="B2" s="37" t="s">
        <v>149</v>
      </c>
      <c r="C2" s="34"/>
      <c r="D2" s="36" t="s">
        <v>459</v>
      </c>
      <c r="E2" s="37"/>
      <c r="F2" s="369"/>
    </row>
    <row r="3" spans="1:6" ht="13.5" thickBot="1" x14ac:dyDescent="0.25">
      <c r="B3" s="43" t="s">
        <v>150</v>
      </c>
      <c r="C3" s="34"/>
      <c r="D3" s="42">
        <v>2141</v>
      </c>
      <c r="E3" s="43"/>
      <c r="F3" s="369"/>
    </row>
    <row r="4" spans="1:6" x14ac:dyDescent="0.2">
      <c r="A4" s="350" t="s">
        <v>617</v>
      </c>
      <c r="B4" s="346" t="s">
        <v>285</v>
      </c>
      <c r="C4" s="346" t="s">
        <v>286</v>
      </c>
      <c r="D4" s="347" t="s">
        <v>620</v>
      </c>
      <c r="E4" s="348" t="s">
        <v>153</v>
      </c>
      <c r="F4" s="370" t="s">
        <v>621</v>
      </c>
    </row>
    <row r="5" spans="1:6" ht="25.5" x14ac:dyDescent="0.2">
      <c r="A5" s="350">
        <v>1</v>
      </c>
      <c r="B5" s="354" t="s">
        <v>288</v>
      </c>
      <c r="C5" s="359" t="s">
        <v>290</v>
      </c>
      <c r="D5" s="356" t="s">
        <v>291</v>
      </c>
      <c r="E5" s="357" t="s">
        <v>51</v>
      </c>
      <c r="F5" s="358">
        <v>11.25</v>
      </c>
    </row>
    <row r="6" spans="1:6" ht="25.5" customHeight="1" x14ac:dyDescent="0.2">
      <c r="A6" s="350">
        <v>2</v>
      </c>
      <c r="B6" s="354" t="s">
        <v>288</v>
      </c>
      <c r="C6" s="359" t="s">
        <v>292</v>
      </c>
      <c r="D6" s="356" t="s">
        <v>293</v>
      </c>
      <c r="E6" s="357" t="s">
        <v>12</v>
      </c>
      <c r="F6" s="358">
        <v>70</v>
      </c>
    </row>
    <row r="7" spans="1:6" ht="25.5" x14ac:dyDescent="0.2">
      <c r="A7" s="350">
        <v>3</v>
      </c>
      <c r="B7" s="354" t="s">
        <v>288</v>
      </c>
      <c r="C7" s="359" t="s">
        <v>294</v>
      </c>
      <c r="D7" s="356" t="s">
        <v>295</v>
      </c>
      <c r="E7" s="357" t="s">
        <v>12</v>
      </c>
      <c r="F7" s="358">
        <v>80</v>
      </c>
    </row>
    <row r="8" spans="1:6" ht="25.5" customHeight="1" x14ac:dyDescent="0.2">
      <c r="A8" s="350">
        <v>4</v>
      </c>
      <c r="B8" s="354" t="s">
        <v>288</v>
      </c>
      <c r="C8" s="359" t="s">
        <v>299</v>
      </c>
      <c r="D8" s="356" t="s">
        <v>300</v>
      </c>
      <c r="E8" s="357" t="s">
        <v>12</v>
      </c>
      <c r="F8" s="358">
        <v>178.4</v>
      </c>
    </row>
    <row r="9" spans="1:6" ht="25.5" customHeight="1" x14ac:dyDescent="0.2">
      <c r="A9" s="350">
        <v>5</v>
      </c>
      <c r="B9" s="354" t="s">
        <v>288</v>
      </c>
      <c r="C9" s="359" t="s">
        <v>303</v>
      </c>
      <c r="D9" s="356" t="s">
        <v>304</v>
      </c>
      <c r="E9" s="357" t="s">
        <v>25</v>
      </c>
      <c r="F9" s="358">
        <v>46.12</v>
      </c>
    </row>
    <row r="10" spans="1:6" ht="25.5" customHeight="1" x14ac:dyDescent="0.2">
      <c r="A10" s="350">
        <v>6</v>
      </c>
      <c r="B10" s="354" t="s">
        <v>288</v>
      </c>
      <c r="C10" s="359" t="s">
        <v>307</v>
      </c>
      <c r="D10" s="356" t="s">
        <v>308</v>
      </c>
      <c r="E10" s="357" t="s">
        <v>25</v>
      </c>
      <c r="F10" s="358">
        <v>46.12</v>
      </c>
    </row>
    <row r="11" spans="1:6" ht="25.5" x14ac:dyDescent="0.2">
      <c r="A11" s="350">
        <v>7</v>
      </c>
      <c r="B11" s="354" t="s">
        <v>288</v>
      </c>
      <c r="C11" s="359" t="s">
        <v>313</v>
      </c>
      <c r="D11" s="356" t="s">
        <v>314</v>
      </c>
      <c r="E11" s="357" t="s">
        <v>15</v>
      </c>
      <c r="F11" s="358">
        <v>10.6</v>
      </c>
    </row>
    <row r="12" spans="1:6" x14ac:dyDescent="0.2">
      <c r="A12" s="350">
        <v>8</v>
      </c>
      <c r="B12" s="354" t="s">
        <v>288</v>
      </c>
      <c r="C12" s="359" t="s">
        <v>318</v>
      </c>
      <c r="D12" s="356" t="s">
        <v>319</v>
      </c>
      <c r="E12" s="357" t="s">
        <v>12</v>
      </c>
      <c r="F12" s="358">
        <v>50</v>
      </c>
    </row>
    <row r="13" spans="1:6" x14ac:dyDescent="0.2">
      <c r="A13" s="350">
        <v>9</v>
      </c>
      <c r="B13" s="354" t="s">
        <v>288</v>
      </c>
      <c r="C13" s="359" t="s">
        <v>546</v>
      </c>
      <c r="D13" s="356" t="s">
        <v>547</v>
      </c>
      <c r="E13" s="357" t="s">
        <v>548</v>
      </c>
      <c r="F13" s="358">
        <v>10510.000000000002</v>
      </c>
    </row>
    <row r="14" spans="1:6" x14ac:dyDescent="0.2">
      <c r="A14" s="350">
        <v>10</v>
      </c>
      <c r="B14" s="354" t="s">
        <v>288</v>
      </c>
      <c r="C14" s="359" t="s">
        <v>309</v>
      </c>
      <c r="D14" s="356" t="s">
        <v>310</v>
      </c>
      <c r="E14" s="357" t="s">
        <v>5</v>
      </c>
      <c r="F14" s="358">
        <v>99.243200000000002</v>
      </c>
    </row>
    <row r="15" spans="1:6" s="120" customFormat="1" x14ac:dyDescent="0.2">
      <c r="A15" s="350">
        <v>11</v>
      </c>
      <c r="B15" s="354" t="s">
        <v>322</v>
      </c>
      <c r="C15" s="375" t="s">
        <v>324</v>
      </c>
      <c r="D15" s="361" t="s">
        <v>325</v>
      </c>
      <c r="E15" s="362" t="s">
        <v>12</v>
      </c>
      <c r="F15" s="363">
        <v>100</v>
      </c>
    </row>
    <row r="16" spans="1:6" s="120" customFormat="1" x14ac:dyDescent="0.2">
      <c r="A16" s="350">
        <v>12</v>
      </c>
      <c r="B16" s="354" t="s">
        <v>322</v>
      </c>
      <c r="C16" s="375" t="s">
        <v>329</v>
      </c>
      <c r="D16" s="361" t="s">
        <v>330</v>
      </c>
      <c r="E16" s="362" t="s">
        <v>12</v>
      </c>
      <c r="F16" s="363">
        <v>50</v>
      </c>
    </row>
    <row r="17" spans="1:12" s="120" customFormat="1" x14ac:dyDescent="0.2">
      <c r="A17" s="350">
        <v>13</v>
      </c>
      <c r="B17" s="364" t="s">
        <v>333</v>
      </c>
      <c r="C17" s="359" t="s">
        <v>557</v>
      </c>
      <c r="D17" s="356" t="s">
        <v>558</v>
      </c>
      <c r="E17" s="346" t="s">
        <v>51</v>
      </c>
      <c r="F17" s="358">
        <v>15</v>
      </c>
    </row>
    <row r="18" spans="1:12" s="120" customFormat="1" x14ac:dyDescent="0.2">
      <c r="A18" s="350">
        <v>14</v>
      </c>
      <c r="B18" s="354" t="s">
        <v>333</v>
      </c>
      <c r="C18" s="359" t="s">
        <v>165</v>
      </c>
      <c r="D18" s="356" t="s">
        <v>166</v>
      </c>
      <c r="E18" s="357" t="s">
        <v>51</v>
      </c>
      <c r="F18" s="363">
        <v>22.72</v>
      </c>
    </row>
    <row r="19" spans="1:12" s="372" customFormat="1" x14ac:dyDescent="0.2">
      <c r="A19" s="350">
        <v>15</v>
      </c>
      <c r="B19" s="371" t="s">
        <v>333</v>
      </c>
      <c r="C19" s="359" t="s">
        <v>542</v>
      </c>
      <c r="D19" s="361" t="s">
        <v>578</v>
      </c>
      <c r="E19" s="357" t="s">
        <v>543</v>
      </c>
      <c r="F19" s="363">
        <v>2</v>
      </c>
    </row>
    <row r="20" spans="1:12" x14ac:dyDescent="0.2">
      <c r="A20" s="350">
        <v>16</v>
      </c>
      <c r="B20" s="354" t="s">
        <v>178</v>
      </c>
      <c r="C20" s="359" t="s">
        <v>157</v>
      </c>
      <c r="D20" s="356" t="s">
        <v>158</v>
      </c>
      <c r="E20" s="357" t="s">
        <v>51</v>
      </c>
      <c r="F20" s="363">
        <v>22.72</v>
      </c>
    </row>
    <row r="21" spans="1:12" s="8" customFormat="1" x14ac:dyDescent="0.2">
      <c r="A21" s="350">
        <v>17</v>
      </c>
      <c r="B21" s="354" t="s">
        <v>178</v>
      </c>
      <c r="C21" s="359" t="s">
        <v>161</v>
      </c>
      <c r="D21" s="356" t="s">
        <v>162</v>
      </c>
      <c r="E21" s="357" t="s">
        <v>51</v>
      </c>
      <c r="F21" s="363">
        <v>22.72</v>
      </c>
    </row>
    <row r="22" spans="1:12" ht="25.5" x14ac:dyDescent="0.2">
      <c r="A22" s="350">
        <v>18</v>
      </c>
      <c r="B22" s="364" t="s">
        <v>156</v>
      </c>
      <c r="C22" s="376" t="s">
        <v>94</v>
      </c>
      <c r="D22" s="366" t="s">
        <v>95</v>
      </c>
      <c r="E22" s="346" t="s">
        <v>51</v>
      </c>
      <c r="F22" s="358">
        <v>10.97412125</v>
      </c>
    </row>
    <row r="23" spans="1:12" s="120" customFormat="1" ht="25.5" x14ac:dyDescent="0.2">
      <c r="A23" s="350">
        <v>19</v>
      </c>
      <c r="B23" s="364" t="s">
        <v>156</v>
      </c>
      <c r="C23" s="359" t="s">
        <v>96</v>
      </c>
      <c r="D23" s="351" t="s">
        <v>97</v>
      </c>
      <c r="E23" s="357" t="s">
        <v>12</v>
      </c>
      <c r="F23" s="358">
        <v>14.669150000000002</v>
      </c>
      <c r="G23" s="128"/>
      <c r="H23" s="128"/>
      <c r="I23" s="128"/>
      <c r="J23" s="128"/>
      <c r="K23" s="128"/>
      <c r="L23" s="128"/>
    </row>
    <row r="24" spans="1:12" s="120" customFormat="1" ht="25.5" x14ac:dyDescent="0.2">
      <c r="A24" s="350">
        <v>20</v>
      </c>
      <c r="B24" s="364" t="s">
        <v>156</v>
      </c>
      <c r="C24" s="359" t="s">
        <v>100</v>
      </c>
      <c r="D24" s="351" t="s">
        <v>101</v>
      </c>
      <c r="E24" s="357" t="s">
        <v>5</v>
      </c>
      <c r="F24" s="363">
        <v>2.0590000000000002</v>
      </c>
      <c r="G24" s="128"/>
      <c r="H24" s="128"/>
      <c r="I24" s="128"/>
      <c r="J24" s="128"/>
      <c r="K24" s="128"/>
      <c r="L24" s="128"/>
    </row>
    <row r="25" spans="1:12" s="299" customFormat="1" ht="25.5" x14ac:dyDescent="0.2">
      <c r="A25" s="350">
        <v>21</v>
      </c>
      <c r="B25" s="364" t="s">
        <v>156</v>
      </c>
      <c r="C25" s="359" t="s">
        <v>127</v>
      </c>
      <c r="D25" s="351" t="s">
        <v>128</v>
      </c>
      <c r="E25" s="357" t="s">
        <v>51</v>
      </c>
      <c r="F25" s="363">
        <v>13.539239999999999</v>
      </c>
      <c r="G25" s="128"/>
      <c r="H25" s="128"/>
      <c r="I25" s="128"/>
      <c r="J25" s="128"/>
      <c r="K25" s="128"/>
      <c r="L25" s="128"/>
    </row>
    <row r="26" spans="1:12" s="120" customFormat="1" ht="25.5" x14ac:dyDescent="0.2">
      <c r="A26" s="350">
        <v>22</v>
      </c>
      <c r="B26" s="364" t="s">
        <v>156</v>
      </c>
      <c r="C26" s="359" t="s">
        <v>131</v>
      </c>
      <c r="D26" s="351" t="s">
        <v>184</v>
      </c>
      <c r="E26" s="357" t="s">
        <v>12</v>
      </c>
      <c r="F26" s="363">
        <v>41.644999999999996</v>
      </c>
      <c r="G26" s="128"/>
      <c r="H26" s="128"/>
      <c r="I26" s="128"/>
      <c r="J26" s="128"/>
      <c r="K26" s="128"/>
      <c r="L26" s="128"/>
    </row>
    <row r="27" spans="1:12" s="120" customFormat="1" ht="25.5" x14ac:dyDescent="0.2">
      <c r="A27" s="350">
        <v>23</v>
      </c>
      <c r="B27" s="364" t="s">
        <v>156</v>
      </c>
      <c r="C27" s="359" t="s">
        <v>133</v>
      </c>
      <c r="D27" s="351" t="s">
        <v>186</v>
      </c>
      <c r="E27" s="357" t="s">
        <v>5</v>
      </c>
      <c r="F27" s="363">
        <v>1.62</v>
      </c>
      <c r="G27" s="128"/>
      <c r="H27" s="128"/>
      <c r="I27" s="128"/>
      <c r="J27" s="128"/>
      <c r="K27" s="128"/>
      <c r="L27" s="128"/>
    </row>
    <row r="28" spans="1:12" s="120" customFormat="1" ht="25.5" x14ac:dyDescent="0.2">
      <c r="A28" s="350">
        <v>24</v>
      </c>
      <c r="B28" s="364" t="s">
        <v>156</v>
      </c>
      <c r="C28" s="359" t="s">
        <v>144</v>
      </c>
      <c r="D28" s="351" t="s">
        <v>189</v>
      </c>
      <c r="E28" s="357" t="s">
        <v>51</v>
      </c>
      <c r="F28" s="363">
        <v>11.0466</v>
      </c>
      <c r="G28" s="128"/>
      <c r="H28" s="128"/>
      <c r="I28" s="128"/>
      <c r="J28" s="128"/>
      <c r="K28" s="128"/>
      <c r="L28" s="128"/>
    </row>
    <row r="29" spans="1:12" s="299" customFormat="1" ht="25.5" x14ac:dyDescent="0.2">
      <c r="A29" s="350">
        <v>25</v>
      </c>
      <c r="B29" s="364" t="s">
        <v>156</v>
      </c>
      <c r="C29" s="359" t="s">
        <v>145</v>
      </c>
      <c r="D29" s="351" t="s">
        <v>190</v>
      </c>
      <c r="E29" s="357" t="s">
        <v>12</v>
      </c>
      <c r="F29" s="363">
        <v>6.8400000000000007</v>
      </c>
      <c r="G29" s="128"/>
      <c r="H29" s="128"/>
      <c r="I29" s="128"/>
      <c r="J29" s="128"/>
      <c r="K29" s="128"/>
      <c r="L29" s="128"/>
    </row>
    <row r="30" spans="1:12" s="299" customFormat="1" ht="25.5" x14ac:dyDescent="0.2">
      <c r="A30" s="350">
        <v>26</v>
      </c>
      <c r="B30" s="364" t="s">
        <v>156</v>
      </c>
      <c r="C30" s="359" t="s">
        <v>147</v>
      </c>
      <c r="D30" s="351" t="s">
        <v>192</v>
      </c>
      <c r="E30" s="357" t="s">
        <v>5</v>
      </c>
      <c r="F30" s="363">
        <v>1.5229999999999999</v>
      </c>
      <c r="G30" s="128"/>
      <c r="H30" s="128"/>
      <c r="I30" s="128"/>
      <c r="J30" s="128"/>
      <c r="K30" s="128"/>
      <c r="L30" s="128"/>
    </row>
    <row r="31" spans="1:12" s="120" customFormat="1" x14ac:dyDescent="0.2">
      <c r="A31" s="350">
        <v>27</v>
      </c>
      <c r="B31" s="364" t="s">
        <v>156</v>
      </c>
      <c r="C31" s="359" t="s">
        <v>370</v>
      </c>
      <c r="D31" s="351" t="s">
        <v>371</v>
      </c>
      <c r="E31" s="357" t="s">
        <v>25</v>
      </c>
      <c r="F31" s="363">
        <v>20.21</v>
      </c>
      <c r="G31" s="128"/>
      <c r="H31" s="128"/>
      <c r="I31" s="128"/>
      <c r="J31" s="128"/>
      <c r="K31" s="128"/>
      <c r="L31" s="128"/>
    </row>
    <row r="32" spans="1:12" s="120" customFormat="1" x14ac:dyDescent="0.2">
      <c r="A32" s="350">
        <v>28</v>
      </c>
      <c r="B32" s="364" t="s">
        <v>156</v>
      </c>
      <c r="C32" s="375" t="s">
        <v>214</v>
      </c>
      <c r="D32" s="367" t="s">
        <v>215</v>
      </c>
      <c r="E32" s="362" t="s">
        <v>8</v>
      </c>
      <c r="F32" s="363">
        <v>1</v>
      </c>
      <c r="G32" s="128"/>
      <c r="H32" s="128"/>
      <c r="I32" s="128"/>
      <c r="J32" s="128"/>
      <c r="K32" s="128"/>
      <c r="L32" s="128"/>
    </row>
    <row r="33" spans="1:12" s="299" customFormat="1" ht="25.5" x14ac:dyDescent="0.2">
      <c r="A33" s="350">
        <v>29</v>
      </c>
      <c r="B33" s="364" t="s">
        <v>156</v>
      </c>
      <c r="C33" s="359" t="s">
        <v>218</v>
      </c>
      <c r="D33" s="351" t="s">
        <v>219</v>
      </c>
      <c r="E33" s="357" t="s">
        <v>12</v>
      </c>
      <c r="F33" s="363">
        <v>17.28</v>
      </c>
      <c r="G33" s="128"/>
      <c r="H33" s="128"/>
      <c r="I33" s="128"/>
      <c r="J33" s="128"/>
      <c r="K33" s="128"/>
      <c r="L33" s="128"/>
    </row>
    <row r="34" spans="1:12" s="299" customFormat="1" ht="25.5" x14ac:dyDescent="0.2">
      <c r="A34" s="350">
        <v>30</v>
      </c>
      <c r="B34" s="364" t="s">
        <v>156</v>
      </c>
      <c r="C34" s="359" t="s">
        <v>222</v>
      </c>
      <c r="D34" s="351" t="s">
        <v>223</v>
      </c>
      <c r="E34" s="357" t="s">
        <v>25</v>
      </c>
      <c r="F34" s="363">
        <v>22.96</v>
      </c>
      <c r="G34" s="128"/>
      <c r="H34" s="128"/>
      <c r="I34" s="128"/>
      <c r="J34" s="128"/>
      <c r="K34" s="128"/>
      <c r="L34" s="128"/>
    </row>
    <row r="35" spans="1:12" ht="25.5" x14ac:dyDescent="0.2">
      <c r="A35" s="350">
        <v>31</v>
      </c>
      <c r="B35" s="364" t="s">
        <v>156</v>
      </c>
      <c r="C35" s="359" t="s">
        <v>372</v>
      </c>
      <c r="D35" s="351" t="s">
        <v>373</v>
      </c>
      <c r="E35" s="357" t="s">
        <v>25</v>
      </c>
      <c r="F35" s="363">
        <v>21.24</v>
      </c>
    </row>
    <row r="36" spans="1:12" x14ac:dyDescent="0.2">
      <c r="A36" s="350">
        <v>32</v>
      </c>
      <c r="B36" s="364" t="s">
        <v>156</v>
      </c>
      <c r="C36" s="359" t="s">
        <v>226</v>
      </c>
      <c r="D36" s="351" t="s">
        <v>227</v>
      </c>
      <c r="E36" s="357" t="s">
        <v>8</v>
      </c>
      <c r="F36" s="363">
        <v>125</v>
      </c>
    </row>
    <row r="37" spans="1:12" s="120" customFormat="1" ht="29.25" customHeight="1" x14ac:dyDescent="0.2">
      <c r="A37" s="350">
        <v>33</v>
      </c>
      <c r="B37" s="364" t="s">
        <v>505</v>
      </c>
      <c r="C37" s="359" t="s">
        <v>507</v>
      </c>
      <c r="D37" s="351" t="s">
        <v>508</v>
      </c>
      <c r="E37" s="357" t="s">
        <v>51</v>
      </c>
      <c r="F37" s="363">
        <v>1.3</v>
      </c>
      <c r="G37" s="128"/>
      <c r="H37" s="128"/>
      <c r="I37" s="128"/>
      <c r="J37" s="128"/>
      <c r="K37" s="128"/>
      <c r="L37" s="128"/>
    </row>
    <row r="38" spans="1:12" s="120" customFormat="1" ht="25.5" x14ac:dyDescent="0.2">
      <c r="A38" s="350">
        <v>34</v>
      </c>
      <c r="B38" s="364" t="s">
        <v>612</v>
      </c>
      <c r="C38" s="359" t="s">
        <v>374</v>
      </c>
      <c r="D38" s="351" t="s">
        <v>375</v>
      </c>
      <c r="E38" s="357" t="s">
        <v>51</v>
      </c>
      <c r="F38" s="363">
        <v>15</v>
      </c>
      <c r="G38" s="128"/>
      <c r="H38" s="128"/>
      <c r="I38" s="128"/>
      <c r="J38" s="128"/>
      <c r="K38" s="128"/>
      <c r="L38" s="128"/>
    </row>
    <row r="39" spans="1:12" s="120" customFormat="1" ht="25.5" x14ac:dyDescent="0.2">
      <c r="A39" s="350">
        <v>35</v>
      </c>
      <c r="B39" s="364" t="s">
        <v>612</v>
      </c>
      <c r="C39" s="359" t="s">
        <v>376</v>
      </c>
      <c r="D39" s="351" t="s">
        <v>377</v>
      </c>
      <c r="E39" s="357" t="s">
        <v>12</v>
      </c>
      <c r="F39" s="363">
        <v>26</v>
      </c>
      <c r="G39" s="128"/>
      <c r="H39" s="128"/>
      <c r="I39" s="128"/>
      <c r="J39" s="128"/>
      <c r="K39" s="128"/>
      <c r="L39" s="128"/>
    </row>
    <row r="40" spans="1:12" s="120" customFormat="1" ht="25.5" x14ac:dyDescent="0.2">
      <c r="A40" s="350">
        <v>36</v>
      </c>
      <c r="B40" s="364" t="s">
        <v>248</v>
      </c>
      <c r="C40" s="359" t="s">
        <v>228</v>
      </c>
      <c r="D40" s="351" t="s">
        <v>229</v>
      </c>
      <c r="E40" s="357" t="s">
        <v>12</v>
      </c>
      <c r="F40" s="363">
        <v>204</v>
      </c>
      <c r="G40" s="128"/>
      <c r="H40" s="128"/>
      <c r="I40" s="128"/>
      <c r="J40" s="128"/>
      <c r="K40" s="128"/>
      <c r="L40" s="128"/>
    </row>
    <row r="41" spans="1:12" s="120" customFormat="1" ht="25.5" x14ac:dyDescent="0.2">
      <c r="A41" s="350">
        <v>37</v>
      </c>
      <c r="B41" s="364" t="s">
        <v>248</v>
      </c>
      <c r="C41" s="359" t="s">
        <v>380</v>
      </c>
      <c r="D41" s="351" t="s">
        <v>381</v>
      </c>
      <c r="E41" s="357" t="s">
        <v>51</v>
      </c>
      <c r="F41" s="363">
        <v>21.42</v>
      </c>
      <c r="G41" s="128"/>
      <c r="H41" s="128"/>
      <c r="I41" s="128"/>
      <c r="J41" s="128"/>
      <c r="K41" s="128"/>
      <c r="L41" s="128"/>
    </row>
    <row r="42" spans="1:12" s="120" customFormat="1" ht="25.5" x14ac:dyDescent="0.2">
      <c r="A42" s="350">
        <v>38</v>
      </c>
      <c r="B42" s="364" t="s">
        <v>248</v>
      </c>
      <c r="C42" s="359" t="s">
        <v>230</v>
      </c>
      <c r="D42" s="351" t="s">
        <v>231</v>
      </c>
      <c r="E42" s="357" t="s">
        <v>12</v>
      </c>
      <c r="F42" s="363">
        <v>30.549999999999997</v>
      </c>
      <c r="G42" s="128"/>
      <c r="H42" s="128"/>
      <c r="I42" s="128"/>
      <c r="J42" s="128"/>
      <c r="K42" s="128"/>
      <c r="L42" s="128"/>
    </row>
    <row r="43" spans="1:12" s="120" customFormat="1" ht="25.5" x14ac:dyDescent="0.2">
      <c r="A43" s="350">
        <v>39</v>
      </c>
      <c r="B43" s="373" t="s">
        <v>248</v>
      </c>
      <c r="C43" s="375" t="s">
        <v>510</v>
      </c>
      <c r="D43" s="367" t="s">
        <v>511</v>
      </c>
      <c r="E43" s="362" t="s">
        <v>12</v>
      </c>
      <c r="F43" s="363">
        <v>36</v>
      </c>
      <c r="G43" s="128"/>
      <c r="H43" s="128"/>
      <c r="I43" s="128"/>
      <c r="J43" s="128"/>
      <c r="K43" s="128"/>
      <c r="L43" s="128"/>
    </row>
    <row r="44" spans="1:12" s="120" customFormat="1" x14ac:dyDescent="0.2">
      <c r="A44" s="350">
        <v>40</v>
      </c>
      <c r="B44" s="373" t="s">
        <v>248</v>
      </c>
      <c r="C44" s="359" t="s">
        <v>539</v>
      </c>
      <c r="D44" s="351" t="s">
        <v>540</v>
      </c>
      <c r="E44" s="357" t="s">
        <v>25</v>
      </c>
      <c r="F44" s="363">
        <v>40</v>
      </c>
      <c r="G44" s="128"/>
      <c r="H44" s="128"/>
      <c r="I44" s="128"/>
      <c r="J44" s="128"/>
      <c r="K44" s="128"/>
      <c r="L44" s="128"/>
    </row>
    <row r="45" spans="1:12" s="120" customFormat="1" ht="25.5" x14ac:dyDescent="0.2">
      <c r="A45" s="350">
        <v>41</v>
      </c>
      <c r="B45" s="364" t="s">
        <v>248</v>
      </c>
      <c r="C45" s="359" t="s">
        <v>238</v>
      </c>
      <c r="D45" s="351" t="s">
        <v>239</v>
      </c>
      <c r="E45" s="357" t="s">
        <v>8</v>
      </c>
      <c r="F45" s="363">
        <v>2</v>
      </c>
      <c r="G45" s="128"/>
      <c r="H45" s="128"/>
      <c r="I45" s="128"/>
      <c r="J45" s="128"/>
      <c r="K45" s="128"/>
      <c r="L45" s="128"/>
    </row>
    <row r="46" spans="1:12" s="120" customFormat="1" x14ac:dyDescent="0.2">
      <c r="A46" s="350">
        <v>42</v>
      </c>
      <c r="B46" s="364" t="s">
        <v>248</v>
      </c>
      <c r="C46" s="359" t="s">
        <v>240</v>
      </c>
      <c r="D46" s="351" t="s">
        <v>241</v>
      </c>
      <c r="E46" s="357" t="s">
        <v>25</v>
      </c>
      <c r="F46" s="363">
        <v>45.97</v>
      </c>
      <c r="G46" s="128"/>
      <c r="H46" s="128"/>
      <c r="I46" s="128"/>
      <c r="J46" s="128"/>
      <c r="K46" s="128"/>
      <c r="L46" s="128"/>
    </row>
    <row r="47" spans="1:12" s="120" customFormat="1" x14ac:dyDescent="0.2">
      <c r="A47" s="350">
        <v>43</v>
      </c>
      <c r="B47" s="364" t="s">
        <v>248</v>
      </c>
      <c r="C47" s="375" t="s">
        <v>242</v>
      </c>
      <c r="D47" s="367" t="s">
        <v>243</v>
      </c>
      <c r="E47" s="362" t="s">
        <v>25</v>
      </c>
      <c r="F47" s="363">
        <v>10</v>
      </c>
      <c r="G47" s="128"/>
      <c r="H47" s="128"/>
      <c r="I47" s="128"/>
      <c r="J47" s="128"/>
      <c r="K47" s="128"/>
      <c r="L47" s="128"/>
    </row>
    <row r="48" spans="1:12" s="120" customFormat="1" ht="25.5" x14ac:dyDescent="0.2">
      <c r="A48" s="350">
        <v>44</v>
      </c>
      <c r="B48" s="373" t="s">
        <v>78</v>
      </c>
      <c r="C48" s="375" t="s">
        <v>29</v>
      </c>
      <c r="D48" s="367" t="s">
        <v>50</v>
      </c>
      <c r="E48" s="362" t="s">
        <v>12</v>
      </c>
      <c r="F48" s="363">
        <v>12</v>
      </c>
      <c r="G48" s="128"/>
      <c r="H48" s="128"/>
      <c r="I48" s="128"/>
      <c r="J48" s="128"/>
      <c r="K48" s="128"/>
      <c r="L48" s="128"/>
    </row>
    <row r="49" spans="1:12" s="120" customFormat="1" ht="25.5" x14ac:dyDescent="0.2">
      <c r="A49" s="350">
        <v>45</v>
      </c>
      <c r="B49" s="364" t="s">
        <v>78</v>
      </c>
      <c r="C49" s="359" t="s">
        <v>46</v>
      </c>
      <c r="D49" s="351" t="s">
        <v>43</v>
      </c>
      <c r="E49" s="357" t="s">
        <v>12</v>
      </c>
      <c r="F49" s="363">
        <v>65</v>
      </c>
      <c r="G49" s="128"/>
      <c r="H49" s="128"/>
      <c r="I49" s="128"/>
      <c r="J49" s="128"/>
      <c r="K49" s="128"/>
      <c r="L49" s="128"/>
    </row>
    <row r="50" spans="1:12" s="120" customFormat="1" ht="26.25" customHeight="1" x14ac:dyDescent="0.2">
      <c r="A50" s="350">
        <v>46</v>
      </c>
      <c r="B50" s="364" t="s">
        <v>78</v>
      </c>
      <c r="C50" s="359" t="s">
        <v>48</v>
      </c>
      <c r="D50" s="351" t="s">
        <v>19</v>
      </c>
      <c r="E50" s="357" t="s">
        <v>12</v>
      </c>
      <c r="F50" s="363">
        <v>119.95</v>
      </c>
      <c r="G50" s="128"/>
      <c r="H50" s="128"/>
      <c r="I50" s="128"/>
      <c r="J50" s="128"/>
      <c r="K50" s="128"/>
      <c r="L50" s="128"/>
    </row>
    <row r="51" spans="1:12" s="8" customFormat="1" ht="25.5" x14ac:dyDescent="0.2">
      <c r="A51" s="350">
        <v>47</v>
      </c>
      <c r="B51" s="364" t="s">
        <v>80</v>
      </c>
      <c r="C51" s="359" t="s">
        <v>82</v>
      </c>
      <c r="D51" s="351" t="s">
        <v>83</v>
      </c>
      <c r="E51" s="357" t="s">
        <v>25</v>
      </c>
      <c r="F51" s="363">
        <v>30</v>
      </c>
    </row>
    <row r="52" spans="1:12" s="8" customFormat="1" x14ac:dyDescent="0.2">
      <c r="A52" s="350">
        <v>48</v>
      </c>
      <c r="B52" s="373" t="s">
        <v>80</v>
      </c>
      <c r="C52" s="375" t="s">
        <v>404</v>
      </c>
      <c r="D52" s="367" t="s">
        <v>405</v>
      </c>
      <c r="E52" s="362" t="s">
        <v>25</v>
      </c>
      <c r="F52" s="363">
        <v>28</v>
      </c>
    </row>
    <row r="53" spans="1:12" s="120" customFormat="1" ht="25.5" x14ac:dyDescent="0.2">
      <c r="A53" s="350">
        <v>49</v>
      </c>
      <c r="B53" s="364" t="s">
        <v>86</v>
      </c>
      <c r="C53" s="359" t="s">
        <v>88</v>
      </c>
      <c r="D53" s="351" t="s">
        <v>89</v>
      </c>
      <c r="E53" s="357" t="s">
        <v>25</v>
      </c>
      <c r="F53" s="363">
        <v>21.900000000000002</v>
      </c>
      <c r="G53" s="128"/>
      <c r="H53" s="128"/>
      <c r="I53" s="128"/>
      <c r="J53" s="128"/>
      <c r="K53" s="128"/>
      <c r="L53" s="128"/>
    </row>
    <row r="54" spans="1:12" s="120" customFormat="1" x14ac:dyDescent="0.2">
      <c r="A54" s="350">
        <v>50</v>
      </c>
      <c r="B54" s="373" t="s">
        <v>86</v>
      </c>
      <c r="C54" s="375" t="s">
        <v>280</v>
      </c>
      <c r="D54" s="367" t="s">
        <v>281</v>
      </c>
      <c r="E54" s="362" t="s">
        <v>25</v>
      </c>
      <c r="F54" s="363">
        <v>45</v>
      </c>
      <c r="G54" s="128"/>
      <c r="H54" s="128"/>
      <c r="I54" s="128"/>
      <c r="J54" s="128"/>
      <c r="K54" s="128"/>
      <c r="L54" s="128"/>
    </row>
    <row r="55" spans="1:12" s="120" customFormat="1" ht="32.25" customHeight="1" x14ac:dyDescent="0.2">
      <c r="A55" s="350">
        <v>51</v>
      </c>
      <c r="B55" s="364" t="s">
        <v>86</v>
      </c>
      <c r="C55" s="359" t="s">
        <v>534</v>
      </c>
      <c r="D55" s="351" t="s">
        <v>535</v>
      </c>
      <c r="E55" s="357" t="s">
        <v>8</v>
      </c>
      <c r="F55" s="363">
        <v>11</v>
      </c>
      <c r="G55" s="128"/>
      <c r="H55" s="128"/>
      <c r="I55" s="128"/>
      <c r="J55" s="128"/>
      <c r="K55" s="128"/>
      <c r="L55" s="128"/>
    </row>
    <row r="56" spans="1:12" s="120" customFormat="1" ht="25.5" x14ac:dyDescent="0.2">
      <c r="A56" s="350">
        <v>52</v>
      </c>
      <c r="B56" s="364" t="s">
        <v>412</v>
      </c>
      <c r="C56" s="359" t="s">
        <v>438</v>
      </c>
      <c r="D56" s="351" t="s">
        <v>439</v>
      </c>
      <c r="E56" s="357" t="s">
        <v>12</v>
      </c>
      <c r="F56" s="363">
        <v>0.24492000000000003</v>
      </c>
      <c r="G56" s="128"/>
      <c r="H56" s="128"/>
      <c r="I56" s="128"/>
      <c r="J56" s="128"/>
      <c r="K56" s="128"/>
      <c r="L56" s="128"/>
    </row>
    <row r="57" spans="1:12" s="120" customFormat="1" ht="25.5" x14ac:dyDescent="0.2">
      <c r="A57" s="350">
        <v>53</v>
      </c>
      <c r="B57" s="364" t="s">
        <v>412</v>
      </c>
      <c r="C57" s="359" t="s">
        <v>441</v>
      </c>
      <c r="D57" s="351" t="s">
        <v>442</v>
      </c>
      <c r="E57" s="357" t="s">
        <v>12</v>
      </c>
      <c r="F57" s="363">
        <v>54.625</v>
      </c>
      <c r="G57" s="128"/>
      <c r="H57" s="128"/>
      <c r="I57" s="128"/>
      <c r="J57" s="128"/>
      <c r="K57" s="128"/>
      <c r="L57" s="128"/>
    </row>
    <row r="58" spans="1:12" s="120" customFormat="1" ht="25.5" x14ac:dyDescent="0.2">
      <c r="A58" s="350">
        <v>54</v>
      </c>
      <c r="B58" s="364" t="s">
        <v>412</v>
      </c>
      <c r="C58" s="359" t="s">
        <v>443</v>
      </c>
      <c r="D58" s="351" t="s">
        <v>444</v>
      </c>
      <c r="E58" s="357" t="s">
        <v>12</v>
      </c>
      <c r="F58" s="363">
        <v>50.45</v>
      </c>
      <c r="G58" s="128"/>
      <c r="H58" s="128"/>
      <c r="I58" s="128"/>
      <c r="J58" s="128"/>
      <c r="K58" s="128"/>
      <c r="L58" s="128"/>
    </row>
    <row r="59" spans="1:12" s="120" customFormat="1" ht="25.5" customHeight="1" x14ac:dyDescent="0.2">
      <c r="A59" s="350">
        <v>55</v>
      </c>
      <c r="B59" s="364" t="s">
        <v>414</v>
      </c>
      <c r="C59" s="359" t="s">
        <v>445</v>
      </c>
      <c r="D59" s="351" t="s">
        <v>446</v>
      </c>
      <c r="E59" s="357" t="s">
        <v>12</v>
      </c>
      <c r="F59" s="363">
        <v>219.0488</v>
      </c>
      <c r="G59" s="128"/>
      <c r="H59" s="128"/>
      <c r="I59" s="128"/>
      <c r="J59" s="128"/>
      <c r="K59" s="128"/>
      <c r="L59" s="12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19</vt:i4>
      </vt:variant>
    </vt:vector>
  </HeadingPairs>
  <TitlesOfParts>
    <vt:vector size="27" baseType="lpstr">
      <vt:lpstr>201-00 Most I-66-042 gabo</vt:lpstr>
      <vt:lpstr>201-00 Most I-66-042</vt:lpstr>
      <vt:lpstr>01_Rekapitulacia</vt:lpstr>
      <vt:lpstr>02_SupisPrac</vt:lpstr>
      <vt:lpstr>03_CastiStavby</vt:lpstr>
      <vt:lpstr>04_PopisPoloziek</vt:lpstr>
      <vt:lpstr>201-00 Most I-66-042 (2)</vt:lpstr>
      <vt:lpstr>201-00 Most I-66-042 (3)</vt:lpstr>
      <vt:lpstr>'02_SupisPrac'!Názvy_tlače</vt:lpstr>
      <vt:lpstr>'03_CastiStavby'!Názvy_tlače</vt:lpstr>
      <vt:lpstr>'04_PopisPoloziek'!Názvy_tlače</vt:lpstr>
      <vt:lpstr>'201-00 Most I-66-042'!Názvy_tlače</vt:lpstr>
      <vt:lpstr>'201-00 Most I-66-042 (2)'!Názvy_tlače</vt:lpstr>
      <vt:lpstr>'201-00 Most I-66-042 (3)'!Názvy_tlače</vt:lpstr>
      <vt:lpstr>'201-00 Most I-66-042 gabo'!Názvy_tlače</vt:lpstr>
      <vt:lpstr>'01_Rekapitulacia'!Oblasť_tlače</vt:lpstr>
      <vt:lpstr>'02_SupisPrac'!Oblasť_tlače</vt:lpstr>
      <vt:lpstr>'03_CastiStavby'!Oblasť_tlače</vt:lpstr>
      <vt:lpstr>'04_PopisPoloziek'!Oblasť_tlače</vt:lpstr>
      <vt:lpstr>'201-00 Most I-66-042'!Oblasť_tlače</vt:lpstr>
      <vt:lpstr>'201-00 Most I-66-042 (2)'!Oblasť_tlače</vt:lpstr>
      <vt:lpstr>'201-00 Most I-66-042 (3)'!Oblasť_tlače</vt:lpstr>
      <vt:lpstr>'201-00 Most I-66-042 gabo'!Oblasť_tlače</vt:lpstr>
      <vt:lpstr>'201-00 Most I-66-042 (3)'!ZACA1</vt:lpstr>
      <vt:lpstr>ZACA1</vt:lpstr>
      <vt:lpstr>'201-00 Most I-66-042 (3)'!ZACIAT</vt:lpstr>
      <vt:lpstr>ZACIAT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Stefankovic</dc:creator>
  <cp:lastModifiedBy>Pulscak</cp:lastModifiedBy>
  <cp:lastPrinted>2020-02-18T10:47:08Z</cp:lastPrinted>
  <dcterms:created xsi:type="dcterms:W3CDTF">2006-07-18T11:06:48Z</dcterms:created>
  <dcterms:modified xsi:type="dcterms:W3CDTF">2021-04-12T15:02:52Z</dcterms:modified>
</cp:coreProperties>
</file>