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2 MF SR\02 OP II\Projekt OPII_CES\VO\"/>
    </mc:Choice>
  </mc:AlternateContent>
  <bookViews>
    <workbookView xWindow="0" yWindow="0" windowWidth="19200" windowHeight="8220"/>
  </bookViews>
  <sheets>
    <sheet name="Prepočet ČD a sadzieb" sheetId="10" r:id="rId1"/>
    <sheet name="Prehľad" sheetId="6" state="hidden" r:id="rId2"/>
    <sheet name="Sadzby" sheetId="1" state="hidden" r:id="rId3"/>
    <sheet name="Hárok2" sheetId="9" state="hidden" r:id="rId4"/>
    <sheet name="AP_výpočet" sheetId="5" state="hidden" r:id="rId5"/>
    <sheet name="AP" sheetId="4" state="hidden" r:id="rId6"/>
    <sheet name="Sumár" sheetId="2" state="hidden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A41" i="10"/>
  <c r="A45" i="10"/>
  <c r="A48" i="10"/>
  <c r="F24" i="10"/>
  <c r="F26" i="10"/>
  <c r="F27" i="10"/>
  <c r="F28" i="10"/>
  <c r="F29" i="10"/>
  <c r="F21" i="10"/>
  <c r="D22" i="10"/>
  <c r="D23" i="10"/>
  <c r="D24" i="10"/>
  <c r="D25" i="10"/>
  <c r="D26" i="10"/>
  <c r="D27" i="10"/>
  <c r="D28" i="10"/>
  <c r="D29" i="10"/>
  <c r="D30" i="10"/>
  <c r="D31" i="10"/>
  <c r="D21" i="10"/>
  <c r="C22" i="10"/>
  <c r="C23" i="10"/>
  <c r="C24" i="10"/>
  <c r="C25" i="10"/>
  <c r="C26" i="10"/>
  <c r="C27" i="10"/>
  <c r="C28" i="10"/>
  <c r="C29" i="10"/>
  <c r="C30" i="10"/>
  <c r="C31" i="10"/>
  <c r="C21" i="10"/>
  <c r="B22" i="10"/>
  <c r="B23" i="10"/>
  <c r="B24" i="10"/>
  <c r="B25" i="10"/>
  <c r="B26" i="10"/>
  <c r="B27" i="10"/>
  <c r="B28" i="10"/>
  <c r="B29" i="10"/>
  <c r="B30" i="10"/>
  <c r="B31" i="10"/>
  <c r="B21" i="10"/>
  <c r="G19" i="10"/>
  <c r="G35" i="10" s="1"/>
  <c r="A31" i="10"/>
  <c r="A22" i="10"/>
  <c r="A39" i="10" s="1"/>
  <c r="A23" i="10"/>
  <c r="A40" i="10" s="1"/>
  <c r="A24" i="10"/>
  <c r="A25" i="10"/>
  <c r="A42" i="10" s="1"/>
  <c r="A26" i="10"/>
  <c r="A43" i="10" s="1"/>
  <c r="A27" i="10"/>
  <c r="A44" i="10" s="1"/>
  <c r="A28" i="10"/>
  <c r="A29" i="10"/>
  <c r="A46" i="10" s="1"/>
  <c r="A30" i="10"/>
  <c r="A47" i="10" s="1"/>
  <c r="A21" i="10"/>
  <c r="A38" i="10" s="1"/>
  <c r="E11" i="10"/>
  <c r="C7" i="10"/>
  <c r="D7" i="10"/>
  <c r="E7" i="10"/>
  <c r="F7" i="10"/>
  <c r="C8" i="10"/>
  <c r="D8" i="10"/>
  <c r="E8" i="10"/>
  <c r="F8" i="10"/>
  <c r="B8" i="10"/>
  <c r="B7" i="10"/>
  <c r="C5" i="10"/>
  <c r="D5" i="10"/>
  <c r="E5" i="10"/>
  <c r="F5" i="10"/>
  <c r="B5" i="10"/>
  <c r="C12" i="10"/>
  <c r="D12" i="10"/>
  <c r="E12" i="10"/>
  <c r="B12" i="10"/>
  <c r="A5" i="10"/>
  <c r="A60" i="6"/>
  <c r="D9" i="10" l="1"/>
  <c r="F9" i="10"/>
  <c r="C9" i="10"/>
  <c r="E9" i="10"/>
  <c r="B9" i="10"/>
  <c r="M4" i="6"/>
  <c r="M5" i="6"/>
  <c r="M3" i="6"/>
  <c r="D22" i="1" l="1"/>
  <c r="F22" i="1"/>
  <c r="B30" i="1"/>
  <c r="D30" i="1" s="1"/>
  <c r="B29" i="1"/>
  <c r="C58" i="9"/>
  <c r="C59" i="9" s="1"/>
  <c r="C54" i="9"/>
  <c r="C41" i="9"/>
  <c r="C28" i="9"/>
  <c r="C19" i="9"/>
  <c r="D19" i="9" s="1"/>
  <c r="D20" i="9" s="1"/>
  <c r="C17" i="9"/>
  <c r="C25" i="9" s="1"/>
  <c r="C15" i="9"/>
  <c r="C2" i="9"/>
  <c r="L16" i="5"/>
  <c r="N5" i="5"/>
  <c r="C5" i="1"/>
  <c r="C6" i="1"/>
  <c r="C4" i="9" s="1"/>
  <c r="C12" i="9" s="1"/>
  <c r="C7" i="1"/>
  <c r="B25" i="1" s="1"/>
  <c r="C8" i="1"/>
  <c r="C9" i="1"/>
  <c r="B27" i="1" s="1"/>
  <c r="C10" i="1"/>
  <c r="B28" i="1" s="1"/>
  <c r="C11" i="1"/>
  <c r="C12" i="1"/>
  <c r="C13" i="1"/>
  <c r="C32" i="9" s="1"/>
  <c r="C33" i="9" s="1"/>
  <c r="C14" i="1"/>
  <c r="C45" i="9" s="1"/>
  <c r="D45" i="9" s="1"/>
  <c r="D46" i="9" s="1"/>
  <c r="C4" i="1"/>
  <c r="B22" i="1" s="1"/>
  <c r="D28" i="1" l="1"/>
  <c r="D27" i="1"/>
  <c r="D25" i="1"/>
  <c r="C43" i="9"/>
  <c r="C51" i="9" s="1"/>
  <c r="C6" i="9"/>
  <c r="C7" i="9" s="1"/>
  <c r="C30" i="9"/>
  <c r="C38" i="9" s="1"/>
  <c r="D29" i="1"/>
  <c r="C56" i="9"/>
  <c r="C64" i="9" s="1"/>
  <c r="D58" i="9"/>
  <c r="D59" i="9" s="1"/>
  <c r="E59" i="9" s="1"/>
  <c r="C62" i="9" s="1"/>
  <c r="D23" i="1" s="1"/>
  <c r="C46" i="9"/>
  <c r="E46" i="9" s="1"/>
  <c r="D32" i="9"/>
  <c r="D33" i="9" s="1"/>
  <c r="E33" i="9" s="1"/>
  <c r="C20" i="9"/>
  <c r="E20" i="9" s="1"/>
  <c r="C23" i="9" s="1"/>
  <c r="D6" i="9"/>
  <c r="M15" i="5"/>
  <c r="M16" i="5" s="1"/>
  <c r="N16" i="5" s="1"/>
  <c r="E16" i="6"/>
  <c r="E18" i="6"/>
  <c r="E19" i="6"/>
  <c r="E20" i="6"/>
  <c r="E21" i="6"/>
  <c r="E13" i="6"/>
  <c r="B14" i="6"/>
  <c r="B15" i="6"/>
  <c r="B16" i="6"/>
  <c r="B17" i="6"/>
  <c r="B18" i="6"/>
  <c r="B19" i="6"/>
  <c r="B20" i="6"/>
  <c r="B21" i="6"/>
  <c r="B22" i="6"/>
  <c r="B23" i="6"/>
  <c r="B13" i="6"/>
  <c r="I31" i="6"/>
  <c r="I33" i="6"/>
  <c r="I34" i="6"/>
  <c r="I35" i="6"/>
  <c r="I36" i="6"/>
  <c r="I28" i="6"/>
  <c r="G31" i="6"/>
  <c r="G33" i="6"/>
  <c r="G34" i="6"/>
  <c r="G35" i="6"/>
  <c r="G36" i="6"/>
  <c r="G28" i="6"/>
  <c r="E31" i="6"/>
  <c r="E33" i="6"/>
  <c r="E34" i="6"/>
  <c r="E35" i="6"/>
  <c r="E36" i="6"/>
  <c r="E28" i="6"/>
  <c r="C122" i="5"/>
  <c r="B122" i="5"/>
  <c r="B116" i="5"/>
  <c r="B115" i="5"/>
  <c r="B114" i="5"/>
  <c r="B113" i="5"/>
  <c r="B112" i="5"/>
  <c r="B111" i="5"/>
  <c r="B110" i="5"/>
  <c r="B109" i="5"/>
  <c r="B108" i="5"/>
  <c r="B107" i="5"/>
  <c r="B106" i="5"/>
  <c r="C87" i="5"/>
  <c r="B87" i="5"/>
  <c r="B81" i="5"/>
  <c r="B80" i="5"/>
  <c r="B79" i="5"/>
  <c r="B78" i="5"/>
  <c r="B77" i="5"/>
  <c r="B76" i="5"/>
  <c r="B75" i="5"/>
  <c r="B74" i="5"/>
  <c r="B73" i="5"/>
  <c r="B72" i="5"/>
  <c r="B71" i="5"/>
  <c r="C53" i="5"/>
  <c r="B53" i="5"/>
  <c r="C31" i="6"/>
  <c r="C33" i="6"/>
  <c r="C34" i="6"/>
  <c r="C35" i="6"/>
  <c r="C36" i="6"/>
  <c r="C28" i="6"/>
  <c r="C23" i="5"/>
  <c r="C57" i="5" s="1"/>
  <c r="C91" i="5" s="1"/>
  <c r="C126" i="5" s="1"/>
  <c r="C25" i="5"/>
  <c r="C59" i="5" s="1"/>
  <c r="C93" i="5" s="1"/>
  <c r="C128" i="5" s="1"/>
  <c r="C26" i="5"/>
  <c r="C60" i="5" s="1"/>
  <c r="C94" i="5" s="1"/>
  <c r="C129" i="5" s="1"/>
  <c r="C27" i="5"/>
  <c r="C61" i="5" s="1"/>
  <c r="C95" i="5" s="1"/>
  <c r="C130" i="5" s="1"/>
  <c r="C28" i="5"/>
  <c r="C62" i="5" s="1"/>
  <c r="C96" i="5" s="1"/>
  <c r="C131" i="5" s="1"/>
  <c r="C20" i="5"/>
  <c r="C54" i="5" s="1"/>
  <c r="C88" i="5" s="1"/>
  <c r="C123" i="5" s="1"/>
  <c r="J3" i="1"/>
  <c r="J4" i="1" s="1"/>
  <c r="N3" i="1"/>
  <c r="L7" i="5"/>
  <c r="M4" i="5"/>
  <c r="M7" i="5" s="1"/>
  <c r="C24" i="9" l="1"/>
  <c r="D25" i="9" s="1"/>
  <c r="D23" i="9" s="1"/>
  <c r="E26" i="1" s="1"/>
  <c r="D26" i="1"/>
  <c r="C49" i="9"/>
  <c r="C36" i="9"/>
  <c r="D31" i="1" s="1"/>
  <c r="C63" i="9"/>
  <c r="D64" i="9" s="1"/>
  <c r="D62" i="9" s="1"/>
  <c r="E23" i="1" s="1"/>
  <c r="C37" i="9"/>
  <c r="D38" i="9" s="1"/>
  <c r="D36" i="9" s="1"/>
  <c r="E31" i="1" s="1"/>
  <c r="E23" i="9"/>
  <c r="G23" i="9" s="1"/>
  <c r="D7" i="9"/>
  <c r="E7" i="9" s="1"/>
  <c r="C10" i="9" s="1"/>
  <c r="F28" i="1"/>
  <c r="J28" i="1" s="1"/>
  <c r="J22" i="1"/>
  <c r="F25" i="1"/>
  <c r="F29" i="1"/>
  <c r="J5" i="1"/>
  <c r="O5" i="1" s="1"/>
  <c r="C13" i="6"/>
  <c r="H13" i="6" s="1"/>
  <c r="B20" i="5"/>
  <c r="B54" i="5" s="1"/>
  <c r="B88" i="5" s="1"/>
  <c r="B123" i="5" s="1"/>
  <c r="F30" i="1"/>
  <c r="J30" i="1" s="1"/>
  <c r="F27" i="1"/>
  <c r="J27" i="1" s="1"/>
  <c r="J7" i="1"/>
  <c r="J12" i="1"/>
  <c r="J11" i="1"/>
  <c r="J8" i="1"/>
  <c r="O8" i="1" s="1"/>
  <c r="J14" i="1"/>
  <c r="J10" i="1"/>
  <c r="J6" i="1"/>
  <c r="J13" i="1"/>
  <c r="J9" i="1"/>
  <c r="N7" i="5"/>
  <c r="L10" i="5" s="1"/>
  <c r="L14" i="5" s="1"/>
  <c r="M30" i="1"/>
  <c r="E33" i="1" l="1"/>
  <c r="C50" i="9"/>
  <c r="D51" i="9" s="1"/>
  <c r="D49" i="9" s="1"/>
  <c r="E32" i="1" s="1"/>
  <c r="D32" i="1"/>
  <c r="N17" i="5"/>
  <c r="L19" i="5"/>
  <c r="E49" i="9"/>
  <c r="G49" i="9" s="1"/>
  <c r="L11" i="5"/>
  <c r="C19" i="6"/>
  <c r="H19" i="6" s="1"/>
  <c r="B26" i="5"/>
  <c r="B60" i="5" s="1"/>
  <c r="B94" i="5" s="1"/>
  <c r="B129" i="5" s="1"/>
  <c r="E62" i="9"/>
  <c r="G62" i="9" s="1"/>
  <c r="G51" i="9"/>
  <c r="E36" i="9"/>
  <c r="G36" i="9" s="1"/>
  <c r="G25" i="9"/>
  <c r="C11" i="9"/>
  <c r="D12" i="9" s="1"/>
  <c r="D10" i="9" s="1"/>
  <c r="E24" i="1" s="1"/>
  <c r="D24" i="1"/>
  <c r="C20" i="6"/>
  <c r="H20" i="6" s="1"/>
  <c r="J29" i="1"/>
  <c r="C16" i="6"/>
  <c r="H16" i="6" s="1"/>
  <c r="J25" i="1"/>
  <c r="I19" i="6"/>
  <c r="B27" i="5"/>
  <c r="B61" i="5" s="1"/>
  <c r="B95" i="5" s="1"/>
  <c r="B130" i="5" s="1"/>
  <c r="B23" i="5"/>
  <c r="B57" i="5" s="1"/>
  <c r="B91" i="5" s="1"/>
  <c r="B126" i="5" s="1"/>
  <c r="A19" i="1"/>
  <c r="M11" i="5"/>
  <c r="A20" i="1" s="1"/>
  <c r="C23" i="1" s="1"/>
  <c r="I13" i="6"/>
  <c r="B25" i="5"/>
  <c r="B59" i="5" s="1"/>
  <c r="C18" i="6"/>
  <c r="B28" i="5"/>
  <c r="B62" i="5" s="1"/>
  <c r="B96" i="5" s="1"/>
  <c r="B131" i="5" s="1"/>
  <c r="C21" i="6"/>
  <c r="O14" i="1"/>
  <c r="O13" i="1"/>
  <c r="O6" i="1"/>
  <c r="C16" i="1"/>
  <c r="B16" i="1"/>
  <c r="B26" i="1" l="1"/>
  <c r="B23" i="1"/>
  <c r="B24" i="1"/>
  <c r="O17" i="5"/>
  <c r="M19" i="5" s="1"/>
  <c r="N19" i="5" s="1"/>
  <c r="I20" i="6"/>
  <c r="H22" i="1"/>
  <c r="H23" i="1"/>
  <c r="I16" i="6"/>
  <c r="G64" i="9"/>
  <c r="G38" i="9"/>
  <c r="E10" i="9"/>
  <c r="G10" i="9" s="1"/>
  <c r="G12" i="9"/>
  <c r="H18" i="6"/>
  <c r="I18" i="6"/>
  <c r="C26" i="1"/>
  <c r="C24" i="1"/>
  <c r="C32" i="1"/>
  <c r="C31" i="1"/>
  <c r="H21" i="6"/>
  <c r="I21" i="6"/>
  <c r="B31" i="1"/>
  <c r="B32" i="1"/>
  <c r="B93" i="5"/>
  <c r="C7" i="6"/>
  <c r="C1" i="6"/>
  <c r="C15" i="4"/>
  <c r="C14" i="4"/>
  <c r="C13" i="4"/>
  <c r="C12" i="4"/>
  <c r="J2" i="6"/>
  <c r="L3" i="1"/>
  <c r="I3" i="1"/>
  <c r="I4" i="1" s="1"/>
  <c r="B4" i="5"/>
  <c r="B5" i="5"/>
  <c r="B6" i="5"/>
  <c r="B7" i="5"/>
  <c r="B8" i="5"/>
  <c r="B9" i="5"/>
  <c r="B10" i="5"/>
  <c r="B11" i="5"/>
  <c r="B12" i="5"/>
  <c r="B13" i="5"/>
  <c r="B3" i="5"/>
  <c r="C6" i="4"/>
  <c r="K34" i="2"/>
  <c r="C15" i="1" s="1"/>
  <c r="D15" i="1"/>
  <c r="N21" i="5" l="1"/>
  <c r="P17" i="5" s="1"/>
  <c r="P19" i="5"/>
  <c r="B41" i="1"/>
  <c r="C7" i="5" s="1"/>
  <c r="F26" i="1"/>
  <c r="J26" i="1" s="1"/>
  <c r="B39" i="1"/>
  <c r="C5" i="5" s="1"/>
  <c r="J32" i="1"/>
  <c r="F32" i="1"/>
  <c r="C23" i="6" s="1"/>
  <c r="H23" i="6" s="1"/>
  <c r="C39" i="1"/>
  <c r="F23" i="1"/>
  <c r="B34" i="1"/>
  <c r="J31" i="1"/>
  <c r="B46" i="1"/>
  <c r="C12" i="5" s="1"/>
  <c r="F31" i="1"/>
  <c r="C46" i="1"/>
  <c r="F24" i="1"/>
  <c r="H31" i="1"/>
  <c r="H27" i="1"/>
  <c r="H28" i="1"/>
  <c r="H32" i="1"/>
  <c r="I25" i="1"/>
  <c r="I30" i="1"/>
  <c r="I29" i="1"/>
  <c r="H25" i="1"/>
  <c r="H30" i="1"/>
  <c r="I26" i="1"/>
  <c r="H26" i="1"/>
  <c r="I28" i="1"/>
  <c r="I32" i="1"/>
  <c r="H29" i="1"/>
  <c r="I22" i="1"/>
  <c r="K22" i="1" s="1"/>
  <c r="I23" i="1"/>
  <c r="K23" i="1" s="1"/>
  <c r="I31" i="1"/>
  <c r="I27" i="1"/>
  <c r="H24" i="1"/>
  <c r="I24" i="1"/>
  <c r="C15" i="6"/>
  <c r="H15" i="6" s="1"/>
  <c r="E4" i="1"/>
  <c r="E5" i="1"/>
  <c r="G32" i="1"/>
  <c r="C30" i="5" s="1"/>
  <c r="B30" i="5"/>
  <c r="B64" i="5" s="1"/>
  <c r="G31" i="1"/>
  <c r="B29" i="5"/>
  <c r="B63" i="5" s="1"/>
  <c r="B97" i="5" s="1"/>
  <c r="B132" i="5" s="1"/>
  <c r="C22" i="6"/>
  <c r="H22" i="6" s="1"/>
  <c r="G26" i="1"/>
  <c r="B24" i="5"/>
  <c r="B58" i="5" s="1"/>
  <c r="C17" i="6"/>
  <c r="H17" i="6" s="1"/>
  <c r="B128" i="5"/>
  <c r="C19" i="5"/>
  <c r="M8" i="1"/>
  <c r="M5" i="1"/>
  <c r="M14" i="1"/>
  <c r="M6" i="1"/>
  <c r="M13" i="1"/>
  <c r="I5" i="1"/>
  <c r="E9" i="1"/>
  <c r="E13" i="1"/>
  <c r="E6" i="1"/>
  <c r="E10" i="1"/>
  <c r="E14" i="1"/>
  <c r="E7" i="1"/>
  <c r="E11" i="1"/>
  <c r="E8" i="1"/>
  <c r="E12" i="1"/>
  <c r="C16" i="4"/>
  <c r="B19" i="5"/>
  <c r="I13" i="1"/>
  <c r="I11" i="1"/>
  <c r="I9" i="1"/>
  <c r="I7" i="1"/>
  <c r="I14" i="1"/>
  <c r="N14" i="1" s="1"/>
  <c r="I12" i="1"/>
  <c r="I10" i="1"/>
  <c r="I8" i="1"/>
  <c r="I6" i="1"/>
  <c r="N6" i="1" s="1"/>
  <c r="G23" i="1" l="1"/>
  <c r="C14" i="6"/>
  <c r="H14" i="6" s="1"/>
  <c r="B21" i="5"/>
  <c r="B55" i="5" s="1"/>
  <c r="B89" i="5" s="1"/>
  <c r="B124" i="5" s="1"/>
  <c r="J23" i="1"/>
  <c r="G24" i="1"/>
  <c r="J24" i="1"/>
  <c r="D5" i="5"/>
  <c r="B39" i="5"/>
  <c r="D12" i="5"/>
  <c r="B46" i="5"/>
  <c r="C43" i="1"/>
  <c r="C45" i="1"/>
  <c r="C42" i="1"/>
  <c r="B45" i="1"/>
  <c r="C11" i="5" s="1"/>
  <c r="C37" i="1"/>
  <c r="C40" i="1"/>
  <c r="C44" i="1"/>
  <c r="B44" i="1"/>
  <c r="C10" i="5" s="1"/>
  <c r="B37" i="1"/>
  <c r="C3" i="5" s="1"/>
  <c r="B40" i="1"/>
  <c r="C6" i="5" s="1"/>
  <c r="C40" i="5" s="1"/>
  <c r="C74" i="5" s="1"/>
  <c r="C109" i="5" s="1"/>
  <c r="B42" i="1"/>
  <c r="C8" i="5" s="1"/>
  <c r="B43" i="1"/>
  <c r="C9" i="5" s="1"/>
  <c r="C38" i="1"/>
  <c r="C47" i="1"/>
  <c r="B22" i="5"/>
  <c r="B56" i="5" s="1"/>
  <c r="B90" i="5" s="1"/>
  <c r="B38" i="1"/>
  <c r="C4" i="5" s="1"/>
  <c r="B47" i="1"/>
  <c r="C13" i="5" s="1"/>
  <c r="C41" i="1"/>
  <c r="K32" i="1"/>
  <c r="K26" i="1"/>
  <c r="K25" i="1"/>
  <c r="K30" i="1"/>
  <c r="K28" i="1"/>
  <c r="K24" i="1"/>
  <c r="K29" i="1"/>
  <c r="K27" i="1"/>
  <c r="K31" i="1"/>
  <c r="F18" i="6"/>
  <c r="D17" i="6"/>
  <c r="C41" i="5"/>
  <c r="C75" i="5" s="1"/>
  <c r="C110" i="5" s="1"/>
  <c r="D46" i="5"/>
  <c r="D80" i="5" s="1"/>
  <c r="D115" i="5" s="1"/>
  <c r="F22" i="6"/>
  <c r="F23" i="6"/>
  <c r="F17" i="6"/>
  <c r="F20" i="6"/>
  <c r="D19" i="6"/>
  <c r="C43" i="5"/>
  <c r="C77" i="5" s="1"/>
  <c r="C112" i="5" s="1"/>
  <c r="D16" i="6"/>
  <c r="F15" i="6"/>
  <c r="D39" i="5"/>
  <c r="D73" i="5" s="1"/>
  <c r="D108" i="5" s="1"/>
  <c r="F14" i="6"/>
  <c r="C38" i="5"/>
  <c r="C72" i="5" s="1"/>
  <c r="C107" i="5" s="1"/>
  <c r="D14" i="6"/>
  <c r="D13" i="6"/>
  <c r="I33" i="1"/>
  <c r="F21" i="6"/>
  <c r="D18" i="6"/>
  <c r="C42" i="5"/>
  <c r="C76" i="5" s="1"/>
  <c r="C111" i="5" s="1"/>
  <c r="D20" i="6"/>
  <c r="C44" i="5"/>
  <c r="C78" i="5" s="1"/>
  <c r="C113" i="5" s="1"/>
  <c r="C47" i="5"/>
  <c r="C81" i="5" s="1"/>
  <c r="C116" i="5" s="1"/>
  <c r="D23" i="6"/>
  <c r="D15" i="6"/>
  <c r="C39" i="5"/>
  <c r="C73" i="5" s="1"/>
  <c r="C108" i="5" s="1"/>
  <c r="F13" i="6"/>
  <c r="G13" i="6" s="1"/>
  <c r="F19" i="6"/>
  <c r="D21" i="6"/>
  <c r="C45" i="5"/>
  <c r="C79" i="5" s="1"/>
  <c r="C114" i="5" s="1"/>
  <c r="F16" i="6"/>
  <c r="C46" i="5"/>
  <c r="C80" i="5" s="1"/>
  <c r="C115" i="5" s="1"/>
  <c r="D22" i="6"/>
  <c r="E17" i="6"/>
  <c r="I17" i="6" s="1"/>
  <c r="C24" i="5"/>
  <c r="C58" i="5" s="1"/>
  <c r="C92" i="5" s="1"/>
  <c r="C127" i="5" s="1"/>
  <c r="E15" i="6"/>
  <c r="I15" i="6" s="1"/>
  <c r="C22" i="5"/>
  <c r="C56" i="5" s="1"/>
  <c r="C90" i="5" s="1"/>
  <c r="C125" i="5" s="1"/>
  <c r="C64" i="5"/>
  <c r="C98" i="5" s="1"/>
  <c r="C133" i="5" s="1"/>
  <c r="E23" i="6"/>
  <c r="I23" i="6" s="1"/>
  <c r="B92" i="5"/>
  <c r="B127" i="5" s="1"/>
  <c r="B98" i="5"/>
  <c r="B133" i="5" s="1"/>
  <c r="C29" i="5"/>
  <c r="C63" i="5" s="1"/>
  <c r="E22" i="6"/>
  <c r="I22" i="6" s="1"/>
  <c r="B125" i="5"/>
  <c r="N13" i="1"/>
  <c r="L8" i="1"/>
  <c r="N8" i="1"/>
  <c r="L5" i="1"/>
  <c r="N5" i="1"/>
  <c r="D14" i="4"/>
  <c r="D12" i="4"/>
  <c r="C21" i="4" s="1"/>
  <c r="D13" i="4"/>
  <c r="D15" i="4"/>
  <c r="L13" i="1"/>
  <c r="L6" i="1"/>
  <c r="L14" i="1"/>
  <c r="D7" i="5" l="1"/>
  <c r="D41" i="5" s="1"/>
  <c r="D75" i="5" s="1"/>
  <c r="D110" i="5" s="1"/>
  <c r="B41" i="5"/>
  <c r="D11" i="5"/>
  <c r="D45" i="5" s="1"/>
  <c r="D79" i="5" s="1"/>
  <c r="D114" i="5" s="1"/>
  <c r="B45" i="5"/>
  <c r="D4" i="5"/>
  <c r="B38" i="5"/>
  <c r="D3" i="5"/>
  <c r="D37" i="5" s="1"/>
  <c r="D71" i="5" s="1"/>
  <c r="D106" i="5" s="1"/>
  <c r="B37" i="5"/>
  <c r="D9" i="5"/>
  <c r="D43" i="5" s="1"/>
  <c r="D77" i="5" s="1"/>
  <c r="D112" i="5" s="1"/>
  <c r="B43" i="5"/>
  <c r="D13" i="5"/>
  <c r="D47" i="5" s="1"/>
  <c r="D81" i="5" s="1"/>
  <c r="D116" i="5" s="1"/>
  <c r="B47" i="5"/>
  <c r="D6" i="5"/>
  <c r="D40" i="5" s="1"/>
  <c r="D74" i="5" s="1"/>
  <c r="D109" i="5" s="1"/>
  <c r="B40" i="5"/>
  <c r="D10" i="5"/>
  <c r="D44" i="5" s="1"/>
  <c r="D78" i="5" s="1"/>
  <c r="D113" i="5" s="1"/>
  <c r="B44" i="5"/>
  <c r="D8" i="5"/>
  <c r="D42" i="5" s="1"/>
  <c r="D76" i="5" s="1"/>
  <c r="D111" i="5" s="1"/>
  <c r="B42" i="5"/>
  <c r="E14" i="6"/>
  <c r="I14" i="6" s="1"/>
  <c r="C21" i="5"/>
  <c r="C55" i="5" s="1"/>
  <c r="C89" i="5" s="1"/>
  <c r="C124" i="5" s="1"/>
  <c r="D38" i="5"/>
  <c r="D72" i="5" s="1"/>
  <c r="D107" i="5" s="1"/>
  <c r="G21" i="6"/>
  <c r="G19" i="6"/>
  <c r="G15" i="6"/>
  <c r="G17" i="6"/>
  <c r="G20" i="6"/>
  <c r="G23" i="6"/>
  <c r="C37" i="5"/>
  <c r="G16" i="6"/>
  <c r="G14" i="6"/>
  <c r="G22" i="6"/>
  <c r="G18" i="6"/>
  <c r="C97" i="5"/>
  <c r="C132" i="5" s="1"/>
  <c r="F3" i="6"/>
  <c r="C22" i="4"/>
  <c r="G3" i="6" s="1"/>
  <c r="G5" i="6" s="1"/>
  <c r="D16" i="4"/>
  <c r="C24" i="4" s="1"/>
  <c r="I3" i="6" s="1"/>
  <c r="I5" i="6" s="1"/>
  <c r="C23" i="4"/>
  <c r="H3" i="6" s="1"/>
  <c r="F4" i="6"/>
  <c r="E3" i="5" s="1"/>
  <c r="C15" i="5" l="1"/>
  <c r="A35" i="5"/>
  <c r="C71" i="5"/>
  <c r="C49" i="5"/>
  <c r="F42" i="5"/>
  <c r="D59" i="5" s="1"/>
  <c r="D33" i="6" s="1"/>
  <c r="F46" i="5"/>
  <c r="D63" i="5" s="1"/>
  <c r="D37" i="6" s="1"/>
  <c r="G38" i="5"/>
  <c r="E55" i="5" s="1"/>
  <c r="F43" i="5"/>
  <c r="D60" i="5" s="1"/>
  <c r="D34" i="6" s="1"/>
  <c r="G47" i="5"/>
  <c r="E64" i="5" s="1"/>
  <c r="E38" i="6" s="1"/>
  <c r="F40" i="5"/>
  <c r="D57" i="5" s="1"/>
  <c r="D31" i="6" s="1"/>
  <c r="F37" i="5"/>
  <c r="G44" i="5"/>
  <c r="G40" i="5"/>
  <c r="G42" i="5"/>
  <c r="F44" i="5"/>
  <c r="D61" i="5" s="1"/>
  <c r="D35" i="6" s="1"/>
  <c r="F41" i="5"/>
  <c r="D58" i="5" s="1"/>
  <c r="D32" i="6" s="1"/>
  <c r="F47" i="5"/>
  <c r="D64" i="5" s="1"/>
  <c r="D38" i="6" s="1"/>
  <c r="F39" i="5"/>
  <c r="D56" i="5" s="1"/>
  <c r="D30" i="6" s="1"/>
  <c r="G39" i="5"/>
  <c r="E56" i="5" s="1"/>
  <c r="E30" i="6" s="1"/>
  <c r="F45" i="5"/>
  <c r="D62" i="5" s="1"/>
  <c r="D36" i="6" s="1"/>
  <c r="G37" i="5"/>
  <c r="G45" i="5"/>
  <c r="G43" i="5"/>
  <c r="G41" i="5"/>
  <c r="E58" i="5" s="1"/>
  <c r="E32" i="6" s="1"/>
  <c r="F38" i="5"/>
  <c r="D55" i="5" s="1"/>
  <c r="D29" i="6" s="1"/>
  <c r="G46" i="5"/>
  <c r="E63" i="5" s="1"/>
  <c r="E37" i="6" s="1"/>
  <c r="G107" i="5"/>
  <c r="E124" i="5" s="1"/>
  <c r="F115" i="5"/>
  <c r="D132" i="5" s="1"/>
  <c r="H37" i="6" s="1"/>
  <c r="F112" i="5"/>
  <c r="D129" i="5" s="1"/>
  <c r="H34" i="6" s="1"/>
  <c r="F111" i="5"/>
  <c r="D128" i="5" s="1"/>
  <c r="H33" i="6" s="1"/>
  <c r="F116" i="5"/>
  <c r="D133" i="5" s="1"/>
  <c r="H38" i="6" s="1"/>
  <c r="G116" i="5"/>
  <c r="E133" i="5" s="1"/>
  <c r="I38" i="6" s="1"/>
  <c r="G110" i="5"/>
  <c r="E127" i="5" s="1"/>
  <c r="I32" i="6" s="1"/>
  <c r="F107" i="5"/>
  <c r="D124" i="5" s="1"/>
  <c r="H29" i="6" s="1"/>
  <c r="G111" i="5"/>
  <c r="G114" i="5"/>
  <c r="F113" i="5"/>
  <c r="D130" i="5" s="1"/>
  <c r="H35" i="6" s="1"/>
  <c r="G108" i="5"/>
  <c r="E125" i="5" s="1"/>
  <c r="I30" i="6" s="1"/>
  <c r="G112" i="5"/>
  <c r="G115" i="5"/>
  <c r="E132" i="5" s="1"/>
  <c r="I37" i="6" s="1"/>
  <c r="G106" i="5"/>
  <c r="G113" i="5"/>
  <c r="F114" i="5"/>
  <c r="D131" i="5" s="1"/>
  <c r="H36" i="6" s="1"/>
  <c r="F108" i="5"/>
  <c r="D125" i="5" s="1"/>
  <c r="H30" i="6" s="1"/>
  <c r="F110" i="5"/>
  <c r="D127" i="5" s="1"/>
  <c r="H32" i="6" s="1"/>
  <c r="G109" i="5"/>
  <c r="F109" i="5"/>
  <c r="D126" i="5" s="1"/>
  <c r="H31" i="6" s="1"/>
  <c r="E4" i="5"/>
  <c r="E8" i="5"/>
  <c r="E12" i="5"/>
  <c r="E5" i="5"/>
  <c r="E9" i="5"/>
  <c r="E13" i="5"/>
  <c r="E6" i="5"/>
  <c r="E10" i="5"/>
  <c r="E7" i="5"/>
  <c r="E11" i="5"/>
  <c r="F5" i="6"/>
  <c r="F3" i="5" s="1"/>
  <c r="A1" i="5"/>
  <c r="C27" i="4"/>
  <c r="A104" i="5"/>
  <c r="I4" i="6"/>
  <c r="G4" i="6"/>
  <c r="C25" i="4"/>
  <c r="A69" i="5"/>
  <c r="H5" i="6"/>
  <c r="H4" i="6"/>
  <c r="J3" i="6"/>
  <c r="G4" i="5" l="1"/>
  <c r="C106" i="5"/>
  <c r="C83" i="5"/>
  <c r="G72" i="5"/>
  <c r="E89" i="5" s="1"/>
  <c r="F80" i="5"/>
  <c r="D97" i="5" s="1"/>
  <c r="F37" i="6" s="1"/>
  <c r="F77" i="5"/>
  <c r="D94" i="5" s="1"/>
  <c r="F34" i="6" s="1"/>
  <c r="F76" i="5"/>
  <c r="D93" i="5" s="1"/>
  <c r="F33" i="6" s="1"/>
  <c r="G76" i="5"/>
  <c r="F71" i="5"/>
  <c r="G71" i="5"/>
  <c r="G75" i="5"/>
  <c r="E92" i="5" s="1"/>
  <c r="G32" i="6" s="1"/>
  <c r="F72" i="5"/>
  <c r="D89" i="5" s="1"/>
  <c r="F29" i="6" s="1"/>
  <c r="G77" i="5"/>
  <c r="F81" i="5"/>
  <c r="D98" i="5" s="1"/>
  <c r="F38" i="6" s="1"/>
  <c r="G80" i="5"/>
  <c r="E97" i="5" s="1"/>
  <c r="G37" i="6" s="1"/>
  <c r="F78" i="5"/>
  <c r="D95" i="5" s="1"/>
  <c r="F35" i="6" s="1"/>
  <c r="F74" i="5"/>
  <c r="D91" i="5" s="1"/>
  <c r="F31" i="6" s="1"/>
  <c r="F79" i="5"/>
  <c r="D96" i="5" s="1"/>
  <c r="F36" i="6" s="1"/>
  <c r="G79" i="5"/>
  <c r="F75" i="5"/>
  <c r="D92" i="5" s="1"/>
  <c r="F32" i="6" s="1"/>
  <c r="G78" i="5"/>
  <c r="G73" i="5"/>
  <c r="E90" i="5" s="1"/>
  <c r="G30" i="6" s="1"/>
  <c r="F73" i="5"/>
  <c r="D90" i="5" s="1"/>
  <c r="F30" i="6" s="1"/>
  <c r="G81" i="5"/>
  <c r="E98" i="5" s="1"/>
  <c r="G38" i="6" s="1"/>
  <c r="G74" i="5"/>
  <c r="E29" i="6"/>
  <c r="E65" i="5"/>
  <c r="E108" i="5"/>
  <c r="E112" i="5"/>
  <c r="E116" i="5"/>
  <c r="E107" i="5"/>
  <c r="E111" i="5"/>
  <c r="E115" i="5"/>
  <c r="E106" i="5"/>
  <c r="E113" i="5"/>
  <c r="E114" i="5"/>
  <c r="E109" i="5"/>
  <c r="E110" i="5"/>
  <c r="I29" i="6"/>
  <c r="E134" i="5"/>
  <c r="F48" i="5"/>
  <c r="D54" i="5"/>
  <c r="E75" i="5"/>
  <c r="E79" i="5"/>
  <c r="E74" i="5"/>
  <c r="E78" i="5"/>
  <c r="E76" i="5"/>
  <c r="E77" i="5"/>
  <c r="E80" i="5"/>
  <c r="E81" i="5"/>
  <c r="E72" i="5"/>
  <c r="E71" i="5"/>
  <c r="E73" i="5"/>
  <c r="E39" i="5"/>
  <c r="E41" i="5"/>
  <c r="E43" i="5"/>
  <c r="E45" i="5"/>
  <c r="E47" i="5"/>
  <c r="E40" i="5"/>
  <c r="E44" i="5"/>
  <c r="E38" i="5"/>
  <c r="E46" i="5"/>
  <c r="E42" i="5"/>
  <c r="E37" i="5"/>
  <c r="G117" i="5"/>
  <c r="G48" i="5"/>
  <c r="J5" i="6"/>
  <c r="J4" i="6"/>
  <c r="E14" i="5"/>
  <c r="G6" i="5"/>
  <c r="G10" i="5"/>
  <c r="G3" i="5"/>
  <c r="F7" i="5"/>
  <c r="F11" i="5"/>
  <c r="G7" i="5"/>
  <c r="G11" i="5"/>
  <c r="F4" i="5"/>
  <c r="F8" i="5"/>
  <c r="F12" i="5"/>
  <c r="G8" i="5"/>
  <c r="G12" i="5"/>
  <c r="F5" i="5"/>
  <c r="F9" i="5"/>
  <c r="F13" i="5"/>
  <c r="G5" i="5"/>
  <c r="G9" i="5"/>
  <c r="G13" i="5"/>
  <c r="F6" i="5"/>
  <c r="F10" i="5"/>
  <c r="D27" i="5" l="1"/>
  <c r="B35" i="6" s="1"/>
  <c r="E22" i="5"/>
  <c r="C30" i="6" s="1"/>
  <c r="E29" i="5"/>
  <c r="C37" i="6" s="1"/>
  <c r="D24" i="5"/>
  <c r="B32" i="6" s="1"/>
  <c r="D20" i="5"/>
  <c r="B28" i="6" s="1"/>
  <c r="E30" i="5"/>
  <c r="C38" i="6" s="1"/>
  <c r="D29" i="5"/>
  <c r="B37" i="6" s="1"/>
  <c r="I39" i="6"/>
  <c r="I7" i="6" s="1"/>
  <c r="D23" i="5"/>
  <c r="B31" i="6" s="1"/>
  <c r="D26" i="5"/>
  <c r="B34" i="6" s="1"/>
  <c r="J34" i="6" s="1"/>
  <c r="E24" i="5"/>
  <c r="C32" i="6" s="1"/>
  <c r="D22" i="5"/>
  <c r="B30" i="6" s="1"/>
  <c r="D25" i="5"/>
  <c r="B33" i="6" s="1"/>
  <c r="D28" i="5"/>
  <c r="B36" i="6" s="1"/>
  <c r="E39" i="6"/>
  <c r="G7" i="6" s="1"/>
  <c r="E21" i="5"/>
  <c r="D21" i="5"/>
  <c r="B29" i="6" s="1"/>
  <c r="D30" i="5"/>
  <c r="J31" i="6"/>
  <c r="G49" i="5"/>
  <c r="C118" i="5"/>
  <c r="F106" i="5"/>
  <c r="J35" i="6"/>
  <c r="D28" i="6"/>
  <c r="D40" i="6" s="1"/>
  <c r="D65" i="5"/>
  <c r="D66" i="5" s="1"/>
  <c r="G82" i="5"/>
  <c r="E48" i="5"/>
  <c r="E49" i="5" s="1"/>
  <c r="E82" i="5"/>
  <c r="F82" i="5"/>
  <c r="D88" i="5"/>
  <c r="J33" i="6"/>
  <c r="E117" i="5"/>
  <c r="G29" i="6"/>
  <c r="E99" i="5"/>
  <c r="J37" i="6"/>
  <c r="G14" i="5"/>
  <c r="E31" i="5" l="1"/>
  <c r="C39" i="6" s="1"/>
  <c r="J32" i="6"/>
  <c r="D31" i="5"/>
  <c r="B39" i="6" s="1"/>
  <c r="C29" i="6"/>
  <c r="J29" i="6" s="1"/>
  <c r="J36" i="6"/>
  <c r="G39" i="6"/>
  <c r="H7" i="6" s="1"/>
  <c r="J30" i="6"/>
  <c r="F66" i="5"/>
  <c r="B38" i="6"/>
  <c r="G83" i="5"/>
  <c r="F117" i="5"/>
  <c r="G118" i="5" s="1"/>
  <c r="D123" i="5"/>
  <c r="F28" i="6"/>
  <c r="F40" i="6" s="1"/>
  <c r="D99" i="5"/>
  <c r="D100" i="5" s="1"/>
  <c r="D39" i="6"/>
  <c r="G6" i="6" s="1"/>
  <c r="E83" i="5"/>
  <c r="D32" i="5" l="1"/>
  <c r="B40" i="6"/>
  <c r="J38" i="6"/>
  <c r="E118" i="5"/>
  <c r="H28" i="6"/>
  <c r="H40" i="6" s="1"/>
  <c r="D134" i="5"/>
  <c r="D135" i="5" s="1"/>
  <c r="F39" i="6"/>
  <c r="H6" i="6" s="1"/>
  <c r="H39" i="6" l="1"/>
  <c r="I6" i="6" s="1"/>
  <c r="J28" i="6"/>
  <c r="F14" i="5" l="1"/>
  <c r="F7" i="6"/>
  <c r="J7" i="6" s="1"/>
  <c r="G15" i="5" l="1"/>
  <c r="F32" i="5" s="1"/>
  <c r="E15" i="5"/>
  <c r="F6" i="6"/>
  <c r="J6" i="6" l="1"/>
  <c r="J8" i="6" s="1"/>
  <c r="C49" i="6" l="1"/>
  <c r="A61" i="6"/>
  <c r="C67" i="6" s="1"/>
  <c r="C41" i="10" s="1"/>
  <c r="K29" i="6"/>
  <c r="C46" i="6"/>
  <c r="E52" i="6"/>
  <c r="G46" i="6"/>
  <c r="G53" i="6"/>
  <c r="E53" i="6"/>
  <c r="E49" i="6"/>
  <c r="I49" i="6"/>
  <c r="G51" i="6"/>
  <c r="G54" i="6"/>
  <c r="C53" i="6"/>
  <c r="I46" i="6"/>
  <c r="I53" i="6"/>
  <c r="G52" i="6"/>
  <c r="C54" i="6"/>
  <c r="G49" i="6"/>
  <c r="E46" i="6"/>
  <c r="I51" i="6"/>
  <c r="C52" i="6"/>
  <c r="I54" i="6"/>
  <c r="I52" i="6"/>
  <c r="E51" i="6"/>
  <c r="C51" i="6"/>
  <c r="E54" i="6"/>
  <c r="H50" i="6"/>
  <c r="D47" i="6"/>
  <c r="H48" i="6"/>
  <c r="E50" i="6"/>
  <c r="H49" i="6"/>
  <c r="D53" i="6"/>
  <c r="E55" i="6"/>
  <c r="H53" i="6"/>
  <c r="D56" i="6"/>
  <c r="I55" i="6"/>
  <c r="D54" i="6"/>
  <c r="H54" i="6"/>
  <c r="I48" i="6"/>
  <c r="D48" i="6"/>
  <c r="I50" i="6"/>
  <c r="E56" i="6"/>
  <c r="I56" i="6"/>
  <c r="D50" i="6"/>
  <c r="H56" i="6"/>
  <c r="H47" i="6"/>
  <c r="D49" i="6"/>
  <c r="H52" i="6"/>
  <c r="D51" i="6"/>
  <c r="H55" i="6"/>
  <c r="D52" i="6"/>
  <c r="E48" i="6"/>
  <c r="H51" i="6"/>
  <c r="D55" i="6"/>
  <c r="F53" i="6"/>
  <c r="F48" i="6"/>
  <c r="F56" i="6"/>
  <c r="F49" i="6"/>
  <c r="F47" i="6"/>
  <c r="G55" i="6"/>
  <c r="E47" i="6"/>
  <c r="F52" i="6"/>
  <c r="F55" i="6"/>
  <c r="G56" i="6"/>
  <c r="G50" i="6"/>
  <c r="G48" i="6"/>
  <c r="F50" i="6"/>
  <c r="I47" i="6"/>
  <c r="F51" i="6"/>
  <c r="F54" i="6"/>
  <c r="B46" i="6"/>
  <c r="B54" i="6"/>
  <c r="C48" i="6"/>
  <c r="B49" i="6"/>
  <c r="B48" i="6"/>
  <c r="D46" i="6"/>
  <c r="B55" i="6"/>
  <c r="B51" i="6"/>
  <c r="B50" i="6"/>
  <c r="B47" i="6"/>
  <c r="C47" i="6"/>
  <c r="B52" i="6"/>
  <c r="C55" i="6"/>
  <c r="C56" i="6"/>
  <c r="G47" i="6"/>
  <c r="C50" i="6"/>
  <c r="B53" i="6"/>
  <c r="F46" i="6"/>
  <c r="B56" i="6"/>
  <c r="H46" i="6"/>
  <c r="K31" i="6"/>
  <c r="L31" i="6" s="1"/>
  <c r="K35" i="6"/>
  <c r="L35" i="6" s="1"/>
  <c r="K32" i="6"/>
  <c r="L32" i="6" s="1"/>
  <c r="K36" i="6"/>
  <c r="L36" i="6" s="1"/>
  <c r="K33" i="6"/>
  <c r="L33" i="6" s="1"/>
  <c r="K37" i="6"/>
  <c r="L37" i="6" s="1"/>
  <c r="K30" i="6"/>
  <c r="L30" i="6" s="1"/>
  <c r="K34" i="6"/>
  <c r="L34" i="6" s="1"/>
  <c r="K38" i="6"/>
  <c r="L38" i="6" s="1"/>
  <c r="K28" i="6"/>
  <c r="L28" i="6" s="1"/>
  <c r="C68" i="6" l="1"/>
  <c r="C86" i="6" s="1"/>
  <c r="E86" i="6" s="1"/>
  <c r="B69" i="6"/>
  <c r="B87" i="6" s="1"/>
  <c r="D87" i="6" s="1"/>
  <c r="F72" i="6"/>
  <c r="F46" i="10" s="1"/>
  <c r="B70" i="6"/>
  <c r="B44" i="10" s="1"/>
  <c r="B67" i="6"/>
  <c r="B85" i="6" s="1"/>
  <c r="D85" i="6" s="1"/>
  <c r="B71" i="6"/>
  <c r="B89" i="6" s="1"/>
  <c r="D89" i="6" s="1"/>
  <c r="C73" i="6"/>
  <c r="C91" i="6" s="1"/>
  <c r="E91" i="6" s="1"/>
  <c r="B68" i="6"/>
  <c r="B42" i="10" s="1"/>
  <c r="B64" i="6"/>
  <c r="B82" i="6" s="1"/>
  <c r="E21" i="10" s="1"/>
  <c r="F68" i="6"/>
  <c r="F42" i="10" s="1"/>
  <c r="F73" i="6"/>
  <c r="F47" i="10" s="1"/>
  <c r="F65" i="6"/>
  <c r="F39" i="10" s="1"/>
  <c r="F71" i="6"/>
  <c r="F45" i="10" s="1"/>
  <c r="D70" i="6"/>
  <c r="D44" i="10" s="1"/>
  <c r="D67" i="6"/>
  <c r="D41" i="10" s="1"/>
  <c r="I74" i="6"/>
  <c r="I48" i="10" s="1"/>
  <c r="I66" i="6"/>
  <c r="I40" i="10" s="1"/>
  <c r="G66" i="6"/>
  <c r="G40" i="10" s="1"/>
  <c r="D74" i="6"/>
  <c r="D48" i="10" s="1"/>
  <c r="F70" i="6"/>
  <c r="F44" i="10" s="1"/>
  <c r="H67" i="6"/>
  <c r="H41" i="10" s="1"/>
  <c r="H68" i="6"/>
  <c r="H42" i="10" s="1"/>
  <c r="I70" i="6"/>
  <c r="I44" i="10" s="1"/>
  <c r="F67" i="6"/>
  <c r="F41" i="10" s="1"/>
  <c r="D73" i="6"/>
  <c r="D47" i="10" s="1"/>
  <c r="H73" i="6"/>
  <c r="H47" i="10" s="1"/>
  <c r="B74" i="6"/>
  <c r="C65" i="6"/>
  <c r="C74" i="6"/>
  <c r="B65" i="6"/>
  <c r="B72" i="6"/>
  <c r="I65" i="6"/>
  <c r="I39" i="10" s="1"/>
  <c r="G74" i="6"/>
  <c r="G48" i="10" s="1"/>
  <c r="G73" i="6"/>
  <c r="G47" i="10" s="1"/>
  <c r="F66" i="6"/>
  <c r="F40" i="10" s="1"/>
  <c r="E66" i="6"/>
  <c r="E40" i="10" s="1"/>
  <c r="H70" i="6"/>
  <c r="H44" i="10" s="1"/>
  <c r="D68" i="6"/>
  <c r="D42" i="10" s="1"/>
  <c r="I69" i="6"/>
  <c r="I43" i="10" s="1"/>
  <c r="G70" i="6"/>
  <c r="G44" i="10" s="1"/>
  <c r="G72" i="6"/>
  <c r="G46" i="10" s="1"/>
  <c r="E71" i="6"/>
  <c r="E45" i="10" s="1"/>
  <c r="H65" i="6"/>
  <c r="H39" i="10" s="1"/>
  <c r="I72" i="6"/>
  <c r="I46" i="10" s="1"/>
  <c r="G67" i="6"/>
  <c r="G41" i="10" s="1"/>
  <c r="I67" i="6"/>
  <c r="I41" i="10" s="1"/>
  <c r="G65" i="6"/>
  <c r="G39" i="10" s="1"/>
  <c r="B73" i="6"/>
  <c r="C66" i="6"/>
  <c r="F69" i="6"/>
  <c r="F43" i="10" s="1"/>
  <c r="G68" i="6"/>
  <c r="G42" i="10" s="1"/>
  <c r="E65" i="6"/>
  <c r="E39" i="10" s="1"/>
  <c r="F74" i="6"/>
  <c r="F48" i="10" s="1"/>
  <c r="H69" i="6"/>
  <c r="H43" i="10" s="1"/>
  <c r="D69" i="6"/>
  <c r="D43" i="10" s="1"/>
  <c r="H74" i="6"/>
  <c r="H48" i="10" s="1"/>
  <c r="I68" i="6"/>
  <c r="I42" i="10" s="1"/>
  <c r="D72" i="6"/>
  <c r="D46" i="10" s="1"/>
  <c r="E73" i="6"/>
  <c r="E47" i="10" s="1"/>
  <c r="H66" i="6"/>
  <c r="H40" i="10" s="1"/>
  <c r="C69" i="6"/>
  <c r="C43" i="10" s="1"/>
  <c r="E74" i="6"/>
  <c r="E48" i="10" s="1"/>
  <c r="H72" i="6"/>
  <c r="H46" i="10" s="1"/>
  <c r="H71" i="6"/>
  <c r="H45" i="10" s="1"/>
  <c r="E68" i="6"/>
  <c r="E42" i="10" s="1"/>
  <c r="E72" i="6"/>
  <c r="E46" i="10" s="1"/>
  <c r="I71" i="6"/>
  <c r="I45" i="10" s="1"/>
  <c r="G69" i="6"/>
  <c r="G43" i="10" s="1"/>
  <c r="G71" i="6"/>
  <c r="G45" i="10" s="1"/>
  <c r="D66" i="6"/>
  <c r="D40" i="10" s="1"/>
  <c r="I73" i="6"/>
  <c r="I47" i="10" s="1"/>
  <c r="D71" i="6"/>
  <c r="D45" i="10" s="1"/>
  <c r="D65" i="6"/>
  <c r="D39" i="10" s="1"/>
  <c r="E69" i="6"/>
  <c r="E43" i="10" s="1"/>
  <c r="C70" i="6"/>
  <c r="C44" i="10" s="1"/>
  <c r="C72" i="6"/>
  <c r="C46" i="10" s="1"/>
  <c r="C71" i="6"/>
  <c r="C45" i="10" s="1"/>
  <c r="E67" i="6"/>
  <c r="E41" i="10" s="1"/>
  <c r="E70" i="6"/>
  <c r="E44" i="10" s="1"/>
  <c r="B66" i="6"/>
  <c r="I64" i="6"/>
  <c r="I38" i="10" s="1"/>
  <c r="I57" i="6"/>
  <c r="G64" i="6"/>
  <c r="G38" i="10" s="1"/>
  <c r="G57" i="6"/>
  <c r="F64" i="6"/>
  <c r="F38" i="10" s="1"/>
  <c r="F57" i="6"/>
  <c r="D57" i="6"/>
  <c r="D64" i="6"/>
  <c r="D38" i="10" s="1"/>
  <c r="H57" i="6"/>
  <c r="H64" i="6"/>
  <c r="H38" i="10" s="1"/>
  <c r="B57" i="6"/>
  <c r="C64" i="6"/>
  <c r="C38" i="10" s="1"/>
  <c r="C57" i="6"/>
  <c r="E64" i="6"/>
  <c r="E38" i="10" s="1"/>
  <c r="E57" i="6"/>
  <c r="K39" i="6"/>
  <c r="L29" i="6"/>
  <c r="B88" i="6" l="1"/>
  <c r="E27" i="10" s="1"/>
  <c r="B41" i="10"/>
  <c r="C42" i="10"/>
  <c r="B43" i="10"/>
  <c r="B86" i="6"/>
  <c r="C47" i="10"/>
  <c r="B45" i="10"/>
  <c r="B38" i="10"/>
  <c r="E24" i="10"/>
  <c r="F30" i="10"/>
  <c r="G49" i="10"/>
  <c r="E49" i="10"/>
  <c r="H49" i="10"/>
  <c r="F49" i="10"/>
  <c r="I49" i="10"/>
  <c r="D49" i="10"/>
  <c r="F25" i="10"/>
  <c r="E28" i="10"/>
  <c r="E26" i="10"/>
  <c r="C92" i="6"/>
  <c r="E92" i="6" s="1"/>
  <c r="C48" i="10"/>
  <c r="B91" i="6"/>
  <c r="E30" i="10" s="1"/>
  <c r="B47" i="10"/>
  <c r="B90" i="6"/>
  <c r="D90" i="6" s="1"/>
  <c r="B46" i="10"/>
  <c r="B92" i="6"/>
  <c r="D92" i="6" s="1"/>
  <c r="B48" i="10"/>
  <c r="B83" i="6"/>
  <c r="D83" i="6" s="1"/>
  <c r="B39" i="10"/>
  <c r="C84" i="6"/>
  <c r="E84" i="6" s="1"/>
  <c r="C40" i="10"/>
  <c r="B84" i="6"/>
  <c r="E23" i="10" s="1"/>
  <c r="B40" i="10"/>
  <c r="C83" i="6"/>
  <c r="E83" i="6" s="1"/>
  <c r="C39" i="10"/>
  <c r="F75" i="6"/>
  <c r="D13" i="10" s="1"/>
  <c r="H75" i="6"/>
  <c r="E13" i="10" s="1"/>
  <c r="I75" i="6"/>
  <c r="E14" i="10" s="1"/>
  <c r="C75" i="6"/>
  <c r="B14" i="10" s="1"/>
  <c r="G75" i="6"/>
  <c r="D75" i="6"/>
  <c r="C13" i="10" s="1"/>
  <c r="E75" i="6"/>
  <c r="C14" i="10" s="1"/>
  <c r="J57" i="6"/>
  <c r="B75" i="6"/>
  <c r="B13" i="10" s="1"/>
  <c r="D82" i="6"/>
  <c r="D88" i="6" l="1"/>
  <c r="D84" i="6"/>
  <c r="E25" i="10"/>
  <c r="D86" i="6"/>
  <c r="F31" i="10"/>
  <c r="E29" i="10"/>
  <c r="C49" i="10"/>
  <c r="B49" i="10"/>
  <c r="D91" i="6"/>
  <c r="E22" i="10"/>
  <c r="F23" i="10"/>
  <c r="E31" i="10"/>
  <c r="F22" i="10"/>
  <c r="C15" i="10"/>
  <c r="E15" i="10"/>
  <c r="F13" i="10"/>
  <c r="G13" i="10" s="1"/>
  <c r="B15" i="10"/>
  <c r="F76" i="6"/>
  <c r="D14" i="10"/>
  <c r="F14" i="10" s="1"/>
  <c r="G14" i="10" s="1"/>
  <c r="H76" i="6"/>
  <c r="D76" i="6"/>
  <c r="B76" i="6"/>
  <c r="J75" i="6"/>
  <c r="D15" i="10" l="1"/>
  <c r="F15" i="10"/>
  <c r="G15" i="10" s="1"/>
  <c r="D77" i="6"/>
  <c r="F77" i="6"/>
  <c r="H77" i="6"/>
  <c r="B77" i="6"/>
</calcChain>
</file>

<file path=xl/comments1.xml><?xml version="1.0" encoding="utf-8"?>
<comments xmlns="http://schemas.openxmlformats.org/spreadsheetml/2006/main">
  <authors>
    <author>Navratil Roman</author>
  </authors>
  <commentList>
    <comment ref="J2" authorId="0" shapeId="0">
      <text>
        <r>
          <rPr>
            <b/>
            <sz val="8"/>
            <color indexed="81"/>
            <rFont val="Segoe UI"/>
            <family val="2"/>
            <charset val="238"/>
          </rPr>
          <t>Navratil Roman:</t>
        </r>
        <r>
          <rPr>
            <sz val="8"/>
            <color indexed="81"/>
            <rFont val="Segoe UI"/>
            <family val="2"/>
            <charset val="238"/>
          </rPr>
          <t xml:space="preserve">
105
120
125
137
Spolu 487</t>
        </r>
      </text>
    </comment>
  </commentList>
</comments>
</file>

<file path=xl/sharedStrings.xml><?xml version="1.0" encoding="utf-8"?>
<sst xmlns="http://schemas.openxmlformats.org/spreadsheetml/2006/main" count="537" uniqueCount="195">
  <si>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</si>
  <si>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</si>
  <si>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</si>
  <si>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</si>
  <si>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</si>
  <si>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</si>
  <si>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</si>
  <si>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</si>
  <si>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</si>
  <si>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Školiteľ pre IT systémy</t>
  </si>
  <si>
    <t>IT/IS konzultant (napr. SAP)</t>
  </si>
  <si>
    <t>Sadzba</t>
  </si>
  <si>
    <t>počet ČD</t>
  </si>
  <si>
    <t>Podieľ ČD</t>
  </si>
  <si>
    <t>S</t>
  </si>
  <si>
    <t>J</t>
  </si>
  <si>
    <t>SJ</t>
  </si>
  <si>
    <t>Senior/Junior</t>
  </si>
  <si>
    <t>Expert (VO)</t>
  </si>
  <si>
    <t>A</t>
  </si>
  <si>
    <t>N</t>
  </si>
  <si>
    <t>Aplikačná modul / počet ČD</t>
  </si>
  <si>
    <t>Analýza a dizajn</t>
  </si>
  <si>
    <t>Implementácia</t>
  </si>
  <si>
    <t>Testovanie</t>
  </si>
  <si>
    <t>Nasadenie</t>
  </si>
  <si>
    <t>Spolu ČD</t>
  </si>
  <si>
    <t>Spolu EUR</t>
  </si>
  <si>
    <t>Migrácia I</t>
  </si>
  <si>
    <t>Migrácia II</t>
  </si>
  <si>
    <t>Migrácia IIII</t>
  </si>
  <si>
    <t>Migrácia IV</t>
  </si>
  <si>
    <t>AM1</t>
  </si>
  <si>
    <t>Personalistika</t>
  </si>
  <si>
    <t>AM2</t>
  </si>
  <si>
    <t>Mzdy</t>
  </si>
  <si>
    <t>AM3</t>
  </si>
  <si>
    <t>Organizačný manažment</t>
  </si>
  <si>
    <t>AM4</t>
  </si>
  <si>
    <t>Časový manažment</t>
  </si>
  <si>
    <t>AM5</t>
  </si>
  <si>
    <t>Talent manažment</t>
  </si>
  <si>
    <t>AM6</t>
  </si>
  <si>
    <t>Sociálne zabezpečenie</t>
  </si>
  <si>
    <t>AM7</t>
  </si>
  <si>
    <t>Správa služobných ciest</t>
  </si>
  <si>
    <t>AM8</t>
  </si>
  <si>
    <t>Manažment vozového parku</t>
  </si>
  <si>
    <t>AM9</t>
  </si>
  <si>
    <t>Materiálové hospodárstvo</t>
  </si>
  <si>
    <t>AM10</t>
  </si>
  <si>
    <t>Predaj služieb</t>
  </si>
  <si>
    <t>AM11</t>
  </si>
  <si>
    <t>Cloudové služby</t>
  </si>
  <si>
    <t>AM12</t>
  </si>
  <si>
    <t>Služby používateľov</t>
  </si>
  <si>
    <t>AM13</t>
  </si>
  <si>
    <t>Portál</t>
  </si>
  <si>
    <t>AM14</t>
  </si>
  <si>
    <t>Základná finančná kontrola</t>
  </si>
  <si>
    <t>AM15</t>
  </si>
  <si>
    <t>Rozpočet</t>
  </si>
  <si>
    <t>AM16</t>
  </si>
  <si>
    <t>Správa nehnuteľností</t>
  </si>
  <si>
    <t>AM17</t>
  </si>
  <si>
    <t>Konsolidácia</t>
  </si>
  <si>
    <t>AM18</t>
  </si>
  <si>
    <t>Finančné účtovníctvo</t>
  </si>
  <si>
    <t>AM19</t>
  </si>
  <si>
    <t>Kontroling</t>
  </si>
  <si>
    <t>AM20</t>
  </si>
  <si>
    <t>Riadenie projektov</t>
  </si>
  <si>
    <t>AM21</t>
  </si>
  <si>
    <t>Evidovanie zmlúv a zverejňovanie do CRZ</t>
  </si>
  <si>
    <t>AM22</t>
  </si>
  <si>
    <t>Evidencia majetku</t>
  </si>
  <si>
    <t>AM23</t>
  </si>
  <si>
    <t>Zmluvné účty</t>
  </si>
  <si>
    <t>AM24</t>
  </si>
  <si>
    <t>Služby vysunutých pracovísk</t>
  </si>
  <si>
    <t>AM25</t>
  </si>
  <si>
    <t>Kritické oprávnenia</t>
  </si>
  <si>
    <t>AM26</t>
  </si>
  <si>
    <t>Podpora rozhrania pre mobilné aplikácie</t>
  </si>
  <si>
    <t>AM27</t>
  </si>
  <si>
    <t>Reporting</t>
  </si>
  <si>
    <t>AM28</t>
  </si>
  <si>
    <t>Centrálne kmeňové dáta a číselníky</t>
  </si>
  <si>
    <t>AM29</t>
  </si>
  <si>
    <t>Integrácia subsystémov a externých systémov</t>
  </si>
  <si>
    <t>Spolu</t>
  </si>
  <si>
    <t>Spolu (%)</t>
  </si>
  <si>
    <t>Priemer/sumár</t>
  </si>
  <si>
    <t>Implementácia riešenia (vrátane migrácie organizácií) v EUR</t>
  </si>
  <si>
    <t>Rocne výdavky na AP v % (po plnom nábehu)</t>
  </si>
  <si>
    <t>Rocne výdavky na AP v EUR (po plnom nábehu)</t>
  </si>
  <si>
    <t>Nábeh organizácií</t>
  </si>
  <si>
    <t>Počet organizácií</t>
  </si>
  <si>
    <t>%</t>
  </si>
  <si>
    <t>Migrácia I (2020)</t>
  </si>
  <si>
    <t>Migrácia II (2021)</t>
  </si>
  <si>
    <t>Migrácia IIII (2022)</t>
  </si>
  <si>
    <t>Migrácia IV (2023)</t>
  </si>
  <si>
    <t>Aplikačná podpora v rokoch</t>
  </si>
  <si>
    <t>EUR</t>
  </si>
  <si>
    <t>2024+</t>
  </si>
  <si>
    <t>Sadzba na AP/Senior</t>
  </si>
  <si>
    <t>Min</t>
  </si>
  <si>
    <t>Max</t>
  </si>
  <si>
    <t>Sadzba na AP/Junior</t>
  </si>
  <si>
    <t>Min/Min</t>
  </si>
  <si>
    <t>Min/Max</t>
  </si>
  <si>
    <t>Max/Min</t>
  </si>
  <si>
    <t>Max/Max</t>
  </si>
  <si>
    <t>Sadzba z PRO</t>
  </si>
  <si>
    <t>Podiel Paušál</t>
  </si>
  <si>
    <t>Zníženie sadzby S MIN</t>
  </si>
  <si>
    <t>Zníženie sadzby S MAX</t>
  </si>
  <si>
    <t>Zníženie sadzby J voči S MIN</t>
  </si>
  <si>
    <t>Zníženie sadzby J voči S MAX</t>
  </si>
  <si>
    <t>Podiel na AP Paušál</t>
  </si>
  <si>
    <t>Počet ČD na AP Nadpaušál</t>
  </si>
  <si>
    <t>Podiel Nadpaušál</t>
  </si>
  <si>
    <t>Projekt</t>
  </si>
  <si>
    <t>SENIOR AP</t>
  </si>
  <si>
    <t>JUNIOR AP</t>
  </si>
  <si>
    <t>Podiel výkonov S</t>
  </si>
  <si>
    <t>Podiel výkonov J</t>
  </si>
  <si>
    <t>AP 2020</t>
  </si>
  <si>
    <t>AP 2021</t>
  </si>
  <si>
    <t>AP 2022</t>
  </si>
  <si>
    <t>AP 2023</t>
  </si>
  <si>
    <t>Sumár</t>
  </si>
  <si>
    <t>Počet organizácií v migrácii</t>
  </si>
  <si>
    <t>Výdavky na AP Celkom</t>
  </si>
  <si>
    <t>Výdavky na AP Paušál</t>
  </si>
  <si>
    <t>Výdavky na AP Nadpaušál</t>
  </si>
  <si>
    <t>Pôvodný</t>
  </si>
  <si>
    <t>s DPH</t>
  </si>
  <si>
    <t>MD</t>
  </si>
  <si>
    <t>Počet MD</t>
  </si>
  <si>
    <t>Celkové výdavky</t>
  </si>
  <si>
    <t>Pomer MD</t>
  </si>
  <si>
    <t>Podieľ ČD S</t>
  </si>
  <si>
    <t>Podieľ ČD J</t>
  </si>
  <si>
    <t>Podiel na AP Nadpaušál S</t>
  </si>
  <si>
    <t>Podiel na AP Nadpaušál J</t>
  </si>
  <si>
    <t>Počet ČD S</t>
  </si>
  <si>
    <t>Počet ČD J</t>
  </si>
  <si>
    <t>Počet ČD na AP Nadpaušál S</t>
  </si>
  <si>
    <t>Počet ČD na AP Nadpaušál J</t>
  </si>
  <si>
    <t>Podiel</t>
  </si>
  <si>
    <t>Suma</t>
  </si>
  <si>
    <t>S 80%</t>
  </si>
  <si>
    <t>J 60%</t>
  </si>
  <si>
    <t>Tester</t>
  </si>
  <si>
    <t>Podieľ Súm S</t>
  </si>
  <si>
    <t>Podieľ Súm J</t>
  </si>
  <si>
    <t>Rozdelenie Nových ČD</t>
  </si>
  <si>
    <t>Určenie nových Sadzieb</t>
  </si>
  <si>
    <t>Nová Sadzba</t>
  </si>
  <si>
    <t>AP</t>
  </si>
  <si>
    <t>Zníženie S</t>
  </si>
  <si>
    <t>Zníženie J</t>
  </si>
  <si>
    <t>Aktuálny počet ČD</t>
  </si>
  <si>
    <t>Určenie % podielu akt. ČD</t>
  </si>
  <si>
    <t>Počet ČD na Nad paušál</t>
  </si>
  <si>
    <t>Spolu za rok</t>
  </si>
  <si>
    <t>Koeficient</t>
  </si>
  <si>
    <r>
      <t xml:space="preserve">Počet ČD na Nad paušál - </t>
    </r>
    <r>
      <rPr>
        <b/>
        <sz val="11"/>
        <color theme="1"/>
        <rFont val="Calibri"/>
        <family val="2"/>
        <charset val="238"/>
        <scheme val="minor"/>
      </rPr>
      <t>Senior</t>
    </r>
  </si>
  <si>
    <r>
      <t xml:space="preserve">Počet ČD na Nad paušál - </t>
    </r>
    <r>
      <rPr>
        <b/>
        <sz val="11"/>
        <color theme="1"/>
        <rFont val="Calibri"/>
        <family val="2"/>
        <charset val="238"/>
        <scheme val="minor"/>
      </rPr>
      <t>Junior</t>
    </r>
  </si>
  <si>
    <t>Počet ČD na Nad paušál - spolu</t>
  </si>
  <si>
    <t>Východiskové hodnoty</t>
  </si>
  <si>
    <r>
      <t>Počet ČD na Nad paušál -</t>
    </r>
    <r>
      <rPr>
        <b/>
        <sz val="11"/>
        <color theme="1"/>
        <rFont val="Calibri"/>
        <family val="2"/>
        <charset val="238"/>
        <scheme val="minor"/>
      </rPr>
      <t xml:space="preserve"> Senior </t>
    </r>
  </si>
  <si>
    <r>
      <t xml:space="preserve">Počet ČD na Nad paušál - </t>
    </r>
    <r>
      <rPr>
        <b/>
        <sz val="11"/>
        <color theme="1"/>
        <rFont val="Calibri"/>
        <family val="2"/>
        <charset val="238"/>
        <scheme val="minor"/>
      </rPr>
      <t xml:space="preserve">Junior </t>
    </r>
  </si>
  <si>
    <r>
      <t>Počet ČD na Nad paušál - spolu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</si>
  <si>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Východiskové hodnoty s koeficientom = 1,0000</t>
  </si>
  <si>
    <t>Vypočítané hodnoty s koeficientom =</t>
  </si>
  <si>
    <t>Pozícia</t>
  </si>
  <si>
    <t>Vypočítané hodnoty s koef. =</t>
  </si>
  <si>
    <t>Projekt Implementácie MAX</t>
  </si>
  <si>
    <t>Služby podpory - Nad paušál: Senior</t>
  </si>
  <si>
    <t>Služby podpory - Nad paušál: Junior</t>
  </si>
  <si>
    <t>IT/IS konzultant</t>
  </si>
  <si>
    <t>Senior</t>
  </si>
  <si>
    <t>Junior</t>
  </si>
  <si>
    <t>Rozdelenie ČD podľa pozícií a rokov</t>
  </si>
  <si>
    <t>Koeficient navýšenia počtu ČD</t>
  </si>
  <si>
    <t>1. rok AP</t>
  </si>
  <si>
    <t>2. rok AP</t>
  </si>
  <si>
    <t>3. rok AP</t>
  </si>
  <si>
    <t>4. rok AP</t>
  </si>
  <si>
    <t>Spolu k1,0</t>
  </si>
  <si>
    <r>
      <t xml:space="preserve">Rozdiel 
</t>
    </r>
    <r>
      <rPr>
        <b/>
        <sz val="8"/>
        <color theme="1"/>
        <rFont val="Calibri"/>
        <family val="2"/>
        <charset val="238"/>
        <scheme val="minor"/>
      </rPr>
      <t>Spolu - Spolu k1,0</t>
    </r>
  </si>
  <si>
    <t>&lt;-- vpíšte výšku koeficientu, ktorý chcete uplatniť v kritériu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</si>
</sst>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0.000000%"/>
    <numFmt numFmtId="166" formatCode="_-* #,##0.000\ _€_-;\-* #,##0.000\ _€_-;_-* &quot;-&quot;??\ _€_-;_-@_-"/>
    <numFmt numFmtId="167" formatCode="_-* #,##0.000000\ _€_-;\-* #,##0.000000\ _€_-;_-* &quot;-&quot;??\ _€_-;_-@_-"/>
    <numFmt numFmtId="168" formatCode="0.0000"/>
    <numFmt numFmtId="169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1"/>
      <name val="Segoe UI"/>
      <family val="2"/>
      <charset val="238"/>
    </font>
    <font>
      <b/>
      <sz val="8"/>
      <color indexed="81"/>
      <name val="Segoe U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9" fontId="0" fillId="0" borderId="0" xfId="3" applyFont="1"/>
    <xf numFmtId="10" fontId="0" fillId="0" borderId="0" xfId="3" applyNumberFormat="1" applyFont="1"/>
    <xf numFmtId="44" fontId="0" fillId="0" borderId="0" xfId="2" applyFont="1"/>
    <xf numFmtId="43" fontId="0" fillId="0" borderId="0" xfId="1" applyFont="1"/>
    <xf numFmtId="43" fontId="3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44" fontId="0" fillId="0" borderId="1" xfId="2" applyFont="1" applyBorder="1"/>
    <xf numFmtId="43" fontId="0" fillId="0" borderId="1" xfId="1" applyFont="1" applyBorder="1"/>
    <xf numFmtId="10" fontId="0" fillId="0" borderId="1" xfId="3" applyNumberFormat="1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1" applyNumberFormat="1" applyFont="1" applyFill="1" applyBorder="1" applyAlignment="1">
      <alignment vertical="center"/>
    </xf>
    <xf numFmtId="3" fontId="0" fillId="5" borderId="1" xfId="1" applyNumberFormat="1" applyFont="1" applyFill="1" applyBorder="1"/>
    <xf numFmtId="3" fontId="3" fillId="2" borderId="1" xfId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10" fontId="0" fillId="2" borderId="1" xfId="3" applyNumberFormat="1" applyFont="1" applyFill="1" applyBorder="1" applyAlignment="1">
      <alignment horizontal="center" vertical="center"/>
    </xf>
    <xf numFmtId="10" fontId="0" fillId="5" borderId="1" xfId="3" applyNumberFormat="1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44" fontId="3" fillId="0" borderId="1" xfId="2" applyFont="1" applyBorder="1"/>
    <xf numFmtId="43" fontId="3" fillId="0" borderId="1" xfId="1" applyFont="1" applyBorder="1"/>
    <xf numFmtId="10" fontId="3" fillId="0" borderId="1" xfId="3" applyNumberFormat="1" applyFont="1" applyBorder="1"/>
    <xf numFmtId="0" fontId="3" fillId="0" borderId="1" xfId="0" applyFont="1" applyBorder="1" applyAlignment="1">
      <alignment horizontal="center" vertical="top"/>
    </xf>
    <xf numFmtId="44" fontId="3" fillId="7" borderId="1" xfId="2" applyFont="1" applyFill="1" applyBorder="1" applyAlignment="1">
      <alignment horizontal="center" vertical="center"/>
    </xf>
    <xf numFmtId="43" fontId="3" fillId="7" borderId="1" xfId="1" applyFont="1" applyFill="1" applyBorder="1" applyAlignment="1">
      <alignment horizontal="center" vertical="center"/>
    </xf>
    <xf numFmtId="10" fontId="3" fillId="7" borderId="1" xfId="3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3" fontId="0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0" fontId="0" fillId="0" borderId="0" xfId="3" applyNumberFormat="1" applyFont="1" applyAlignment="1">
      <alignment horizontal="right"/>
    </xf>
    <xf numFmtId="0" fontId="5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/>
    <xf numFmtId="0" fontId="0" fillId="0" borderId="2" xfId="0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44" fontId="0" fillId="0" borderId="0" xfId="0" applyNumberFormat="1"/>
    <xf numFmtId="9" fontId="3" fillId="0" borderId="0" xfId="3" applyFont="1"/>
    <xf numFmtId="0" fontId="0" fillId="4" borderId="0" xfId="0" applyFill="1" applyAlignment="1">
      <alignment horizontal="center" vertical="center"/>
    </xf>
    <xf numFmtId="44" fontId="0" fillId="4" borderId="0" xfId="0" applyNumberFormat="1" applyFill="1"/>
    <xf numFmtId="0" fontId="0" fillId="6" borderId="0" xfId="0" applyFill="1" applyAlignment="1">
      <alignment horizontal="center" vertical="center"/>
    </xf>
    <xf numFmtId="44" fontId="0" fillId="6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3" fillId="0" borderId="0" xfId="3" applyNumberFormat="1" applyFont="1" applyFill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44" fontId="0" fillId="0" borderId="0" xfId="0" applyNumberFormat="1" applyFill="1"/>
    <xf numFmtId="44" fontId="3" fillId="0" borderId="0" xfId="0" applyNumberFormat="1" applyFont="1"/>
    <xf numFmtId="9" fontId="0" fillId="0" borderId="0" xfId="3" applyFont="1" applyFill="1"/>
    <xf numFmtId="43" fontId="3" fillId="0" borderId="0" xfId="0" applyNumberFormat="1" applyFont="1"/>
    <xf numFmtId="0" fontId="0" fillId="0" borderId="1" xfId="0" applyFont="1" applyBorder="1"/>
    <xf numFmtId="0" fontId="0" fillId="0" borderId="0" xfId="0" applyFont="1"/>
    <xf numFmtId="0" fontId="3" fillId="0" borderId="0" xfId="0" applyFont="1" applyFill="1" applyAlignment="1">
      <alignment horizontal="center" vertical="center"/>
    </xf>
    <xf numFmtId="9" fontId="3" fillId="0" borderId="0" xfId="3" applyFont="1" applyFill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44" fontId="0" fillId="5" borderId="0" xfId="0" applyNumberFormat="1" applyFill="1"/>
    <xf numFmtId="0" fontId="0" fillId="6" borderId="0" xfId="0" applyFill="1"/>
    <xf numFmtId="0" fontId="0" fillId="4" borderId="0" xfId="0" applyFill="1"/>
    <xf numFmtId="0" fontId="0" fillId="0" borderId="0" xfId="0" applyFill="1"/>
    <xf numFmtId="0" fontId="0" fillId="0" borderId="0" xfId="0" applyFont="1" applyBorder="1"/>
    <xf numFmtId="0" fontId="0" fillId="0" borderId="8" xfId="0" applyFont="1" applyFill="1" applyBorder="1"/>
    <xf numFmtId="0" fontId="0" fillId="0" borderId="4" xfId="0" applyFont="1" applyBorder="1"/>
    <xf numFmtId="0" fontId="0" fillId="0" borderId="7" xfId="0" applyFont="1" applyFill="1" applyBorder="1"/>
    <xf numFmtId="43" fontId="0" fillId="0" borderId="0" xfId="0" applyNumberFormat="1" applyBorder="1"/>
    <xf numFmtId="0" fontId="3" fillId="0" borderId="0" xfId="3" applyNumberFormat="1" applyFont="1" applyFill="1" applyAlignment="1">
      <alignment horizontal="center" vertical="center"/>
    </xf>
    <xf numFmtId="44" fontId="0" fillId="0" borderId="0" xfId="2" applyFont="1" applyFill="1" applyAlignment="1">
      <alignment horizontal="right" vertical="center"/>
    </xf>
    <xf numFmtId="44" fontId="0" fillId="0" borderId="0" xfId="2" applyFont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44" fontId="3" fillId="0" borderId="0" xfId="2" applyFont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6" fillId="0" borderId="0" xfId="3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9" fontId="10" fillId="0" borderId="0" xfId="3" applyFont="1"/>
    <xf numFmtId="9" fontId="10" fillId="4" borderId="0" xfId="3" applyFont="1" applyFill="1"/>
    <xf numFmtId="9" fontId="10" fillId="6" borderId="0" xfId="3" applyFont="1" applyFill="1"/>
    <xf numFmtId="9" fontId="10" fillId="0" borderId="0" xfId="3" applyFont="1" applyFill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3" fillId="0" borderId="0" xfId="3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1" fillId="0" borderId="1" xfId="2" applyFont="1" applyBorder="1"/>
    <xf numFmtId="9" fontId="0" fillId="0" borderId="0" xfId="0" applyNumberFormat="1"/>
    <xf numFmtId="43" fontId="0" fillId="0" borderId="0" xfId="0" applyNumberFormat="1"/>
    <xf numFmtId="164" fontId="0" fillId="0" borderId="0" xfId="3" applyNumberFormat="1" applyFont="1"/>
    <xf numFmtId="165" fontId="0" fillId="0" borderId="0" xfId="3" applyNumberFormat="1" applyFont="1"/>
    <xf numFmtId="43" fontId="0" fillId="0" borderId="0" xfId="3" applyNumberFormat="1" applyFont="1"/>
    <xf numFmtId="43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 applyAlignment="1">
      <alignment horizontal="center" vertical="top"/>
    </xf>
    <xf numFmtId="10" fontId="0" fillId="8" borderId="0" xfId="3" applyNumberFormat="1" applyFont="1" applyFill="1"/>
    <xf numFmtId="0" fontId="0" fillId="9" borderId="0" xfId="0" applyFill="1"/>
    <xf numFmtId="10" fontId="0" fillId="9" borderId="0" xfId="3" applyNumberFormat="1" applyFont="1" applyFill="1"/>
    <xf numFmtId="10" fontId="0" fillId="10" borderId="0" xfId="0" applyNumberFormat="1" applyFill="1" applyAlignment="1">
      <alignment horizontal="center" vertical="top"/>
    </xf>
    <xf numFmtId="0" fontId="0" fillId="10" borderId="0" xfId="0" applyFill="1" applyAlignment="1">
      <alignment horizontal="center"/>
    </xf>
    <xf numFmtId="44" fontId="0" fillId="10" borderId="0" xfId="2" applyFont="1" applyFill="1" applyAlignment="1">
      <alignment horizontal="center" vertical="top"/>
    </xf>
    <xf numFmtId="44" fontId="0" fillId="10" borderId="0" xfId="0" applyNumberFormat="1" applyFill="1"/>
    <xf numFmtId="43" fontId="0" fillId="11" borderId="0" xfId="1" applyFont="1" applyFill="1" applyAlignment="1">
      <alignment horizontal="center"/>
    </xf>
    <xf numFmtId="10" fontId="0" fillId="11" borderId="0" xfId="3" applyNumberFormat="1" applyFont="1" applyFill="1" applyAlignment="1">
      <alignment horizontal="center"/>
    </xf>
    <xf numFmtId="43" fontId="0" fillId="11" borderId="0" xfId="1" applyFont="1" applyFill="1"/>
    <xf numFmtId="0" fontId="3" fillId="12" borderId="0" xfId="0" applyFont="1" applyFill="1" applyAlignment="1">
      <alignment horizontal="center" vertical="center"/>
    </xf>
    <xf numFmtId="10" fontId="0" fillId="12" borderId="0" xfId="3" applyNumberFormat="1" applyFont="1" applyFill="1"/>
    <xf numFmtId="0" fontId="3" fillId="8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3" fontId="0" fillId="0" borderId="0" xfId="1" applyFont="1" applyFill="1"/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3" fontId="0" fillId="0" borderId="11" xfId="0" applyNumberFormat="1" applyFill="1" applyBorder="1"/>
    <xf numFmtId="43" fontId="0" fillId="0" borderId="12" xfId="0" applyNumberFormat="1" applyFill="1" applyBorder="1"/>
    <xf numFmtId="43" fontId="3" fillId="0" borderId="14" xfId="0" applyNumberFormat="1" applyFont="1" applyFill="1" applyBorder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3" fontId="3" fillId="0" borderId="13" xfId="0" applyNumberFormat="1" applyFont="1" applyFill="1" applyBorder="1"/>
    <xf numFmtId="0" fontId="0" fillId="0" borderId="10" xfId="0" applyBorder="1"/>
    <xf numFmtId="43" fontId="0" fillId="0" borderId="13" xfId="0" applyNumberFormat="1" applyFill="1" applyBorder="1"/>
    <xf numFmtId="43" fontId="0" fillId="0" borderId="14" xfId="0" applyNumberFormat="1" applyFill="1" applyBorder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43" fontId="11" fillId="0" borderId="0" xfId="0" applyNumberFormat="1" applyFont="1"/>
    <xf numFmtId="10" fontId="0" fillId="4" borderId="0" xfId="0" applyNumberFormat="1" applyFill="1"/>
    <xf numFmtId="10" fontId="0" fillId="6" borderId="0" xfId="0" applyNumberFormat="1" applyFill="1"/>
    <xf numFmtId="10" fontId="0" fillId="0" borderId="0" xfId="3" applyNumberFormat="1" applyFont="1" applyFill="1" applyBorder="1"/>
    <xf numFmtId="10" fontId="3" fillId="0" borderId="0" xfId="1" applyNumberFormat="1" applyFont="1" applyFill="1" applyBorder="1"/>
    <xf numFmtId="10" fontId="0" fillId="0" borderId="0" xfId="0" applyNumberFormat="1" applyBorder="1"/>
    <xf numFmtId="166" fontId="0" fillId="0" borderId="0" xfId="1" applyNumberFormat="1" applyFont="1"/>
    <xf numFmtId="2" fontId="0" fillId="0" borderId="0" xfId="3" applyNumberFormat="1" applyFont="1"/>
    <xf numFmtId="2" fontId="0" fillId="0" borderId="0" xfId="0" applyNumberFormat="1"/>
    <xf numFmtId="167" fontId="0" fillId="0" borderId="0" xfId="1" applyNumberFormat="1" applyFont="1"/>
    <xf numFmtId="166" fontId="3" fillId="0" borderId="0" xfId="1" applyNumberFormat="1" applyFont="1"/>
    <xf numFmtId="43" fontId="0" fillId="0" borderId="0" xfId="1" applyFont="1" applyAlignment="1">
      <alignment horizontal="center"/>
    </xf>
    <xf numFmtId="167" fontId="0" fillId="0" borderId="0" xfId="1" applyNumberFormat="1" applyFont="1" applyAlignment="1">
      <alignment horizontal="center"/>
    </xf>
    <xf numFmtId="10" fontId="0" fillId="0" borderId="11" xfId="3" applyNumberFormat="1" applyFont="1" applyFill="1" applyBorder="1"/>
    <xf numFmtId="10" fontId="3" fillId="0" borderId="13" xfId="0" applyNumberFormat="1" applyFont="1" applyFill="1" applyBorder="1"/>
    <xf numFmtId="43" fontId="12" fillId="0" borderId="0" xfId="1" applyFont="1"/>
    <xf numFmtId="43" fontId="0" fillId="0" borderId="11" xfId="1" applyFont="1" applyFill="1" applyBorder="1"/>
    <xf numFmtId="43" fontId="3" fillId="0" borderId="13" xfId="1" applyFont="1" applyFill="1" applyBorder="1"/>
    <xf numFmtId="43" fontId="11" fillId="0" borderId="0" xfId="1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3" fontId="0" fillId="0" borderId="0" xfId="1" applyFont="1" applyFill="1" applyBorder="1"/>
    <xf numFmtId="0" fontId="3" fillId="0" borderId="15" xfId="0" applyFont="1" applyBorder="1" applyAlignment="1"/>
    <xf numFmtId="0" fontId="3" fillId="0" borderId="16" xfId="0" applyFont="1" applyBorder="1" applyAlignment="1"/>
    <xf numFmtId="0" fontId="11" fillId="0" borderId="0" xfId="0" applyFont="1"/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vertical="center"/>
    </xf>
    <xf numFmtId="0" fontId="0" fillId="4" borderId="5" xfId="0" applyFill="1" applyBorder="1" applyAlignment="1">
      <alignment wrapText="1"/>
    </xf>
    <xf numFmtId="0" fontId="0" fillId="6" borderId="0" xfId="0" applyFill="1" applyAlignment="1"/>
    <xf numFmtId="44" fontId="3" fillId="5" borderId="6" xfId="2" applyFont="1" applyFill="1" applyBorder="1" applyAlignment="1">
      <alignment vertical="center"/>
    </xf>
    <xf numFmtId="168" fontId="0" fillId="0" borderId="0" xfId="0" applyNumberFormat="1"/>
    <xf numFmtId="0" fontId="3" fillId="0" borderId="7" xfId="0" applyFont="1" applyFill="1" applyBorder="1"/>
    <xf numFmtId="169" fontId="0" fillId="4" borderId="17" xfId="1" applyNumberFormat="1" applyFont="1" applyFill="1" applyBorder="1"/>
    <xf numFmtId="169" fontId="0" fillId="6" borderId="18" xfId="1" applyNumberFormat="1" applyFont="1" applyFill="1" applyBorder="1"/>
    <xf numFmtId="169" fontId="0" fillId="4" borderId="20" xfId="1" applyNumberFormat="1" applyFont="1" applyFill="1" applyBorder="1"/>
    <xf numFmtId="169" fontId="0" fillId="6" borderId="21" xfId="1" applyNumberFormat="1" applyFont="1" applyFill="1" applyBorder="1"/>
    <xf numFmtId="0" fontId="13" fillId="0" borderId="0" xfId="0" applyFont="1" applyAlignment="1" applyProtection="1">
      <alignment horizontal="right" vertical="center" wrapText="1"/>
      <protection hidden="1"/>
    </xf>
    <xf numFmtId="168" fontId="13" fillId="13" borderId="0" xfId="0" applyNumberFormat="1" applyFont="1" applyFill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44" fontId="0" fillId="0" borderId="30" xfId="0" applyNumberFormat="1" applyBorder="1" applyAlignment="1" applyProtection="1">
      <alignment wrapText="1"/>
      <protection hidden="1"/>
    </xf>
    <xf numFmtId="44" fontId="3" fillId="0" borderId="30" xfId="0" applyNumberFormat="1" applyFont="1" applyBorder="1" applyAlignment="1" applyProtection="1">
      <alignment wrapText="1"/>
      <protection hidden="1"/>
    </xf>
    <xf numFmtId="0" fontId="0" fillId="7" borderId="0" xfId="0" applyFill="1" applyAlignment="1" applyProtection="1">
      <alignment wrapText="1"/>
      <protection hidden="1"/>
    </xf>
    <xf numFmtId="43" fontId="0" fillId="7" borderId="30" xfId="0" applyNumberFormat="1" applyFill="1" applyBorder="1" applyAlignment="1" applyProtection="1">
      <alignment wrapText="1"/>
      <protection hidden="1"/>
    </xf>
    <xf numFmtId="43" fontId="3" fillId="7" borderId="30" xfId="0" applyNumberFormat="1" applyFont="1" applyFill="1" applyBorder="1" applyAlignment="1" applyProtection="1">
      <alignment wrapText="1"/>
      <protection hidden="1"/>
    </xf>
    <xf numFmtId="0" fontId="0" fillId="14" borderId="0" xfId="0" applyFill="1" applyAlignment="1" applyProtection="1">
      <alignment wrapText="1"/>
      <protection hidden="1"/>
    </xf>
    <xf numFmtId="43" fontId="0" fillId="14" borderId="30" xfId="0" applyNumberFormat="1" applyFill="1" applyBorder="1" applyAlignment="1" applyProtection="1">
      <alignment wrapText="1"/>
      <protection hidden="1"/>
    </xf>
    <xf numFmtId="43" fontId="3" fillId="14" borderId="30" xfId="0" applyNumberFormat="1" applyFont="1" applyFill="1" applyBorder="1" applyAlignment="1" applyProtection="1">
      <alignment wrapText="1"/>
      <protection hidden="1"/>
    </xf>
    <xf numFmtId="43" fontId="3" fillId="0" borderId="30" xfId="0" applyNumberFormat="1" applyFont="1" applyBorder="1" applyAlignment="1" applyProtection="1">
      <alignment wrapText="1"/>
      <protection hidden="1"/>
    </xf>
    <xf numFmtId="43" fontId="3" fillId="0" borderId="0" xfId="0" applyNumberFormat="1" applyFont="1" applyAlignment="1" applyProtection="1">
      <alignment wrapText="1"/>
      <protection hidden="1"/>
    </xf>
    <xf numFmtId="43" fontId="11" fillId="0" borderId="0" xfId="0" applyNumberFormat="1" applyFont="1" applyAlignment="1" applyProtection="1">
      <alignment wrapText="1"/>
      <protection hidden="1"/>
    </xf>
    <xf numFmtId="168" fontId="3" fillId="13" borderId="0" xfId="0" applyNumberFormat="1" applyFont="1" applyFill="1" applyAlignment="1" applyProtection="1">
      <alignment horizontal="left" vertical="center" wrapText="1"/>
      <protection hidden="1"/>
    </xf>
    <xf numFmtId="0" fontId="3" fillId="13" borderId="0" xfId="0" applyFont="1" applyFill="1" applyAlignment="1" applyProtection="1">
      <alignment vertical="center" wrapText="1"/>
      <protection hidden="1"/>
    </xf>
    <xf numFmtId="0" fontId="0" fillId="13" borderId="0" xfId="0" applyFill="1" applyAlignment="1" applyProtection="1">
      <alignment wrapText="1"/>
      <protection hidden="1"/>
    </xf>
    <xf numFmtId="43" fontId="0" fillId="0" borderId="30" xfId="0" applyNumberFormat="1" applyBorder="1" applyAlignment="1" applyProtection="1">
      <alignment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168" fontId="3" fillId="13" borderId="1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7" borderId="0" xfId="0" applyFont="1" applyFill="1" applyBorder="1" applyAlignment="1" applyProtection="1">
      <alignment horizontal="center" vertical="center" wrapText="1"/>
      <protection hidden="1"/>
    </xf>
    <xf numFmtId="0" fontId="3" fillId="14" borderId="19" xfId="0" applyFont="1" applyFill="1" applyBorder="1" applyAlignment="1" applyProtection="1">
      <alignment horizontal="center" vertical="center" wrapText="1"/>
      <protection hidden="1"/>
    </xf>
    <xf numFmtId="0" fontId="3" fillId="7" borderId="17" xfId="0" applyFont="1" applyFill="1" applyBorder="1" applyAlignment="1" applyProtection="1">
      <alignment horizontal="center" vertical="center" wrapText="1"/>
      <protection hidden="1"/>
    </xf>
    <xf numFmtId="0" fontId="3" fillId="14" borderId="0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wrapText="1"/>
      <protection hidden="1"/>
    </xf>
    <xf numFmtId="0" fontId="0" fillId="0" borderId="25" xfId="0" applyBorder="1" applyAlignment="1" applyProtection="1">
      <alignment wrapText="1"/>
      <protection hidden="1"/>
    </xf>
    <xf numFmtId="44" fontId="0" fillId="0" borderId="25" xfId="0" applyNumberFormat="1" applyBorder="1" applyAlignment="1" applyProtection="1">
      <alignment wrapText="1"/>
      <protection hidden="1"/>
    </xf>
    <xf numFmtId="44" fontId="0" fillId="7" borderId="26" xfId="0" applyNumberFormat="1" applyFill="1" applyBorder="1" applyAlignment="1" applyProtection="1">
      <alignment wrapText="1"/>
      <protection hidden="1"/>
    </xf>
    <xf numFmtId="44" fontId="0" fillId="14" borderId="27" xfId="0" applyNumberFormat="1" applyFill="1" applyBorder="1" applyAlignment="1" applyProtection="1">
      <alignment wrapText="1"/>
      <protection hidden="1"/>
    </xf>
    <xf numFmtId="44" fontId="0" fillId="7" borderId="25" xfId="0" applyNumberFormat="1" applyFill="1" applyBorder="1" applyAlignment="1" applyProtection="1">
      <alignment wrapText="1"/>
      <protection hidden="1"/>
    </xf>
    <xf numFmtId="44" fontId="0" fillId="14" borderId="26" xfId="0" applyNumberFormat="1" applyFill="1" applyBorder="1" applyAlignment="1" applyProtection="1">
      <alignment wrapText="1"/>
      <protection hidden="1"/>
    </xf>
    <xf numFmtId="0" fontId="0" fillId="0" borderId="20" xfId="0" applyBorder="1" applyAlignment="1" applyProtection="1">
      <alignment wrapText="1"/>
      <protection hidden="1"/>
    </xf>
    <xf numFmtId="44" fontId="0" fillId="0" borderId="20" xfId="0" applyNumberFormat="1" applyBorder="1" applyAlignment="1" applyProtection="1">
      <alignment wrapText="1"/>
      <protection hidden="1"/>
    </xf>
    <xf numFmtId="44" fontId="0" fillId="7" borderId="23" xfId="0" applyNumberFormat="1" applyFill="1" applyBorder="1" applyAlignment="1" applyProtection="1">
      <alignment wrapText="1"/>
      <protection hidden="1"/>
    </xf>
    <xf numFmtId="44" fontId="0" fillId="14" borderId="24" xfId="0" applyNumberFormat="1" applyFill="1" applyBorder="1" applyAlignment="1" applyProtection="1">
      <alignment wrapText="1"/>
      <protection hidden="1"/>
    </xf>
    <xf numFmtId="44" fontId="0" fillId="7" borderId="20" xfId="0" applyNumberFormat="1" applyFill="1" applyBorder="1" applyAlignment="1" applyProtection="1">
      <alignment wrapText="1"/>
      <protection hidden="1"/>
    </xf>
    <xf numFmtId="44" fontId="0" fillId="14" borderId="23" xfId="0" applyNumberFormat="1" applyFill="1" applyBorder="1" applyAlignment="1" applyProtection="1">
      <alignment wrapText="1"/>
      <protection hidden="1"/>
    </xf>
    <xf numFmtId="0" fontId="0" fillId="0" borderId="24" xfId="0" applyBorder="1" applyAlignment="1" applyProtection="1">
      <alignment wrapText="1"/>
      <protection hidden="1"/>
    </xf>
    <xf numFmtId="168" fontId="3" fillId="13" borderId="22" xfId="0" applyNumberFormat="1" applyFont="1" applyFill="1" applyBorder="1" applyAlignment="1" applyProtection="1">
      <alignment horizontal="left" vertical="center" wrapText="1"/>
      <protection hidden="1"/>
    </xf>
    <xf numFmtId="0" fontId="0" fillId="13" borderId="22" xfId="0" applyFill="1" applyBorder="1" applyAlignment="1" applyProtection="1">
      <alignment wrapText="1"/>
      <protection hidden="1"/>
    </xf>
    <xf numFmtId="0" fontId="0" fillId="13" borderId="16" xfId="0" applyFill="1" applyBorder="1" applyAlignment="1" applyProtection="1">
      <alignment wrapText="1"/>
      <protection hidden="1"/>
    </xf>
    <xf numFmtId="0" fontId="3" fillId="7" borderId="11" xfId="0" applyFont="1" applyFill="1" applyBorder="1" applyAlignment="1" applyProtection="1">
      <alignment horizontal="center" wrapText="1"/>
      <protection hidden="1"/>
    </xf>
    <xf numFmtId="0" fontId="3" fillId="14" borderId="12" xfId="0" applyFont="1" applyFill="1" applyBorder="1" applyAlignment="1" applyProtection="1">
      <alignment horizontal="center" wrapText="1"/>
      <protection hidden="1"/>
    </xf>
    <xf numFmtId="0" fontId="3" fillId="14" borderId="19" xfId="0" applyFont="1" applyFill="1" applyBorder="1" applyAlignment="1" applyProtection="1">
      <alignment horizontal="center" wrapText="1"/>
      <protection hidden="1"/>
    </xf>
    <xf numFmtId="0" fontId="0" fillId="0" borderId="17" xfId="0" applyBorder="1" applyAlignment="1" applyProtection="1">
      <alignment wrapText="1"/>
      <protection hidden="1"/>
    </xf>
    <xf numFmtId="43" fontId="0" fillId="7" borderId="11" xfId="0" applyNumberFormat="1" applyFill="1" applyBorder="1" applyAlignment="1" applyProtection="1">
      <alignment wrapText="1"/>
      <protection hidden="1"/>
    </xf>
    <xf numFmtId="43" fontId="0" fillId="14" borderId="12" xfId="0" applyNumberFormat="1" applyFill="1" applyBorder="1" applyAlignment="1" applyProtection="1">
      <alignment wrapText="1"/>
      <protection hidden="1"/>
    </xf>
    <xf numFmtId="43" fontId="0" fillId="14" borderId="19" xfId="0" applyNumberFormat="1" applyFill="1" applyBorder="1" applyAlignment="1" applyProtection="1">
      <alignment wrapText="1"/>
      <protection hidden="1"/>
    </xf>
    <xf numFmtId="43" fontId="0" fillId="0" borderId="0" xfId="0" applyNumberFormat="1" applyAlignment="1" applyProtection="1">
      <alignment wrapText="1"/>
      <protection hidden="1"/>
    </xf>
    <xf numFmtId="0" fontId="3" fillId="0" borderId="20" xfId="0" applyFont="1" applyBorder="1" applyAlignment="1" applyProtection="1">
      <alignment wrapText="1"/>
      <protection hidden="1"/>
    </xf>
    <xf numFmtId="43" fontId="3" fillId="7" borderId="32" xfId="0" applyNumberFormat="1" applyFont="1" applyFill="1" applyBorder="1" applyAlignment="1" applyProtection="1">
      <alignment wrapText="1"/>
      <protection hidden="1"/>
    </xf>
    <xf numFmtId="43" fontId="3" fillId="14" borderId="33" xfId="0" applyNumberFormat="1" applyFont="1" applyFill="1" applyBorder="1" applyAlignment="1" applyProtection="1">
      <alignment wrapText="1"/>
      <protection hidden="1"/>
    </xf>
    <xf numFmtId="43" fontId="3" fillId="14" borderId="24" xfId="0" applyNumberFormat="1" applyFont="1" applyFill="1" applyBorder="1" applyAlignment="1" applyProtection="1">
      <alignment wrapText="1"/>
      <protection hidden="1"/>
    </xf>
    <xf numFmtId="43" fontId="13" fillId="0" borderId="30" xfId="0" applyNumberFormat="1" applyFont="1" applyBorder="1" applyAlignment="1" applyProtection="1">
      <alignment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hidden="1"/>
    </xf>
    <xf numFmtId="0" fontId="3" fillId="13" borderId="22" xfId="0" applyFont="1" applyFill="1" applyBorder="1" applyAlignment="1" applyProtection="1">
      <alignment horizontal="right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15" borderId="15" xfId="0" applyFont="1" applyFill="1" applyBorder="1" applyAlignment="1" applyProtection="1">
      <alignment horizontal="center" vertical="center" wrapText="1"/>
      <protection hidden="1"/>
    </xf>
    <xf numFmtId="0" fontId="3" fillId="15" borderId="22" xfId="0" applyFont="1" applyFill="1" applyBorder="1" applyAlignment="1" applyProtection="1">
      <alignment horizontal="center" vertical="center" wrapText="1"/>
      <protection hidden="1"/>
    </xf>
    <xf numFmtId="0" fontId="3" fillId="15" borderId="16" xfId="0" applyFont="1" applyFill="1" applyBorder="1" applyAlignment="1" applyProtection="1">
      <alignment horizontal="center" vertical="center" wrapText="1"/>
      <protection hidden="1"/>
    </xf>
    <xf numFmtId="0" fontId="3" fillId="13" borderId="15" xfId="0" applyFont="1" applyFill="1" applyBorder="1" applyAlignment="1" applyProtection="1">
      <alignment horizontal="center" vertical="center" wrapText="1"/>
      <protection hidden="1"/>
    </xf>
    <xf numFmtId="0" fontId="3" fillId="13" borderId="22" xfId="0" applyFont="1" applyFill="1" applyBorder="1" applyAlignment="1" applyProtection="1">
      <alignment horizontal="center" vertical="center" wrapText="1"/>
      <protection hidden="1"/>
    </xf>
    <xf numFmtId="0" fontId="3" fillId="15" borderId="0" xfId="0" applyFont="1" applyFill="1" applyAlignment="1" applyProtection="1">
      <alignment horizontal="center" vertical="center" wrapText="1"/>
      <protection hidden="1"/>
    </xf>
    <xf numFmtId="0" fontId="3" fillId="13" borderId="0" xfId="0" applyFont="1" applyFill="1" applyAlignment="1" applyProtection="1">
      <alignment horizontal="right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4" fontId="3" fillId="7" borderId="7" xfId="2" applyFont="1" applyFill="1" applyBorder="1" applyAlignment="1">
      <alignment horizontal="center" vertical="center"/>
    </xf>
    <xf numFmtId="44" fontId="3" fillId="7" borderId="0" xfId="2" applyFont="1" applyFill="1" applyBorder="1" applyAlignment="1">
      <alignment horizontal="center" vertical="center"/>
    </xf>
    <xf numFmtId="10" fontId="3" fillId="0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11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 vertical="top"/>
    </xf>
    <xf numFmtId="0" fontId="0" fillId="9" borderId="0" xfId="0" applyFill="1" applyAlignment="1">
      <alignment horizontal="center"/>
    </xf>
    <xf numFmtId="0" fontId="2" fillId="3" borderId="1" xfId="1" applyNumberFormat="1" applyFont="1" applyFill="1" applyBorder="1" applyAlignment="1">
      <alignment horizontal="center" vertical="center"/>
    </xf>
    <xf numFmtId="10" fontId="0" fillId="2" borderId="1" xfId="3" applyNumberFormat="1" applyFont="1" applyFill="1" applyBorder="1" applyAlignment="1">
      <alignment horizontal="center" vertical="center"/>
    </xf>
    <xf numFmtId="0" fontId="0" fillId="2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6">
    <cellStyle name="Čiarka" xfId="1" builtinId="3"/>
    <cellStyle name="Mena" xfId="2" builtinId="4"/>
    <cellStyle name="Normal 3" xfId="4"/>
    <cellStyle name="Normálne" xfId="0" builtinId="0"/>
    <cellStyle name="Percent 2" xfId="5"/>
    <cellStyle name="Percentá" xfId="3" builtinId="5"/>
  </cellStyles>
  <dxfs count="3">
    <dxf>
      <fill>
        <patternFill>
          <bgColor rgb="FFFF0000"/>
        </patternFill>
      </fill>
    </dxf>
    <dxf>
      <font>
        <color theme="7" tint="0.59996337778862885"/>
      </font>
    </dxf>
    <dxf>
      <font>
        <color theme="5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A3" sqref="A3"/>
    </sheetView>
  </sheetViews>
  <sheetFormatPr defaultRowHeight="15" x14ac:dyDescent="0.25"/>
  <cols>
    <col min="1" max="1" width="34.140625" style="176" customWidth="1"/>
    <col min="2" max="6" width="15" style="176" customWidth="1"/>
    <col min="7" max="7" width="16" style="176" customWidth="1"/>
    <col min="8" max="9" width="15" style="176" customWidth="1"/>
    <col min="10" max="16384" width="9.140625" style="176"/>
  </cols>
  <sheetData>
    <row r="1" spans="1:7" ht="15.75" x14ac:dyDescent="0.25">
      <c r="A1" s="174" t="s">
        <v>187</v>
      </c>
      <c r="B1" s="175">
        <v>1</v>
      </c>
      <c r="C1" s="234" t="s">
        <v>194</v>
      </c>
      <c r="D1" s="234"/>
      <c r="E1" s="234"/>
      <c r="F1" s="234"/>
    </row>
    <row r="2" spans="1:7" ht="15.75" x14ac:dyDescent="0.25">
      <c r="A2" s="174"/>
    </row>
    <row r="3" spans="1:7" ht="15" customHeight="1" x14ac:dyDescent="0.25">
      <c r="B3" s="245" t="s">
        <v>176</v>
      </c>
      <c r="C3" s="245"/>
      <c r="D3" s="245"/>
      <c r="E3" s="245"/>
      <c r="F3" s="245"/>
    </row>
    <row r="4" spans="1:7" s="177" customFormat="1" x14ac:dyDescent="0.25">
      <c r="B4" s="178" t="s">
        <v>188</v>
      </c>
      <c r="C4" s="178" t="s">
        <v>189</v>
      </c>
      <c r="D4" s="178" t="s">
        <v>190</v>
      </c>
      <c r="E4" s="178" t="s">
        <v>191</v>
      </c>
      <c r="F4" s="178" t="s">
        <v>192</v>
      </c>
    </row>
    <row r="5" spans="1:7" x14ac:dyDescent="0.25">
      <c r="A5" s="176" t="str">
        <f>Prehľad!D5</f>
        <v>Výdavky na AP Nadpaušál</v>
      </c>
      <c r="B5" s="179">
        <f>Prehľad!F5</f>
        <v>1058534.5972792606</v>
      </c>
      <c r="C5" s="179">
        <f>Prehľad!G5</f>
        <v>2268288.4227412734</v>
      </c>
      <c r="D5" s="179">
        <f>Prehľad!H5</f>
        <v>3528448.6575975358</v>
      </c>
      <c r="E5" s="179">
        <f>Prehľad!I5</f>
        <v>4909584.2749999994</v>
      </c>
      <c r="F5" s="180">
        <f>Prehľad!J5</f>
        <v>11764855.95261807</v>
      </c>
    </row>
    <row r="6" spans="1:7" x14ac:dyDescent="0.25">
      <c r="B6" s="179"/>
      <c r="C6" s="179"/>
      <c r="D6" s="179"/>
      <c r="E6" s="179"/>
      <c r="F6" s="180"/>
    </row>
    <row r="7" spans="1:7" x14ac:dyDescent="0.25">
      <c r="A7" s="181" t="s">
        <v>173</v>
      </c>
      <c r="B7" s="182">
        <f>Prehľad!F6</f>
        <v>1295.3424580191563</v>
      </c>
      <c r="C7" s="182">
        <f>Prehľad!G6</f>
        <v>2775.7338386124779</v>
      </c>
      <c r="D7" s="182">
        <f>Prehľad!H6</f>
        <v>4317.808193397188</v>
      </c>
      <c r="E7" s="182">
        <f>Prehľad!I6</f>
        <v>6007.9216862412286</v>
      </c>
      <c r="F7" s="183">
        <f>Prehľad!J6</f>
        <v>14396.806176270051</v>
      </c>
    </row>
    <row r="8" spans="1:7" x14ac:dyDescent="0.25">
      <c r="A8" s="184" t="s">
        <v>174</v>
      </c>
      <c r="B8" s="185">
        <f>Prehľad!F7</f>
        <v>181.03333135409935</v>
      </c>
      <c r="C8" s="185">
        <f>Prehľad!G7</f>
        <v>387.9285671873559</v>
      </c>
      <c r="D8" s="185">
        <f>Prehľad!H7</f>
        <v>603.44443784699786</v>
      </c>
      <c r="E8" s="185">
        <f>Prehľad!I7</f>
        <v>839.64983208996557</v>
      </c>
      <c r="F8" s="186">
        <f>Prehľad!J7</f>
        <v>2012.0561684784184</v>
      </c>
    </row>
    <row r="9" spans="1:7" ht="15.75" x14ac:dyDescent="0.25">
      <c r="A9" s="176" t="s">
        <v>175</v>
      </c>
      <c r="B9" s="187">
        <f>B7+B8</f>
        <v>1476.3757893732557</v>
      </c>
      <c r="C9" s="187">
        <f t="shared" ref="C9:F9" si="0">C7+C8</f>
        <v>3163.6624057998338</v>
      </c>
      <c r="D9" s="187">
        <f t="shared" si="0"/>
        <v>4921.252631244186</v>
      </c>
      <c r="E9" s="187">
        <f t="shared" si="0"/>
        <v>6847.5715183311941</v>
      </c>
      <c r="F9" s="231">
        <f t="shared" si="0"/>
        <v>16408.862344748468</v>
      </c>
    </row>
    <row r="10" spans="1:7" ht="18.75" x14ac:dyDescent="0.3">
      <c r="B10" s="188"/>
      <c r="C10" s="188"/>
      <c r="D10" s="188"/>
      <c r="E10" s="188"/>
      <c r="F10" s="189"/>
    </row>
    <row r="11" spans="1:7" ht="15" customHeight="1" x14ac:dyDescent="0.25">
      <c r="B11" s="246" t="s">
        <v>177</v>
      </c>
      <c r="C11" s="246"/>
      <c r="D11" s="246"/>
      <c r="E11" s="190">
        <f>B1</f>
        <v>1</v>
      </c>
      <c r="F11" s="191"/>
      <c r="G11" s="192"/>
    </row>
    <row r="12" spans="1:7" ht="26.25" x14ac:dyDescent="0.25">
      <c r="B12" s="178" t="str">
        <f>B4</f>
        <v>1. rok AP</v>
      </c>
      <c r="C12" s="178" t="str">
        <f t="shared" ref="C12:F12" si="1">C4</f>
        <v>2. rok AP</v>
      </c>
      <c r="D12" s="178" t="str">
        <f t="shared" si="1"/>
        <v>3. rok AP</v>
      </c>
      <c r="E12" s="178" t="str">
        <f t="shared" si="1"/>
        <v>4. rok AP</v>
      </c>
      <c r="F12" s="178" t="s">
        <v>90</v>
      </c>
      <c r="G12" s="178" t="s">
        <v>193</v>
      </c>
    </row>
    <row r="13" spans="1:7" x14ac:dyDescent="0.25">
      <c r="A13" s="181" t="s">
        <v>169</v>
      </c>
      <c r="B13" s="182">
        <f>Prehľad!B75</f>
        <v>1295.3424580191563</v>
      </c>
      <c r="C13" s="182">
        <f>Prehľad!D75</f>
        <v>2775.7338386124779</v>
      </c>
      <c r="D13" s="182">
        <f>Prehľad!F75</f>
        <v>4317.808193397188</v>
      </c>
      <c r="E13" s="182">
        <f>Prehľad!H75</f>
        <v>6007.9216862412286</v>
      </c>
      <c r="F13" s="183">
        <f>SUM(B13:E13)</f>
        <v>14396.806176270051</v>
      </c>
      <c r="G13" s="182">
        <f>F13-F7</f>
        <v>0</v>
      </c>
    </row>
    <row r="14" spans="1:7" x14ac:dyDescent="0.25">
      <c r="A14" s="184" t="s">
        <v>170</v>
      </c>
      <c r="B14" s="185">
        <f>Prehľad!C75</f>
        <v>181.03333135409935</v>
      </c>
      <c r="C14" s="185">
        <f>Prehľad!E75</f>
        <v>387.9285671873559</v>
      </c>
      <c r="D14" s="185">
        <f>Prehľad!G75</f>
        <v>603.44443784699786</v>
      </c>
      <c r="E14" s="185">
        <f>Prehľad!I75</f>
        <v>839.64983208996557</v>
      </c>
      <c r="F14" s="186">
        <f>SUM(B14:E14)</f>
        <v>2012.0561684784184</v>
      </c>
      <c r="G14" s="185">
        <f>F14-F8</f>
        <v>0</v>
      </c>
    </row>
    <row r="15" spans="1:7" ht="15.75" x14ac:dyDescent="0.25">
      <c r="A15" s="176" t="s">
        <v>171</v>
      </c>
      <c r="B15" s="187">
        <f>B13+B14</f>
        <v>1476.3757893732557</v>
      </c>
      <c r="C15" s="187">
        <f t="shared" ref="C15" si="2">C13+C14</f>
        <v>3163.6624057998338</v>
      </c>
      <c r="D15" s="187">
        <f t="shared" ref="D15" si="3">D13+D14</f>
        <v>4921.252631244186</v>
      </c>
      <c r="E15" s="187">
        <f t="shared" ref="E15" si="4">E13+E14</f>
        <v>6847.5715183311941</v>
      </c>
      <c r="F15" s="231">
        <f t="shared" ref="F15" si="5">F13+F14</f>
        <v>16408.862344748468</v>
      </c>
      <c r="G15" s="193">
        <f>F15-F9</f>
        <v>0</v>
      </c>
    </row>
    <row r="16" spans="1:7" ht="18.75" x14ac:dyDescent="0.3">
      <c r="B16" s="188"/>
      <c r="C16" s="188"/>
      <c r="D16" s="188"/>
      <c r="E16" s="188"/>
      <c r="F16" s="189"/>
    </row>
    <row r="17" spans="1:7" ht="15.75" thickBot="1" x14ac:dyDescent="0.3"/>
    <row r="18" spans="1:7" ht="15.75" thickBot="1" x14ac:dyDescent="0.3">
      <c r="A18" s="194"/>
      <c r="B18" s="239" t="s">
        <v>11</v>
      </c>
      <c r="C18" s="239"/>
      <c r="D18" s="239"/>
      <c r="E18" s="239"/>
      <c r="F18" s="239"/>
      <c r="G18" s="195"/>
    </row>
    <row r="19" spans="1:7" x14ac:dyDescent="0.25">
      <c r="A19" s="247" t="s">
        <v>178</v>
      </c>
      <c r="B19" s="240" t="s">
        <v>172</v>
      </c>
      <c r="C19" s="241"/>
      <c r="D19" s="242"/>
      <c r="E19" s="243" t="s">
        <v>179</v>
      </c>
      <c r="F19" s="244"/>
      <c r="G19" s="196">
        <f>B1</f>
        <v>1</v>
      </c>
    </row>
    <row r="20" spans="1:7" ht="45" x14ac:dyDescent="0.25">
      <c r="A20" s="248"/>
      <c r="B20" s="197" t="s">
        <v>180</v>
      </c>
      <c r="C20" s="198" t="s">
        <v>181</v>
      </c>
      <c r="D20" s="199" t="s">
        <v>182</v>
      </c>
      <c r="E20" s="200" t="s">
        <v>181</v>
      </c>
      <c r="F20" s="201" t="s">
        <v>182</v>
      </c>
      <c r="G20" s="202"/>
    </row>
    <row r="21" spans="1:7" x14ac:dyDescent="0.25">
      <c r="A21" s="203" t="str">
        <f>Prehľad!A13</f>
        <v>IT architekt</v>
      </c>
      <c r="B21" s="204">
        <f>Prehľad!B13</f>
        <v>1092</v>
      </c>
      <c r="C21" s="205">
        <f>Prehľad!C13</f>
        <v>873.6</v>
      </c>
      <c r="D21" s="206">
        <f>Prehľad!E13</f>
        <v>0</v>
      </c>
      <c r="E21" s="207">
        <f>Prehľad!B82</f>
        <v>873.6</v>
      </c>
      <c r="F21" s="208">
        <f>Prehľad!C82</f>
        <v>0</v>
      </c>
      <c r="G21" s="202"/>
    </row>
    <row r="22" spans="1:7" x14ac:dyDescent="0.25">
      <c r="A22" s="203" t="str">
        <f>Prehľad!A14</f>
        <v>IT tester</v>
      </c>
      <c r="B22" s="204">
        <f>Prehľad!B14</f>
        <v>684</v>
      </c>
      <c r="C22" s="205">
        <f>Prehľad!C14</f>
        <v>547.20000000000005</v>
      </c>
      <c r="D22" s="206">
        <f>Prehľad!E14</f>
        <v>328.32</v>
      </c>
      <c r="E22" s="207">
        <f>Prehľad!B83</f>
        <v>547.20000000000005</v>
      </c>
      <c r="F22" s="208">
        <f>Prehľad!C83</f>
        <v>328.32</v>
      </c>
      <c r="G22" s="202"/>
    </row>
    <row r="23" spans="1:7" x14ac:dyDescent="0.25">
      <c r="A23" s="203" t="str">
        <f>Prehľad!A15</f>
        <v>IT programátor/vývojár</v>
      </c>
      <c r="B23" s="204">
        <f>Prehľad!B15</f>
        <v>780</v>
      </c>
      <c r="C23" s="205">
        <f>Prehľad!C15</f>
        <v>623.99999999999989</v>
      </c>
      <c r="D23" s="206">
        <f>Prehľad!E15</f>
        <v>374.39999999999992</v>
      </c>
      <c r="E23" s="207">
        <f>Prehľad!B84</f>
        <v>623.99999999999989</v>
      </c>
      <c r="F23" s="208">
        <f>Prehľad!C84</f>
        <v>374.39999999999992</v>
      </c>
      <c r="G23" s="202"/>
    </row>
    <row r="24" spans="1:7" x14ac:dyDescent="0.25">
      <c r="A24" s="203" t="str">
        <f>Prehľad!A16</f>
        <v>Projektový manažér IT projektu</v>
      </c>
      <c r="B24" s="204">
        <f>Prehľad!B16</f>
        <v>1068</v>
      </c>
      <c r="C24" s="205">
        <f>Prehľad!C16</f>
        <v>854.4000000000002</v>
      </c>
      <c r="D24" s="206">
        <f>Prehľad!E16</f>
        <v>0</v>
      </c>
      <c r="E24" s="207">
        <f>Prehľad!B85</f>
        <v>854.4000000000002</v>
      </c>
      <c r="F24" s="208">
        <f>Prehľad!C85</f>
        <v>0</v>
      </c>
      <c r="G24" s="202"/>
    </row>
    <row r="25" spans="1:7" x14ac:dyDescent="0.25">
      <c r="A25" s="203" t="str">
        <f>Prehľad!A17</f>
        <v>IT analytik</v>
      </c>
      <c r="B25" s="204">
        <f>Prehľad!B17</f>
        <v>888</v>
      </c>
      <c r="C25" s="205">
        <f>Prehľad!C17</f>
        <v>710.40000000000009</v>
      </c>
      <c r="D25" s="206">
        <f>Prehľad!E17</f>
        <v>426.24000000000007</v>
      </c>
      <c r="E25" s="207">
        <f>Prehľad!B86</f>
        <v>710.40000000000009</v>
      </c>
      <c r="F25" s="208">
        <f>Prehľad!C86</f>
        <v>426.24000000000007</v>
      </c>
      <c r="G25" s="202"/>
    </row>
    <row r="26" spans="1:7" ht="30" x14ac:dyDescent="0.25">
      <c r="A26" s="203" t="str">
        <f>Prehľad!A18</f>
        <v>Odborník pre IT dohľad/Quality Assurance</v>
      </c>
      <c r="B26" s="204">
        <f>Prehľad!B18</f>
        <v>1068</v>
      </c>
      <c r="C26" s="205">
        <f>Prehľad!C18</f>
        <v>854.40000000000009</v>
      </c>
      <c r="D26" s="206">
        <f>Prehľad!E18</f>
        <v>0</v>
      </c>
      <c r="E26" s="207">
        <f>Prehľad!B87</f>
        <v>854.40000000000009</v>
      </c>
      <c r="F26" s="208">
        <f>Prehľad!C87</f>
        <v>0</v>
      </c>
      <c r="G26" s="202"/>
    </row>
    <row r="27" spans="1:7" x14ac:dyDescent="0.25">
      <c r="A27" s="203" t="str">
        <f>Prehľad!A19</f>
        <v>Špecialista pre bezpečnosť IT</v>
      </c>
      <c r="B27" s="204">
        <f>Prehľad!B19</f>
        <v>1440</v>
      </c>
      <c r="C27" s="205">
        <f>Prehľad!C19</f>
        <v>1152</v>
      </c>
      <c r="D27" s="206">
        <f>Prehľad!E19</f>
        <v>0</v>
      </c>
      <c r="E27" s="207">
        <f>Prehľad!B88</f>
        <v>1152</v>
      </c>
      <c r="F27" s="208">
        <f>Prehľad!C88</f>
        <v>0</v>
      </c>
      <c r="G27" s="202"/>
    </row>
    <row r="28" spans="1:7" ht="30" x14ac:dyDescent="0.25">
      <c r="A28" s="203" t="str">
        <f>Prehľad!A20</f>
        <v>Špecialista pre infraštruktúrny/HW špecialista</v>
      </c>
      <c r="B28" s="204">
        <f>Prehľad!B20</f>
        <v>948</v>
      </c>
      <c r="C28" s="205">
        <f>Prehľad!C20</f>
        <v>758.40000000000009</v>
      </c>
      <c r="D28" s="206">
        <f>Prehľad!E20</f>
        <v>0</v>
      </c>
      <c r="E28" s="207">
        <f>Prehľad!B89</f>
        <v>758.40000000000009</v>
      </c>
      <c r="F28" s="208">
        <f>Prehľad!C89</f>
        <v>0</v>
      </c>
      <c r="G28" s="202"/>
    </row>
    <row r="29" spans="1:7" x14ac:dyDescent="0.25">
      <c r="A29" s="203" t="str">
        <f>Prehľad!A21</f>
        <v>Špecialista pre databázy</v>
      </c>
      <c r="B29" s="204">
        <f>Prehľad!B21</f>
        <v>720</v>
      </c>
      <c r="C29" s="205">
        <f>Prehľad!C21</f>
        <v>576</v>
      </c>
      <c r="D29" s="206">
        <f>Prehľad!E21</f>
        <v>0</v>
      </c>
      <c r="E29" s="207">
        <f>Prehľad!B90</f>
        <v>576</v>
      </c>
      <c r="F29" s="208">
        <f>Prehľad!C90</f>
        <v>0</v>
      </c>
      <c r="G29" s="202"/>
    </row>
    <row r="30" spans="1:7" x14ac:dyDescent="0.25">
      <c r="A30" s="203" t="str">
        <f>Prehľad!A22</f>
        <v>Školiteľ pre IT systémy</v>
      </c>
      <c r="B30" s="204">
        <f>Prehľad!B22</f>
        <v>852</v>
      </c>
      <c r="C30" s="205">
        <f>Prehľad!C22</f>
        <v>681.6</v>
      </c>
      <c r="D30" s="206">
        <f>Prehľad!E22</f>
        <v>408.96</v>
      </c>
      <c r="E30" s="207">
        <f>Prehľad!B91</f>
        <v>681.6</v>
      </c>
      <c r="F30" s="208">
        <f>Prehľad!C91</f>
        <v>408.96</v>
      </c>
      <c r="G30" s="202"/>
    </row>
    <row r="31" spans="1:7" ht="15.75" thickBot="1" x14ac:dyDescent="0.3">
      <c r="A31" s="209" t="str">
        <f>Prehľad!A23</f>
        <v>IT/IS konzultant</v>
      </c>
      <c r="B31" s="210">
        <f>Prehľad!B23</f>
        <v>1080</v>
      </c>
      <c r="C31" s="211">
        <f>Prehľad!C23</f>
        <v>864.00000000000011</v>
      </c>
      <c r="D31" s="212">
        <f>Prehľad!E23</f>
        <v>518.40000000000009</v>
      </c>
      <c r="E31" s="213">
        <f>Prehľad!B92</f>
        <v>864.00000000000011</v>
      </c>
      <c r="F31" s="214">
        <f>Prehľad!C92</f>
        <v>518.40000000000009</v>
      </c>
      <c r="G31" s="215"/>
    </row>
    <row r="34" spans="1:10" ht="15.75" thickBot="1" x14ac:dyDescent="0.3"/>
    <row r="35" spans="1:10" ht="15" customHeight="1" x14ac:dyDescent="0.25">
      <c r="A35" s="232" t="s">
        <v>186</v>
      </c>
      <c r="B35" s="238" t="str">
        <f>B11</f>
        <v>Vypočítané hodnoty s koeficientom =</v>
      </c>
      <c r="C35" s="238"/>
      <c r="D35" s="238"/>
      <c r="E35" s="238"/>
      <c r="F35" s="238"/>
      <c r="G35" s="216">
        <f>G19</f>
        <v>1</v>
      </c>
      <c r="H35" s="217"/>
      <c r="I35" s="218"/>
    </row>
    <row r="36" spans="1:10" x14ac:dyDescent="0.25">
      <c r="A36" s="233"/>
      <c r="B36" s="235" t="s">
        <v>188</v>
      </c>
      <c r="C36" s="236"/>
      <c r="D36" s="235" t="s">
        <v>189</v>
      </c>
      <c r="E36" s="236"/>
      <c r="F36" s="235" t="s">
        <v>190</v>
      </c>
      <c r="G36" s="236"/>
      <c r="H36" s="235" t="s">
        <v>191</v>
      </c>
      <c r="I36" s="237"/>
    </row>
    <row r="37" spans="1:10" x14ac:dyDescent="0.25">
      <c r="A37" s="233"/>
      <c r="B37" s="219" t="s">
        <v>184</v>
      </c>
      <c r="C37" s="220" t="s">
        <v>185</v>
      </c>
      <c r="D37" s="219" t="s">
        <v>184</v>
      </c>
      <c r="E37" s="220" t="s">
        <v>185</v>
      </c>
      <c r="F37" s="219" t="s">
        <v>184</v>
      </c>
      <c r="G37" s="220" t="s">
        <v>185</v>
      </c>
      <c r="H37" s="219" t="s">
        <v>184</v>
      </c>
      <c r="I37" s="221" t="s">
        <v>185</v>
      </c>
    </row>
    <row r="38" spans="1:10" x14ac:dyDescent="0.25">
      <c r="A38" s="222" t="str">
        <f t="shared" ref="A38:A48" si="6">A21</f>
        <v>IT architekt</v>
      </c>
      <c r="B38" s="223">
        <f>Prehľad!B64</f>
        <v>117.59542027633096</v>
      </c>
      <c r="C38" s="224">
        <f>Prehľad!C64</f>
        <v>0</v>
      </c>
      <c r="D38" s="223">
        <f>Prehľad!D64</f>
        <v>251.99018630642351</v>
      </c>
      <c r="E38" s="224">
        <f>Prehľad!E64</f>
        <v>0</v>
      </c>
      <c r="F38" s="223">
        <f>Prehľad!F64</f>
        <v>391.98473425443655</v>
      </c>
      <c r="G38" s="224">
        <f>Prehľad!G64</f>
        <v>0</v>
      </c>
      <c r="H38" s="223">
        <f>Prehľad!H64</f>
        <v>545.41875880545876</v>
      </c>
      <c r="I38" s="225">
        <f>Prehľad!I64</f>
        <v>0</v>
      </c>
      <c r="J38" s="226"/>
    </row>
    <row r="39" spans="1:10" x14ac:dyDescent="0.25">
      <c r="A39" s="222" t="str">
        <f t="shared" si="6"/>
        <v>IT tester</v>
      </c>
      <c r="B39" s="223">
        <f>Prehľad!B65</f>
        <v>118.90432212392209</v>
      </c>
      <c r="C39" s="224">
        <f>Prehľad!C65</f>
        <v>20.983115668927432</v>
      </c>
      <c r="D39" s="223">
        <f>Prehľad!D65</f>
        <v>254.79497597983311</v>
      </c>
      <c r="E39" s="224">
        <f>Prehľad!E65</f>
        <v>44.963819290558796</v>
      </c>
      <c r="F39" s="223">
        <f>Prehľad!F65</f>
        <v>396.34774041307367</v>
      </c>
      <c r="G39" s="224">
        <f>Prehľad!G65</f>
        <v>69.94371889642477</v>
      </c>
      <c r="H39" s="223">
        <f>Prehľad!H65</f>
        <v>551.48957023190542</v>
      </c>
      <c r="I39" s="225">
        <f>Prehľad!I65</f>
        <v>97.321688864453904</v>
      </c>
      <c r="J39" s="226"/>
    </row>
    <row r="40" spans="1:10" x14ac:dyDescent="0.25">
      <c r="A40" s="222" t="str">
        <f t="shared" si="6"/>
        <v>IT programátor/vývojár</v>
      </c>
      <c r="B40" s="223">
        <f>Prehľad!B66</f>
        <v>230.13286275344115</v>
      </c>
      <c r="C40" s="224">
        <f>Prehľad!C66</f>
        <v>40.611681662371971</v>
      </c>
      <c r="D40" s="223">
        <f>Prehľad!D66</f>
        <v>493.14184875737408</v>
      </c>
      <c r="E40" s="224">
        <f>Prehľad!E66</f>
        <v>87.02503213365425</v>
      </c>
      <c r="F40" s="223">
        <f>Prehľad!F66</f>
        <v>767.10954251147064</v>
      </c>
      <c r="G40" s="224">
        <f>Prehľad!G66</f>
        <v>135.37227220790658</v>
      </c>
      <c r="H40" s="223">
        <f>Prehľad!H66</f>
        <v>1067.3781348659604</v>
      </c>
      <c r="I40" s="225">
        <f>Prehľad!I66</f>
        <v>188.36084732928714</v>
      </c>
      <c r="J40" s="226"/>
    </row>
    <row r="41" spans="1:10" x14ac:dyDescent="0.25">
      <c r="A41" s="222" t="str">
        <f t="shared" si="6"/>
        <v>Projektový manažér IT projektu</v>
      </c>
      <c r="B41" s="223">
        <f>Prehľad!B67</f>
        <v>108.57832036090629</v>
      </c>
      <c r="C41" s="224">
        <f>Prehľad!C67</f>
        <v>0</v>
      </c>
      <c r="D41" s="223">
        <f>Prehľad!D67</f>
        <v>232.66782934479923</v>
      </c>
      <c r="E41" s="224">
        <f>Prehľad!E67</f>
        <v>0</v>
      </c>
      <c r="F41" s="223">
        <f>Prehľad!F67</f>
        <v>361.92773453635431</v>
      </c>
      <c r="G41" s="224">
        <f>Prehľad!G67</f>
        <v>0</v>
      </c>
      <c r="H41" s="223">
        <f>Prehľad!H67</f>
        <v>503.59659062629868</v>
      </c>
      <c r="I41" s="225">
        <f>Prehľad!I67</f>
        <v>0</v>
      </c>
      <c r="J41" s="226"/>
    </row>
    <row r="42" spans="1:10" x14ac:dyDescent="0.25">
      <c r="A42" s="222" t="str">
        <f t="shared" si="6"/>
        <v>IT analytik</v>
      </c>
      <c r="B42" s="223">
        <f>Prehľad!B68</f>
        <v>288.72747313562451</v>
      </c>
      <c r="C42" s="224">
        <f>Prehľad!C68</f>
        <v>50.951907023933728</v>
      </c>
      <c r="D42" s="223">
        <f>Prehľad!D68</f>
        <v>618.70172814776697</v>
      </c>
      <c r="E42" s="224">
        <f>Prehľad!E68</f>
        <v>109.18265790842946</v>
      </c>
      <c r="F42" s="223">
        <f>Prehľad!F68</f>
        <v>962.4249104520818</v>
      </c>
      <c r="G42" s="224">
        <f>Prehľad!G68</f>
        <v>169.83969007977913</v>
      </c>
      <c r="H42" s="223">
        <f>Prehľad!H68</f>
        <v>1339.145518257611</v>
      </c>
      <c r="I42" s="225">
        <f>Prehľad!I68</f>
        <v>236.31979733957834</v>
      </c>
      <c r="J42" s="226"/>
    </row>
    <row r="43" spans="1:10" ht="30" x14ac:dyDescent="0.25">
      <c r="A43" s="222" t="str">
        <f t="shared" si="6"/>
        <v>Odborník pre IT dohľad/Quality Assurance</v>
      </c>
      <c r="B43" s="223">
        <f>Prehľad!B69</f>
        <v>11.038174034399121</v>
      </c>
      <c r="C43" s="224">
        <f>Prehľad!C69</f>
        <v>0</v>
      </c>
      <c r="D43" s="223">
        <f>Prehľad!D69</f>
        <v>23.653230073712415</v>
      </c>
      <c r="E43" s="224">
        <f>Prehľad!E69</f>
        <v>0</v>
      </c>
      <c r="F43" s="223">
        <f>Prehľad!F69</f>
        <v>36.793913447997078</v>
      </c>
      <c r="G43" s="224">
        <f>Prehľad!G69</f>
        <v>0</v>
      </c>
      <c r="H43" s="223">
        <f>Prehľad!H69</f>
        <v>51.196102426213073</v>
      </c>
      <c r="I43" s="225">
        <f>Prehľad!I69</f>
        <v>0</v>
      </c>
      <c r="J43" s="226"/>
    </row>
    <row r="44" spans="1:10" x14ac:dyDescent="0.25">
      <c r="A44" s="222" t="str">
        <f t="shared" si="6"/>
        <v>Špecialista pre bezpečnosť IT</v>
      </c>
      <c r="B44" s="223">
        <f>Prehľad!B70</f>
        <v>12.406285745704928</v>
      </c>
      <c r="C44" s="224">
        <f>Prehľad!C70</f>
        <v>0</v>
      </c>
      <c r="D44" s="223">
        <f>Prehľad!D70</f>
        <v>26.584898026510572</v>
      </c>
      <c r="E44" s="224">
        <f>Prehľad!E70</f>
        <v>0</v>
      </c>
      <c r="F44" s="223">
        <f>Prehľad!F70</f>
        <v>41.35428581901644</v>
      </c>
      <c r="G44" s="224">
        <f>Prehľad!G70</f>
        <v>0</v>
      </c>
      <c r="H44" s="223">
        <f>Prehľad!H70</f>
        <v>57.541534839602861</v>
      </c>
      <c r="I44" s="225">
        <f>Prehľad!I70</f>
        <v>0</v>
      </c>
      <c r="J44" s="226"/>
    </row>
    <row r="45" spans="1:10" ht="30" x14ac:dyDescent="0.25">
      <c r="A45" s="222" t="str">
        <f t="shared" si="6"/>
        <v>Špecialista pre infraštruktúrny/HW špecialista</v>
      </c>
      <c r="B45" s="223">
        <f>Prehľad!B71</f>
        <v>3.0471579024538418</v>
      </c>
      <c r="C45" s="224">
        <f>Prehľad!C71</f>
        <v>0</v>
      </c>
      <c r="D45" s="223">
        <f>Prehľad!D71</f>
        <v>6.5296240766868054</v>
      </c>
      <c r="E45" s="224">
        <f>Prehľad!E71</f>
        <v>0</v>
      </c>
      <c r="F45" s="223">
        <f>Prehľad!F71</f>
        <v>10.157193008179474</v>
      </c>
      <c r="G45" s="224">
        <f>Prehľad!G71</f>
        <v>0</v>
      </c>
      <c r="H45" s="223">
        <f>Prehľad!H71</f>
        <v>14.133008557095437</v>
      </c>
      <c r="I45" s="225">
        <f>Prehľad!I71</f>
        <v>0</v>
      </c>
      <c r="J45" s="226"/>
    </row>
    <row r="46" spans="1:10" x14ac:dyDescent="0.25">
      <c r="A46" s="222" t="str">
        <f t="shared" si="6"/>
        <v>Špecialista pre databázy</v>
      </c>
      <c r="B46" s="223">
        <f>Prehľad!B72</f>
        <v>16.821555359464579</v>
      </c>
      <c r="C46" s="224">
        <f>Prehľad!C72</f>
        <v>0</v>
      </c>
      <c r="D46" s="223">
        <f>Prehľad!D72</f>
        <v>36.046190055995538</v>
      </c>
      <c r="E46" s="224">
        <f>Prehľad!E72</f>
        <v>0</v>
      </c>
      <c r="F46" s="223">
        <f>Prehľad!F72</f>
        <v>56.071851198215271</v>
      </c>
      <c r="G46" s="224">
        <f>Prehľad!G72</f>
        <v>0</v>
      </c>
      <c r="H46" s="223">
        <f>Prehľad!H72</f>
        <v>78.019975810088098</v>
      </c>
      <c r="I46" s="225">
        <f>Prehľad!I72</f>
        <v>0</v>
      </c>
      <c r="J46" s="226"/>
    </row>
    <row r="47" spans="1:10" x14ac:dyDescent="0.25">
      <c r="A47" s="222" t="str">
        <f t="shared" si="6"/>
        <v>Školiteľ pre IT systémy</v>
      </c>
      <c r="B47" s="223">
        <f>Prehľad!B73</f>
        <v>5.4264682359699616</v>
      </c>
      <c r="C47" s="224">
        <f>Prehľad!C73</f>
        <v>0.95761204164175795</v>
      </c>
      <c r="D47" s="223">
        <f>Prehľad!D73</f>
        <v>11.628146219935635</v>
      </c>
      <c r="E47" s="224">
        <f>Prehľad!E73</f>
        <v>2.052025803518053</v>
      </c>
      <c r="F47" s="223">
        <f>Prehľad!F73</f>
        <v>18.088227453233205</v>
      </c>
      <c r="G47" s="224">
        <f>Prehľad!G73</f>
        <v>3.1920401388058601</v>
      </c>
      <c r="H47" s="223">
        <f>Prehľad!H73</f>
        <v>25.16847648492735</v>
      </c>
      <c r="I47" s="225">
        <f>Prehľad!I73</f>
        <v>4.4414958502812967</v>
      </c>
      <c r="J47" s="226"/>
    </row>
    <row r="48" spans="1:10" x14ac:dyDescent="0.25">
      <c r="A48" s="222" t="str">
        <f t="shared" si="6"/>
        <v>IT/IS konzultant</v>
      </c>
      <c r="B48" s="223">
        <f>Prehľad!B74</f>
        <v>382.66441809093874</v>
      </c>
      <c r="C48" s="224">
        <f>Prehľad!C74</f>
        <v>67.529014957224462</v>
      </c>
      <c r="D48" s="223">
        <f>Prehľad!D74</f>
        <v>819.99518162344032</v>
      </c>
      <c r="E48" s="224">
        <f>Prehľad!E74</f>
        <v>144.70503205119533</v>
      </c>
      <c r="F48" s="223">
        <f>Prehľad!F74</f>
        <v>1275.548060303129</v>
      </c>
      <c r="G48" s="224">
        <f>Prehľad!G74</f>
        <v>225.09671652408156</v>
      </c>
      <c r="H48" s="223">
        <f>Prehľad!H74</f>
        <v>1774.8340153360682</v>
      </c>
      <c r="I48" s="225">
        <f>Prehľad!I74</f>
        <v>313.20600270636487</v>
      </c>
      <c r="J48" s="226"/>
    </row>
    <row r="49" spans="1:9" s="177" customFormat="1" ht="15.75" thickBot="1" x14ac:dyDescent="0.3">
      <c r="A49" s="227" t="s">
        <v>90</v>
      </c>
      <c r="B49" s="228">
        <f>SUM(B38:B48)</f>
        <v>1295.3424580191563</v>
      </c>
      <c r="C49" s="229">
        <f t="shared" ref="C49:I49" si="7">SUM(C38:C48)</f>
        <v>181.03333135409935</v>
      </c>
      <c r="D49" s="228">
        <f t="shared" si="7"/>
        <v>2775.7338386124779</v>
      </c>
      <c r="E49" s="229">
        <f t="shared" si="7"/>
        <v>387.9285671873559</v>
      </c>
      <c r="F49" s="228">
        <f t="shared" si="7"/>
        <v>4317.808193397188</v>
      </c>
      <c r="G49" s="229">
        <f t="shared" si="7"/>
        <v>603.44443784699786</v>
      </c>
      <c r="H49" s="228">
        <f t="shared" si="7"/>
        <v>6007.9216862412286</v>
      </c>
      <c r="I49" s="230">
        <f t="shared" si="7"/>
        <v>839.64983208996557</v>
      </c>
    </row>
  </sheetData>
  <sheetProtection algorithmName="SHA-512" hashValue="b5ueM3VwJTESQ4zO1fOIUAjqofnX79gtyDE/0DHkFlzXLQSj8+2sGNLd/9z7G4f6HAjWzerp/BQWFfLywhXxOw==" saltValue="02350imXil8Fwh5kZZYaxA==" spinCount="100000" sheet="1" objects="1" scenarios="1"/>
  <mergeCells count="13">
    <mergeCell ref="H36:I36"/>
    <mergeCell ref="B35:F35"/>
    <mergeCell ref="B18:F18"/>
    <mergeCell ref="B19:D19"/>
    <mergeCell ref="E19:F19"/>
    <mergeCell ref="A35:A37"/>
    <mergeCell ref="C1:F1"/>
    <mergeCell ref="B36:C36"/>
    <mergeCell ref="D36:E36"/>
    <mergeCell ref="F36:G36"/>
    <mergeCell ref="B3:F3"/>
    <mergeCell ref="B11:D11"/>
    <mergeCell ref="A19:A20"/>
  </mergeCells>
  <conditionalFormatting sqref="G13:G15">
    <cfRule type="cellIs" dxfId="0" priority="1" operator="lessThan">
      <formula>0</formula>
    </cfRule>
  </conditionalFormatting>
  <dataValidations count="1">
    <dataValidation type="decimal" operator="greaterThanOrEqual" allowBlank="1" showInputMessage="1" showErrorMessage="1" sqref="B1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&amp;C&amp;"-,Tučné"&amp;12&amp;A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topLeftCell="A46" zoomScale="90" zoomScaleNormal="90" workbookViewId="0">
      <selection activeCell="A24" sqref="A24"/>
    </sheetView>
  </sheetViews>
  <sheetFormatPr defaultRowHeight="15" x14ac:dyDescent="0.25"/>
  <cols>
    <col min="1" max="1" width="42.42578125" bestFit="1" customWidth="1"/>
    <col min="2" max="3" width="14.42578125" bestFit="1" customWidth="1"/>
    <col min="4" max="4" width="17.140625" customWidth="1"/>
    <col min="5" max="5" width="14.42578125" bestFit="1" customWidth="1"/>
    <col min="6" max="6" width="15.42578125" bestFit="1" customWidth="1"/>
    <col min="7" max="10" width="17" customWidth="1"/>
    <col min="11" max="11" width="8.5703125" bestFit="1" customWidth="1"/>
    <col min="12" max="12" width="6.7109375" bestFit="1" customWidth="1"/>
    <col min="13" max="13" width="16.28515625" customWidth="1"/>
    <col min="14" max="14" width="10.85546875" bestFit="1" customWidth="1"/>
  </cols>
  <sheetData>
    <row r="1" spans="1:13" x14ac:dyDescent="0.25">
      <c r="A1" t="s">
        <v>115</v>
      </c>
      <c r="B1" s="83">
        <v>0.15</v>
      </c>
      <c r="C1" s="81">
        <f>SUM(B1:B2)</f>
        <v>1</v>
      </c>
      <c r="D1" s="66"/>
      <c r="F1" s="72">
        <v>2020</v>
      </c>
      <c r="G1" s="72">
        <v>2021</v>
      </c>
      <c r="H1" s="72">
        <v>2022</v>
      </c>
      <c r="I1" s="72">
        <v>2023</v>
      </c>
      <c r="J1" s="9" t="s">
        <v>90</v>
      </c>
    </row>
    <row r="2" spans="1:13" x14ac:dyDescent="0.25">
      <c r="A2" t="s">
        <v>122</v>
      </c>
      <c r="B2" s="83">
        <v>0.85</v>
      </c>
      <c r="C2" s="82"/>
      <c r="D2" s="66" t="s">
        <v>133</v>
      </c>
      <c r="F2" s="79">
        <v>105</v>
      </c>
      <c r="G2" s="80">
        <v>120</v>
      </c>
      <c r="H2" s="80">
        <v>125</v>
      </c>
      <c r="I2" s="80">
        <v>137</v>
      </c>
      <c r="J2" s="9">
        <f>SUM(F2:I2)</f>
        <v>487</v>
      </c>
      <c r="K2" s="6"/>
    </row>
    <row r="3" spans="1:13" x14ac:dyDescent="0.25">
      <c r="A3" s="65" t="s">
        <v>116</v>
      </c>
      <c r="B3" s="84">
        <v>0.8</v>
      </c>
      <c r="C3" s="82"/>
      <c r="D3" s="66" t="s">
        <v>134</v>
      </c>
      <c r="F3" s="73">
        <f>AP!C21</f>
        <v>1245334.820328542</v>
      </c>
      <c r="G3" s="74">
        <f>AP!C22</f>
        <v>2668574.6149897333</v>
      </c>
      <c r="H3" s="74">
        <f>AP!C23</f>
        <v>4151116.0677618068</v>
      </c>
      <c r="I3" s="74">
        <f>AP!C24</f>
        <v>5775981.5</v>
      </c>
      <c r="J3" s="76">
        <f>SUM(F3:I3)</f>
        <v>13841007.003080081</v>
      </c>
      <c r="M3" s="44">
        <f>J3/1.2</f>
        <v>11534172.502566734</v>
      </c>
    </row>
    <row r="4" spans="1:13" x14ac:dyDescent="0.25">
      <c r="A4" s="65" t="s">
        <v>117</v>
      </c>
      <c r="B4" s="84">
        <v>0.8</v>
      </c>
      <c r="C4" s="82"/>
      <c r="D4" s="66" t="s">
        <v>135</v>
      </c>
      <c r="F4" s="73">
        <f>F3*$B$1</f>
        <v>186800.22304928131</v>
      </c>
      <c r="G4" s="73">
        <f t="shared" ref="G4:I4" si="0">G3*$B$1</f>
        <v>400286.19224845996</v>
      </c>
      <c r="H4" s="73">
        <f t="shared" si="0"/>
        <v>622667.41016427102</v>
      </c>
      <c r="I4" s="73">
        <f t="shared" si="0"/>
        <v>866397.22499999998</v>
      </c>
      <c r="J4" s="76">
        <f t="shared" ref="J4:J7" si="1">SUM(F4:I4)</f>
        <v>2076151.0504620122</v>
      </c>
      <c r="M4" s="44">
        <f t="shared" ref="M4:M5" si="2">J4/1.2</f>
        <v>1730125.8753850101</v>
      </c>
    </row>
    <row r="5" spans="1:13" x14ac:dyDescent="0.25">
      <c r="A5" s="64" t="s">
        <v>118</v>
      </c>
      <c r="B5" s="85">
        <v>0.6</v>
      </c>
      <c r="C5" s="82"/>
      <c r="D5" s="66" t="s">
        <v>136</v>
      </c>
      <c r="F5" s="73">
        <f>F3*$B$2</f>
        <v>1058534.5972792606</v>
      </c>
      <c r="G5" s="73">
        <f t="shared" ref="G5:I5" si="3">G3*$B$2</f>
        <v>2268288.4227412734</v>
      </c>
      <c r="H5" s="73">
        <f t="shared" si="3"/>
        <v>3528448.6575975358</v>
      </c>
      <c r="I5" s="73">
        <f t="shared" si="3"/>
        <v>4909584.2749999994</v>
      </c>
      <c r="J5" s="76">
        <f t="shared" si="1"/>
        <v>11764855.95261807</v>
      </c>
      <c r="M5" s="44">
        <f t="shared" si="2"/>
        <v>9804046.6271817256</v>
      </c>
    </row>
    <row r="6" spans="1:13" x14ac:dyDescent="0.25">
      <c r="A6" s="64" t="s">
        <v>119</v>
      </c>
      <c r="B6" s="85">
        <v>0.6</v>
      </c>
      <c r="C6" s="82"/>
      <c r="D6" s="66" t="s">
        <v>149</v>
      </c>
      <c r="F6" s="75">
        <f>B39</f>
        <v>1295.3424580191563</v>
      </c>
      <c r="G6" s="75">
        <f>D39</f>
        <v>2775.7338386124779</v>
      </c>
      <c r="H6" s="75">
        <f>F39</f>
        <v>4317.808193397188</v>
      </c>
      <c r="I6" s="75">
        <f>H39</f>
        <v>6007.9216862412286</v>
      </c>
      <c r="J6" s="77">
        <f>SUM(F6:I6)</f>
        <v>14396.806176270051</v>
      </c>
    </row>
    <row r="7" spans="1:13" x14ac:dyDescent="0.25">
      <c r="A7" s="66" t="s">
        <v>126</v>
      </c>
      <c r="B7" s="86">
        <v>0.85</v>
      </c>
      <c r="C7" s="81">
        <f>SUM(B7:B8)</f>
        <v>1</v>
      </c>
      <c r="D7" s="66" t="s">
        <v>150</v>
      </c>
      <c r="F7" s="75">
        <f>C39</f>
        <v>181.03333135409935</v>
      </c>
      <c r="G7" s="75">
        <f>E39</f>
        <v>387.9285671873559</v>
      </c>
      <c r="H7" s="75">
        <f>G39</f>
        <v>603.44443784699786</v>
      </c>
      <c r="I7" s="75">
        <f>I39</f>
        <v>839.64983208996557</v>
      </c>
      <c r="J7" s="77">
        <f t="shared" si="1"/>
        <v>2012.0561684784184</v>
      </c>
    </row>
    <row r="8" spans="1:13" ht="18.75" x14ac:dyDescent="0.3">
      <c r="A8" s="66" t="s">
        <v>127</v>
      </c>
      <c r="B8" s="86">
        <v>0.15</v>
      </c>
      <c r="J8" s="135">
        <f>SUM(J6:J7)</f>
        <v>16408.862344748468</v>
      </c>
    </row>
    <row r="9" spans="1:13" x14ac:dyDescent="0.25">
      <c r="A9" s="66"/>
      <c r="B9" s="56"/>
    </row>
    <row r="10" spans="1:13" x14ac:dyDescent="0.25">
      <c r="B10" s="254" t="s">
        <v>11</v>
      </c>
      <c r="C10" s="255"/>
      <c r="D10" s="255"/>
      <c r="E10" s="255"/>
      <c r="F10" s="255"/>
      <c r="I10" s="92"/>
      <c r="J10" s="93"/>
    </row>
    <row r="11" spans="1:13" x14ac:dyDescent="0.25">
      <c r="B11" s="164" t="s">
        <v>123</v>
      </c>
      <c r="C11" s="165" t="s">
        <v>124</v>
      </c>
      <c r="D11" s="165"/>
      <c r="E11" s="166" t="s">
        <v>125</v>
      </c>
      <c r="F11" s="166"/>
      <c r="G11" s="87"/>
      <c r="I11" s="92"/>
    </row>
    <row r="12" spans="1:13" x14ac:dyDescent="0.25">
      <c r="B12" s="167"/>
      <c r="C12" s="46" t="s">
        <v>11</v>
      </c>
      <c r="D12" s="46" t="s">
        <v>151</v>
      </c>
      <c r="E12" s="48" t="s">
        <v>11</v>
      </c>
      <c r="F12" s="48" t="s">
        <v>151</v>
      </c>
      <c r="G12" s="6"/>
    </row>
    <row r="13" spans="1:13" x14ac:dyDescent="0.25">
      <c r="A13" s="58" t="s">
        <v>0</v>
      </c>
      <c r="B13" s="63">
        <f>Sadzby!B4*1.2</f>
        <v>1092</v>
      </c>
      <c r="C13" s="47">
        <f>Sadzby!F22</f>
        <v>873.6</v>
      </c>
      <c r="D13" s="136">
        <f>Sadzby!H22</f>
        <v>7.9651414716203128E-2</v>
      </c>
      <c r="E13" s="49">
        <f>Sadzby!G22</f>
        <v>0</v>
      </c>
      <c r="F13" s="137">
        <f>Sadzby!I22</f>
        <v>0</v>
      </c>
      <c r="G13" s="87">
        <f>D13+F13</f>
        <v>7.9651414716203128E-2</v>
      </c>
      <c r="H13" s="2">
        <f t="shared" ref="H13:H22" si="4">C13/B13</f>
        <v>0.8</v>
      </c>
      <c r="I13" s="2">
        <f t="shared" ref="I13:I22" si="5">E13/C13</f>
        <v>0</v>
      </c>
    </row>
    <row r="14" spans="1:13" x14ac:dyDescent="0.25">
      <c r="A14" s="58" t="s">
        <v>1</v>
      </c>
      <c r="B14" s="63">
        <f>Sadzby!B5*1.2</f>
        <v>684</v>
      </c>
      <c r="C14" s="47">
        <f>Sadzby!F23</f>
        <v>547.20000000000005</v>
      </c>
      <c r="D14" s="136">
        <f>Sadzby!H23</f>
        <v>8.0537978866748294E-2</v>
      </c>
      <c r="E14" s="49">
        <f>Sadzby!G23</f>
        <v>328.32</v>
      </c>
      <c r="F14" s="137">
        <f>Sadzby!I23</f>
        <v>1.4212584505896768E-2</v>
      </c>
      <c r="G14" s="87">
        <f t="shared" ref="G14:G23" si="6">D14+F14</f>
        <v>9.4750563372645064E-2</v>
      </c>
      <c r="H14" s="2">
        <f t="shared" si="4"/>
        <v>0.8</v>
      </c>
      <c r="I14" s="2">
        <f t="shared" si="5"/>
        <v>0.6</v>
      </c>
    </row>
    <row r="15" spans="1:13" x14ac:dyDescent="0.25">
      <c r="A15" s="58" t="s">
        <v>2</v>
      </c>
      <c r="B15" s="63">
        <f>Sadzby!B6*1.2</f>
        <v>780</v>
      </c>
      <c r="C15" s="47">
        <f>Sadzby!F24</f>
        <v>623.99999999999989</v>
      </c>
      <c r="D15" s="136">
        <f>Sadzby!H24</f>
        <v>0.15587688744959449</v>
      </c>
      <c r="E15" s="49">
        <f>Sadzby!G24</f>
        <v>374.39999999999992</v>
      </c>
      <c r="F15" s="137">
        <f>Sadzby!I24</f>
        <v>2.7507686020516627E-2</v>
      </c>
      <c r="G15" s="87">
        <f t="shared" si="6"/>
        <v>0.18338457347011111</v>
      </c>
      <c r="H15" s="2">
        <f t="shared" si="4"/>
        <v>0.79999999999999982</v>
      </c>
      <c r="I15" s="2">
        <f t="shared" si="5"/>
        <v>0.6</v>
      </c>
    </row>
    <row r="16" spans="1:13" x14ac:dyDescent="0.25">
      <c r="A16" s="58" t="s">
        <v>3</v>
      </c>
      <c r="B16" s="63">
        <f>Sadzby!B7*1.2</f>
        <v>1068</v>
      </c>
      <c r="C16" s="47">
        <f>Sadzby!F25</f>
        <v>854.4000000000002</v>
      </c>
      <c r="D16" s="136">
        <f>Sadzby!H25</f>
        <v>7.354382342384487E-2</v>
      </c>
      <c r="E16" s="49">
        <f>Sadzby!G25</f>
        <v>0</v>
      </c>
      <c r="F16" s="137">
        <f>Sadzby!I25</f>
        <v>0</v>
      </c>
      <c r="G16" s="87">
        <f t="shared" si="6"/>
        <v>7.354382342384487E-2</v>
      </c>
      <c r="H16" s="2">
        <f t="shared" si="4"/>
        <v>0.80000000000000016</v>
      </c>
      <c r="I16" s="2">
        <f t="shared" si="5"/>
        <v>0</v>
      </c>
    </row>
    <row r="17" spans="1:14" x14ac:dyDescent="0.25">
      <c r="A17" s="58" t="s">
        <v>4</v>
      </c>
      <c r="B17" s="63">
        <f>Sadzby!B8*1.2</f>
        <v>888</v>
      </c>
      <c r="C17" s="47">
        <f>Sadzby!F26</f>
        <v>710.40000000000009</v>
      </c>
      <c r="D17" s="136">
        <f>Sadzby!H26</f>
        <v>0.19556502837139711</v>
      </c>
      <c r="E17" s="49">
        <f>Sadzby!G26</f>
        <v>426.24000000000007</v>
      </c>
      <c r="F17" s="137">
        <f>Sadzby!I26</f>
        <v>3.4511475594952407E-2</v>
      </c>
      <c r="G17" s="87">
        <f t="shared" si="6"/>
        <v>0.23007650396634952</v>
      </c>
      <c r="H17" s="2">
        <f t="shared" si="4"/>
        <v>0.80000000000000016</v>
      </c>
      <c r="I17" s="2">
        <f t="shared" si="5"/>
        <v>0.6</v>
      </c>
    </row>
    <row r="18" spans="1:14" x14ac:dyDescent="0.25">
      <c r="A18" s="58" t="s">
        <v>5</v>
      </c>
      <c r="B18" s="63">
        <f>Sadzby!B9*1.2</f>
        <v>1068</v>
      </c>
      <c r="C18" s="47">
        <f>Sadzby!F27</f>
        <v>854.40000000000009</v>
      </c>
      <c r="D18" s="136">
        <f>Sadzby!H27</f>
        <v>7.4765341682316525E-3</v>
      </c>
      <c r="E18" s="49">
        <f>Sadzby!G27</f>
        <v>0</v>
      </c>
      <c r="F18" s="137">
        <f>Sadzby!I27</f>
        <v>0</v>
      </c>
      <c r="G18" s="87">
        <f t="shared" si="6"/>
        <v>7.4765341682316525E-3</v>
      </c>
      <c r="H18" s="2">
        <f t="shared" si="4"/>
        <v>0.8</v>
      </c>
      <c r="I18" s="2">
        <f t="shared" si="5"/>
        <v>0</v>
      </c>
    </row>
    <row r="19" spans="1:14" x14ac:dyDescent="0.25">
      <c r="A19" s="58" t="s">
        <v>6</v>
      </c>
      <c r="B19" s="63">
        <f>Sadzby!B10*1.2</f>
        <v>1440</v>
      </c>
      <c r="C19" s="47">
        <f>Sadzby!F28</f>
        <v>1152</v>
      </c>
      <c r="D19" s="136">
        <f>Sadzby!H28</f>
        <v>8.4032031918998013E-3</v>
      </c>
      <c r="E19" s="49">
        <f>Sadzby!G28</f>
        <v>0</v>
      </c>
      <c r="F19" s="137">
        <f>Sadzby!I28</f>
        <v>0</v>
      </c>
      <c r="G19" s="87">
        <f t="shared" si="6"/>
        <v>8.4032031918998013E-3</v>
      </c>
      <c r="H19" s="2">
        <f t="shared" si="4"/>
        <v>0.8</v>
      </c>
      <c r="I19" s="2">
        <f t="shared" si="5"/>
        <v>0</v>
      </c>
    </row>
    <row r="20" spans="1:14" x14ac:dyDescent="0.25">
      <c r="A20" s="58" t="s">
        <v>7</v>
      </c>
      <c r="B20" s="63">
        <f>Sadzby!B11*1.2</f>
        <v>948</v>
      </c>
      <c r="C20" s="47">
        <f>Sadzby!F29</f>
        <v>758.40000000000009</v>
      </c>
      <c r="D20" s="136">
        <f>Sadzby!H29</f>
        <v>2.0639446436245125E-3</v>
      </c>
      <c r="E20" s="49">
        <f>Sadzby!G29</f>
        <v>0</v>
      </c>
      <c r="F20" s="137">
        <f>Sadzby!I29</f>
        <v>0</v>
      </c>
      <c r="G20" s="87">
        <f t="shared" si="6"/>
        <v>2.0639446436245125E-3</v>
      </c>
      <c r="H20" s="2">
        <f t="shared" si="4"/>
        <v>0.8</v>
      </c>
      <c r="I20" s="2">
        <f t="shared" si="5"/>
        <v>0</v>
      </c>
    </row>
    <row r="21" spans="1:14" x14ac:dyDescent="0.25">
      <c r="A21" s="58" t="s">
        <v>8</v>
      </c>
      <c r="B21" s="63">
        <f>Sadzby!B12*1.2</f>
        <v>720</v>
      </c>
      <c r="C21" s="47">
        <f>Sadzby!F30</f>
        <v>576</v>
      </c>
      <c r="D21" s="136">
        <f>Sadzby!H30</f>
        <v>1.1393816859192463E-2</v>
      </c>
      <c r="E21" s="49">
        <f>Sadzby!G30</f>
        <v>0</v>
      </c>
      <c r="F21" s="137">
        <f>Sadzby!I30</f>
        <v>0</v>
      </c>
      <c r="G21" s="87">
        <f t="shared" si="6"/>
        <v>1.1393816859192463E-2</v>
      </c>
      <c r="H21" s="2">
        <f t="shared" si="4"/>
        <v>0.8</v>
      </c>
      <c r="I21" s="2">
        <f t="shared" si="5"/>
        <v>0</v>
      </c>
    </row>
    <row r="22" spans="1:14" x14ac:dyDescent="0.25">
      <c r="A22" s="58" t="s">
        <v>9</v>
      </c>
      <c r="B22" s="63">
        <f>Sadzby!B13*1.2</f>
        <v>852</v>
      </c>
      <c r="C22" s="47">
        <f>Sadzby!F31</f>
        <v>681.6</v>
      </c>
      <c r="D22" s="136">
        <f>Sadzby!H31</f>
        <v>3.6755332043704007E-3</v>
      </c>
      <c r="E22" s="49">
        <f>Sadzby!G31</f>
        <v>408.96</v>
      </c>
      <c r="F22" s="137">
        <f>Sadzby!I31</f>
        <v>6.4862350665360002E-4</v>
      </c>
      <c r="G22" s="87">
        <f t="shared" si="6"/>
        <v>4.324156711024001E-3</v>
      </c>
      <c r="H22" s="2">
        <f t="shared" si="4"/>
        <v>0.8</v>
      </c>
      <c r="I22" s="2">
        <f t="shared" si="5"/>
        <v>0.6</v>
      </c>
    </row>
    <row r="23" spans="1:14" x14ac:dyDescent="0.25">
      <c r="A23" s="58" t="s">
        <v>183</v>
      </c>
      <c r="B23" s="63">
        <f>Sadzby!B14*1.2</f>
        <v>1080</v>
      </c>
      <c r="C23" s="47">
        <f>Sadzby!F32</f>
        <v>864.00000000000011</v>
      </c>
      <c r="D23" s="136">
        <f>Sadzby!H32</f>
        <v>0.25919174565534275</v>
      </c>
      <c r="E23" s="49">
        <f>Sadzby!G32</f>
        <v>518.40000000000009</v>
      </c>
      <c r="F23" s="137">
        <f>Sadzby!I32</f>
        <v>4.5739719821531105E-2</v>
      </c>
      <c r="G23" s="87">
        <f t="shared" si="6"/>
        <v>0.30493146547687389</v>
      </c>
      <c r="H23" s="2">
        <f>C23/B23</f>
        <v>0.80000000000000016</v>
      </c>
      <c r="I23" s="2">
        <f>E23/C23</f>
        <v>0.6</v>
      </c>
    </row>
    <row r="24" spans="1:14" x14ac:dyDescent="0.25">
      <c r="A24" s="67"/>
      <c r="B24" s="54"/>
      <c r="C24" s="54"/>
      <c r="D24" s="54"/>
      <c r="E24" s="54"/>
      <c r="F24" s="54"/>
    </row>
    <row r="25" spans="1:14" x14ac:dyDescent="0.25">
      <c r="B25" s="250" t="s">
        <v>128</v>
      </c>
      <c r="C25" s="251"/>
      <c r="D25" s="250" t="s">
        <v>129</v>
      </c>
      <c r="E25" s="251"/>
      <c r="F25" s="252" t="s">
        <v>130</v>
      </c>
      <c r="G25" s="253"/>
      <c r="H25" s="250" t="s">
        <v>131</v>
      </c>
      <c r="I25" s="251"/>
      <c r="J25" s="125"/>
      <c r="K25" s="126"/>
      <c r="L25" s="125"/>
      <c r="M25" s="125"/>
    </row>
    <row r="26" spans="1:14" ht="30" x14ac:dyDescent="0.3">
      <c r="A26" s="159" t="s">
        <v>164</v>
      </c>
      <c r="B26" s="124" t="s">
        <v>166</v>
      </c>
      <c r="C26" s="124" t="s">
        <v>166</v>
      </c>
      <c r="D26" s="124" t="s">
        <v>166</v>
      </c>
      <c r="E26" s="124" t="s">
        <v>166</v>
      </c>
      <c r="F26" s="124" t="s">
        <v>166</v>
      </c>
      <c r="G26" s="124" t="s">
        <v>166</v>
      </c>
      <c r="H26" s="124" t="s">
        <v>166</v>
      </c>
      <c r="I26" s="124" t="s">
        <v>166</v>
      </c>
      <c r="J26" s="126"/>
      <c r="K26" s="249"/>
      <c r="L26" s="126"/>
      <c r="M26" s="126"/>
    </row>
    <row r="27" spans="1:14" x14ac:dyDescent="0.25">
      <c r="B27" s="128" t="s">
        <v>14</v>
      </c>
      <c r="C27" s="118" t="s">
        <v>15</v>
      </c>
      <c r="D27" s="128" t="s">
        <v>14</v>
      </c>
      <c r="E27" s="118" t="s">
        <v>15</v>
      </c>
      <c r="F27" s="128" t="s">
        <v>14</v>
      </c>
      <c r="G27" s="118" t="s">
        <v>15</v>
      </c>
      <c r="H27" s="128" t="s">
        <v>14</v>
      </c>
      <c r="I27" s="118" t="s">
        <v>15</v>
      </c>
      <c r="J27" s="126"/>
      <c r="K27" s="249"/>
      <c r="L27" s="126"/>
      <c r="M27" s="126"/>
    </row>
    <row r="28" spans="1:14" x14ac:dyDescent="0.25">
      <c r="A28" s="69" t="s">
        <v>0</v>
      </c>
      <c r="B28" s="119">
        <f>AP_výpočet!D20</f>
        <v>117.59542027633096</v>
      </c>
      <c r="C28" s="120">
        <f>AP_výpočet!E20</f>
        <v>0</v>
      </c>
      <c r="D28" s="119">
        <f>AP_výpočet!D54</f>
        <v>251.99018630642351</v>
      </c>
      <c r="E28" s="120">
        <f>AP_výpočet!E54</f>
        <v>0</v>
      </c>
      <c r="F28" s="119">
        <f>AP_výpočet!D88</f>
        <v>391.98473425443655</v>
      </c>
      <c r="G28" s="120">
        <f>AP_výpočet!E88</f>
        <v>0</v>
      </c>
      <c r="H28" s="119">
        <f>AP_výpočet!D123</f>
        <v>545.41875880545876</v>
      </c>
      <c r="I28" s="120">
        <f>AP_výpočet!E123</f>
        <v>0</v>
      </c>
      <c r="J28" s="71">
        <f>SUM(B28:I28)</f>
        <v>1306.9890996426498</v>
      </c>
      <c r="K28" s="138">
        <f>J28/$J$8</f>
        <v>7.9651414716203142E-2</v>
      </c>
      <c r="L28" s="140">
        <f>K28-G13</f>
        <v>0</v>
      </c>
      <c r="M28" s="140"/>
      <c r="N28" s="93"/>
    </row>
    <row r="29" spans="1:14" x14ac:dyDescent="0.25">
      <c r="A29" s="69" t="s">
        <v>1</v>
      </c>
      <c r="B29" s="119">
        <f>AP_výpočet!D21</f>
        <v>118.90432212392209</v>
      </c>
      <c r="C29" s="120">
        <f>AP_výpočet!E21</f>
        <v>20.983115668927432</v>
      </c>
      <c r="D29" s="119">
        <f>AP_výpočet!D55</f>
        <v>254.79497597983311</v>
      </c>
      <c r="E29" s="120">
        <f>AP_výpočet!E55</f>
        <v>44.963819290558796</v>
      </c>
      <c r="F29" s="119">
        <f>AP_výpočet!D89</f>
        <v>396.34774041307367</v>
      </c>
      <c r="G29" s="120">
        <f>AP_výpočet!E89</f>
        <v>69.94371889642477</v>
      </c>
      <c r="H29" s="119">
        <f>AP_výpočet!D124</f>
        <v>551.48957023190542</v>
      </c>
      <c r="I29" s="120">
        <f>AP_výpočet!E124</f>
        <v>97.321688864453904</v>
      </c>
      <c r="J29" s="71">
        <f t="shared" ref="J29:J38" si="7">SUM(B29:I29)</f>
        <v>1554.7489514690992</v>
      </c>
      <c r="K29" s="138">
        <f>J29/$J$8</f>
        <v>9.4750563372645077E-2</v>
      </c>
      <c r="L29" s="140">
        <f t="shared" ref="L29:L38" si="8">K29-G14</f>
        <v>0</v>
      </c>
      <c r="M29" s="140"/>
      <c r="N29" s="93"/>
    </row>
    <row r="30" spans="1:14" x14ac:dyDescent="0.25">
      <c r="A30" s="69" t="s">
        <v>2</v>
      </c>
      <c r="B30" s="119">
        <f>AP_výpočet!D22</f>
        <v>230.13286275344115</v>
      </c>
      <c r="C30" s="120">
        <f>AP_výpočet!E22</f>
        <v>40.611681662371971</v>
      </c>
      <c r="D30" s="119">
        <f>AP_výpočet!D56</f>
        <v>493.14184875737408</v>
      </c>
      <c r="E30" s="120">
        <f>AP_výpočet!E56</f>
        <v>87.02503213365425</v>
      </c>
      <c r="F30" s="119">
        <f>AP_výpočet!D90</f>
        <v>767.10954251147064</v>
      </c>
      <c r="G30" s="120">
        <f>AP_výpočet!E90</f>
        <v>135.37227220790658</v>
      </c>
      <c r="H30" s="119">
        <f>AP_výpočet!D125</f>
        <v>1067.3781348659604</v>
      </c>
      <c r="I30" s="120">
        <f>AP_výpočet!E125</f>
        <v>188.36084732928714</v>
      </c>
      <c r="J30" s="71">
        <f t="shared" si="7"/>
        <v>3009.1322222214658</v>
      </c>
      <c r="K30" s="138">
        <f t="shared" ref="K30:K38" si="9">J30/$J$8</f>
        <v>0.18338457347011117</v>
      </c>
      <c r="L30" s="140">
        <f t="shared" si="8"/>
        <v>0</v>
      </c>
      <c r="M30" s="140"/>
      <c r="N30" s="93"/>
    </row>
    <row r="31" spans="1:14" x14ac:dyDescent="0.25">
      <c r="A31" s="69" t="s">
        <v>3</v>
      </c>
      <c r="B31" s="119">
        <f>AP_výpočet!D23</f>
        <v>108.57832036090629</v>
      </c>
      <c r="C31" s="120">
        <f>AP_výpočet!E23</f>
        <v>0</v>
      </c>
      <c r="D31" s="119">
        <f>AP_výpočet!D57</f>
        <v>232.66782934479923</v>
      </c>
      <c r="E31" s="120">
        <f>AP_výpočet!E57</f>
        <v>0</v>
      </c>
      <c r="F31" s="119">
        <f>AP_výpočet!D91</f>
        <v>361.92773453635431</v>
      </c>
      <c r="G31" s="120">
        <f>AP_výpočet!E91</f>
        <v>0</v>
      </c>
      <c r="H31" s="119">
        <f>AP_výpočet!D126</f>
        <v>503.59659062629868</v>
      </c>
      <c r="I31" s="120">
        <f>AP_výpočet!E126</f>
        <v>0</v>
      </c>
      <c r="J31" s="71">
        <f t="shared" si="7"/>
        <v>1206.7704748683584</v>
      </c>
      <c r="K31" s="138">
        <f t="shared" si="9"/>
        <v>7.354382342384487E-2</v>
      </c>
      <c r="L31" s="140">
        <f t="shared" si="8"/>
        <v>0</v>
      </c>
      <c r="M31" s="140"/>
      <c r="N31" s="93"/>
    </row>
    <row r="32" spans="1:14" x14ac:dyDescent="0.25">
      <c r="A32" s="69" t="s">
        <v>4</v>
      </c>
      <c r="B32" s="119">
        <f>AP_výpočet!D24</f>
        <v>288.72747313562451</v>
      </c>
      <c r="C32" s="120">
        <f>AP_výpočet!E24</f>
        <v>50.951907023933728</v>
      </c>
      <c r="D32" s="119">
        <f>AP_výpočet!D58</f>
        <v>618.70172814776697</v>
      </c>
      <c r="E32" s="120">
        <f>AP_výpočet!E58</f>
        <v>109.18265790842946</v>
      </c>
      <c r="F32" s="119">
        <f>AP_výpočet!D92</f>
        <v>962.4249104520818</v>
      </c>
      <c r="G32" s="120">
        <f>AP_výpočet!E92</f>
        <v>169.83969007977913</v>
      </c>
      <c r="H32" s="119">
        <f>AP_výpočet!D127</f>
        <v>1339.145518257611</v>
      </c>
      <c r="I32" s="120">
        <f>AP_výpočet!E127</f>
        <v>236.31979733957834</v>
      </c>
      <c r="J32" s="71">
        <f t="shared" si="7"/>
        <v>3775.2936823448049</v>
      </c>
      <c r="K32" s="138">
        <f t="shared" si="9"/>
        <v>0.23007650396634957</v>
      </c>
      <c r="L32" s="140">
        <f t="shared" si="8"/>
        <v>0</v>
      </c>
      <c r="M32" s="140"/>
      <c r="N32" s="93"/>
    </row>
    <row r="33" spans="1:14" x14ac:dyDescent="0.25">
      <c r="A33" s="69" t="s">
        <v>5</v>
      </c>
      <c r="B33" s="119">
        <f>AP_výpočet!D25</f>
        <v>11.038174034399121</v>
      </c>
      <c r="C33" s="120">
        <f>AP_výpočet!E25</f>
        <v>0</v>
      </c>
      <c r="D33" s="119">
        <f>AP_výpočet!D59</f>
        <v>23.653230073712415</v>
      </c>
      <c r="E33" s="120">
        <f>AP_výpočet!E59</f>
        <v>0</v>
      </c>
      <c r="F33" s="119">
        <f>AP_výpočet!D93</f>
        <v>36.793913447997078</v>
      </c>
      <c r="G33" s="120">
        <f>AP_výpočet!E93</f>
        <v>0</v>
      </c>
      <c r="H33" s="119">
        <f>AP_výpočet!D128</f>
        <v>51.196102426213073</v>
      </c>
      <c r="I33" s="120">
        <f>AP_výpočet!E128</f>
        <v>0</v>
      </c>
      <c r="J33" s="71">
        <f t="shared" si="7"/>
        <v>122.68141998232169</v>
      </c>
      <c r="K33" s="138">
        <f t="shared" si="9"/>
        <v>7.4765341682316534E-3</v>
      </c>
      <c r="L33" s="140">
        <f t="shared" si="8"/>
        <v>0</v>
      </c>
      <c r="M33" s="140"/>
      <c r="N33" s="93"/>
    </row>
    <row r="34" spans="1:14" x14ac:dyDescent="0.25">
      <c r="A34" s="69" t="s">
        <v>6</v>
      </c>
      <c r="B34" s="119">
        <f>AP_výpočet!D26</f>
        <v>12.406285745704928</v>
      </c>
      <c r="C34" s="120">
        <f>AP_výpočet!E26</f>
        <v>0</v>
      </c>
      <c r="D34" s="119">
        <f>AP_výpočet!D60</f>
        <v>26.584898026510572</v>
      </c>
      <c r="E34" s="120">
        <f>AP_výpočet!E60</f>
        <v>0</v>
      </c>
      <c r="F34" s="119">
        <f>AP_výpočet!D94</f>
        <v>41.35428581901644</v>
      </c>
      <c r="G34" s="120">
        <f>AP_výpočet!E94</f>
        <v>0</v>
      </c>
      <c r="H34" s="119">
        <f>AP_výpočet!D129</f>
        <v>57.541534839602861</v>
      </c>
      <c r="I34" s="120">
        <f>AP_výpočet!E129</f>
        <v>0</v>
      </c>
      <c r="J34" s="71">
        <f t="shared" si="7"/>
        <v>137.88700443083479</v>
      </c>
      <c r="K34" s="138">
        <f t="shared" si="9"/>
        <v>8.4032031918998013E-3</v>
      </c>
      <c r="L34" s="140">
        <f t="shared" si="8"/>
        <v>0</v>
      </c>
      <c r="M34" s="140"/>
      <c r="N34" s="93"/>
    </row>
    <row r="35" spans="1:14" x14ac:dyDescent="0.25">
      <c r="A35" s="69" t="s">
        <v>7</v>
      </c>
      <c r="B35" s="119">
        <f>AP_výpočet!D27</f>
        <v>3.0471579024538418</v>
      </c>
      <c r="C35" s="120">
        <f>AP_výpočet!E27</f>
        <v>0</v>
      </c>
      <c r="D35" s="119">
        <f>AP_výpočet!D61</f>
        <v>6.5296240766868054</v>
      </c>
      <c r="E35" s="120">
        <f>AP_výpočet!E61</f>
        <v>0</v>
      </c>
      <c r="F35" s="119">
        <f>AP_výpočet!D95</f>
        <v>10.157193008179474</v>
      </c>
      <c r="G35" s="120">
        <f>AP_výpočet!E95</f>
        <v>0</v>
      </c>
      <c r="H35" s="119">
        <f>AP_výpočet!D130</f>
        <v>14.133008557095437</v>
      </c>
      <c r="I35" s="120">
        <f>AP_výpočet!E130</f>
        <v>0</v>
      </c>
      <c r="J35" s="71">
        <f t="shared" si="7"/>
        <v>33.866983544415561</v>
      </c>
      <c r="K35" s="138">
        <f t="shared" si="9"/>
        <v>2.0639446436245125E-3</v>
      </c>
      <c r="L35" s="140">
        <f t="shared" si="8"/>
        <v>0</v>
      </c>
      <c r="M35" s="140"/>
      <c r="N35" s="93"/>
    </row>
    <row r="36" spans="1:14" x14ac:dyDescent="0.25">
      <c r="A36" s="69" t="s">
        <v>8</v>
      </c>
      <c r="B36" s="119">
        <f>AP_výpočet!D28</f>
        <v>16.821555359464579</v>
      </c>
      <c r="C36" s="120">
        <f>AP_výpočet!E28</f>
        <v>0</v>
      </c>
      <c r="D36" s="119">
        <f>AP_výpočet!D62</f>
        <v>36.046190055995538</v>
      </c>
      <c r="E36" s="120">
        <f>AP_výpočet!E62</f>
        <v>0</v>
      </c>
      <c r="F36" s="119">
        <f>AP_výpočet!D96</f>
        <v>56.071851198215271</v>
      </c>
      <c r="G36" s="120">
        <f>AP_výpočet!E96</f>
        <v>0</v>
      </c>
      <c r="H36" s="119">
        <f>AP_výpočet!D131</f>
        <v>78.019975810088098</v>
      </c>
      <c r="I36" s="120">
        <f>AP_výpočet!E131</f>
        <v>0</v>
      </c>
      <c r="J36" s="71">
        <f t="shared" si="7"/>
        <v>186.95957242376349</v>
      </c>
      <c r="K36" s="138">
        <f t="shared" si="9"/>
        <v>1.1393816859192465E-2</v>
      </c>
      <c r="L36" s="140">
        <f t="shared" si="8"/>
        <v>0</v>
      </c>
      <c r="M36" s="140"/>
      <c r="N36" s="93"/>
    </row>
    <row r="37" spans="1:14" x14ac:dyDescent="0.25">
      <c r="A37" s="69" t="s">
        <v>9</v>
      </c>
      <c r="B37" s="119">
        <f>AP_výpočet!D29</f>
        <v>5.4264682359699616</v>
      </c>
      <c r="C37" s="120">
        <f>AP_výpočet!E29</f>
        <v>0.95761204164175795</v>
      </c>
      <c r="D37" s="119">
        <f>AP_výpočet!D63</f>
        <v>11.628146219935635</v>
      </c>
      <c r="E37" s="120">
        <f>AP_výpočet!E63</f>
        <v>2.052025803518053</v>
      </c>
      <c r="F37" s="119">
        <f>AP_výpočet!D97</f>
        <v>18.088227453233205</v>
      </c>
      <c r="G37" s="120">
        <f>AP_výpočet!E97</f>
        <v>3.1920401388058601</v>
      </c>
      <c r="H37" s="119">
        <f>AP_výpočet!D132</f>
        <v>25.16847648492735</v>
      </c>
      <c r="I37" s="120">
        <f>AP_výpočet!E132</f>
        <v>4.4414958502812967</v>
      </c>
      <c r="J37" s="71">
        <f t="shared" si="7"/>
        <v>70.954492228313114</v>
      </c>
      <c r="K37" s="138">
        <f t="shared" si="9"/>
        <v>4.324156711024001E-3</v>
      </c>
      <c r="L37" s="140">
        <f t="shared" si="8"/>
        <v>0</v>
      </c>
      <c r="M37" s="140"/>
      <c r="N37" s="93"/>
    </row>
    <row r="38" spans="1:14" x14ac:dyDescent="0.25">
      <c r="A38" s="69" t="s">
        <v>10</v>
      </c>
      <c r="B38" s="119">
        <f>AP_výpočet!D30</f>
        <v>382.66441809093874</v>
      </c>
      <c r="C38" s="120">
        <f>AP_výpočet!E30</f>
        <v>67.529014957224462</v>
      </c>
      <c r="D38" s="119">
        <f>AP_výpočet!D64</f>
        <v>819.99518162344032</v>
      </c>
      <c r="E38" s="120">
        <f>AP_výpočet!E64</f>
        <v>144.70503205119533</v>
      </c>
      <c r="F38" s="119">
        <f>AP_výpočet!D98</f>
        <v>1275.548060303129</v>
      </c>
      <c r="G38" s="120">
        <f>AP_výpočet!E98</f>
        <v>225.09671652408156</v>
      </c>
      <c r="H38" s="119">
        <f>AP_výpočet!D133</f>
        <v>1774.8340153360682</v>
      </c>
      <c r="I38" s="120">
        <f>AP_výpočet!E133</f>
        <v>313.20600270636487</v>
      </c>
      <c r="J38" s="71">
        <f t="shared" si="7"/>
        <v>5003.5784415924427</v>
      </c>
      <c r="K38" s="138">
        <f t="shared" si="9"/>
        <v>0.30493146547687383</v>
      </c>
      <c r="L38" s="140">
        <f t="shared" si="8"/>
        <v>0</v>
      </c>
      <c r="M38" s="140"/>
      <c r="N38" s="93"/>
    </row>
    <row r="39" spans="1:14" x14ac:dyDescent="0.25">
      <c r="A39" s="70" t="s">
        <v>90</v>
      </c>
      <c r="B39" s="131">
        <f>AP_výpočet!D31</f>
        <v>1295.3424580191563</v>
      </c>
      <c r="C39" s="132">
        <f>AP_výpočet!E31</f>
        <v>181.03333135409935</v>
      </c>
      <c r="D39" s="129">
        <f t="shared" ref="D39:I39" si="10">SUM(D28:D38)</f>
        <v>2775.7338386124779</v>
      </c>
      <c r="E39" s="121">
        <f t="shared" si="10"/>
        <v>387.9285671873559</v>
      </c>
      <c r="F39" s="129">
        <f t="shared" si="10"/>
        <v>4317.808193397188</v>
      </c>
      <c r="G39" s="121">
        <f t="shared" si="10"/>
        <v>603.44443784699786</v>
      </c>
      <c r="H39" s="129">
        <f t="shared" si="10"/>
        <v>6007.9216862412286</v>
      </c>
      <c r="I39" s="121">
        <f t="shared" si="10"/>
        <v>839.64983208996557</v>
      </c>
      <c r="J39" s="126"/>
      <c r="K39" s="139">
        <f>SUM(K28:K38)</f>
        <v>1.0000000000000002</v>
      </c>
      <c r="L39" s="126"/>
      <c r="M39" s="126"/>
    </row>
    <row r="40" spans="1:14" x14ac:dyDescent="0.25">
      <c r="A40" s="68" t="s">
        <v>167</v>
      </c>
      <c r="B40" s="57">
        <f>SUM(B28:C38)</f>
        <v>1476.3757893732557</v>
      </c>
      <c r="C40" s="41"/>
      <c r="D40" s="57">
        <f>SUM(D28:E38)</f>
        <v>3163.6624057998342</v>
      </c>
      <c r="F40" s="57">
        <f>SUM(F28:G38)</f>
        <v>4921.252631244186</v>
      </c>
      <c r="H40" s="57">
        <f>SUM(H28:I38)</f>
        <v>6847.5715183311931</v>
      </c>
    </row>
    <row r="43" spans="1:14" x14ac:dyDescent="0.25">
      <c r="B43" s="250" t="s">
        <v>128</v>
      </c>
      <c r="C43" s="251"/>
      <c r="D43" s="250" t="s">
        <v>129</v>
      </c>
      <c r="E43" s="251"/>
      <c r="F43" s="252" t="s">
        <v>130</v>
      </c>
      <c r="G43" s="253"/>
      <c r="H43" s="250" t="s">
        <v>131</v>
      </c>
      <c r="I43" s="251"/>
    </row>
    <row r="44" spans="1:14" ht="18.75" x14ac:dyDescent="0.3">
      <c r="A44" s="159" t="s">
        <v>165</v>
      </c>
      <c r="B44" s="124" t="s">
        <v>98</v>
      </c>
      <c r="C44" s="117" t="s">
        <v>98</v>
      </c>
      <c r="D44" s="124" t="s">
        <v>98</v>
      </c>
      <c r="E44" s="117" t="s">
        <v>98</v>
      </c>
      <c r="F44" s="124" t="s">
        <v>98</v>
      </c>
      <c r="G44" s="117" t="s">
        <v>98</v>
      </c>
      <c r="H44" s="124" t="s">
        <v>98</v>
      </c>
      <c r="I44" s="117" t="s">
        <v>98</v>
      </c>
    </row>
    <row r="45" spans="1:14" x14ac:dyDescent="0.25">
      <c r="B45" s="128" t="s">
        <v>14</v>
      </c>
      <c r="C45" s="118" t="s">
        <v>15</v>
      </c>
      <c r="D45" s="128" t="s">
        <v>14</v>
      </c>
      <c r="E45" s="118" t="s">
        <v>15</v>
      </c>
      <c r="F45" s="128" t="s">
        <v>14</v>
      </c>
      <c r="G45" s="118" t="s">
        <v>15</v>
      </c>
      <c r="H45" s="128" t="s">
        <v>14</v>
      </c>
      <c r="I45" s="118" t="s">
        <v>15</v>
      </c>
    </row>
    <row r="46" spans="1:14" x14ac:dyDescent="0.25">
      <c r="A46" s="69" t="s">
        <v>0</v>
      </c>
      <c r="B46" s="148">
        <f>B28/$J$8</f>
        <v>7.1665797302496404E-3</v>
      </c>
      <c r="C46" s="148">
        <f t="shared" ref="C46:I46" si="11">C28/$J$8</f>
        <v>0</v>
      </c>
      <c r="D46" s="148">
        <f t="shared" si="11"/>
        <v>1.535695656482066E-2</v>
      </c>
      <c r="E46" s="148">
        <f t="shared" si="11"/>
        <v>0</v>
      </c>
      <c r="F46" s="148">
        <f t="shared" si="11"/>
        <v>2.3888599100832138E-2</v>
      </c>
      <c r="G46" s="148">
        <f t="shared" si="11"/>
        <v>0</v>
      </c>
      <c r="H46" s="148">
        <f t="shared" si="11"/>
        <v>3.3239279320300713E-2</v>
      </c>
      <c r="I46" s="148">
        <f t="shared" si="11"/>
        <v>0</v>
      </c>
    </row>
    <row r="47" spans="1:14" x14ac:dyDescent="0.25">
      <c r="A47" s="69" t="s">
        <v>1</v>
      </c>
      <c r="B47" s="148">
        <f t="shared" ref="B47:I47" si="12">B29/$J$8</f>
        <v>7.246347712946505E-3</v>
      </c>
      <c r="C47" s="148">
        <f t="shared" si="12"/>
        <v>1.2787672434611483E-3</v>
      </c>
      <c r="D47" s="148">
        <f t="shared" si="12"/>
        <v>1.5527887956313944E-2</v>
      </c>
      <c r="E47" s="148">
        <f t="shared" si="12"/>
        <v>2.7402155217024615E-3</v>
      </c>
      <c r="F47" s="148">
        <f t="shared" si="12"/>
        <v>2.4154492376488354E-2</v>
      </c>
      <c r="G47" s="148">
        <f t="shared" si="12"/>
        <v>4.2625574782038274E-3</v>
      </c>
      <c r="H47" s="148">
        <f t="shared" si="12"/>
        <v>3.3609250820999512E-2</v>
      </c>
      <c r="I47" s="148">
        <f t="shared" si="12"/>
        <v>5.9310442625293263E-3</v>
      </c>
    </row>
    <row r="48" spans="1:14" x14ac:dyDescent="0.25">
      <c r="A48" s="69" t="s">
        <v>2</v>
      </c>
      <c r="B48" s="148">
        <f t="shared" ref="B48:I48" si="13">B30/$J$8</f>
        <v>1.4024912752534207E-2</v>
      </c>
      <c r="C48" s="148">
        <f t="shared" si="13"/>
        <v>2.47498460338839E-3</v>
      </c>
      <c r="D48" s="148">
        <f t="shared" si="13"/>
        <v>3.0053384469716171E-2</v>
      </c>
      <c r="E48" s="148">
        <f t="shared" si="13"/>
        <v>5.3035384358322652E-3</v>
      </c>
      <c r="F48" s="148">
        <f t="shared" si="13"/>
        <v>4.6749709175114035E-2</v>
      </c>
      <c r="G48" s="148">
        <f t="shared" si="13"/>
        <v>8.2499486779613E-3</v>
      </c>
      <c r="H48" s="148">
        <f t="shared" si="13"/>
        <v>6.5048881052230084E-2</v>
      </c>
      <c r="I48" s="148">
        <f t="shared" si="13"/>
        <v>1.1479214303334722E-2</v>
      </c>
    </row>
    <row r="49" spans="1:10" x14ac:dyDescent="0.25">
      <c r="A49" s="69" t="s">
        <v>3</v>
      </c>
      <c r="B49" s="148">
        <f t="shared" ref="B49:I49" si="14">B31/$J$8</f>
        <v>6.6170535214256313E-3</v>
      </c>
      <c r="C49" s="148">
        <f>C31/$J$8</f>
        <v>0</v>
      </c>
      <c r="D49" s="148">
        <f t="shared" si="14"/>
        <v>1.4179400403054926E-2</v>
      </c>
      <c r="E49" s="148">
        <f t="shared" si="14"/>
        <v>0</v>
      </c>
      <c r="F49" s="148">
        <f t="shared" si="14"/>
        <v>2.2056845071418772E-2</v>
      </c>
      <c r="G49" s="148">
        <f t="shared" si="14"/>
        <v>0</v>
      </c>
      <c r="H49" s="148">
        <f t="shared" si="14"/>
        <v>3.0690524427945547E-2</v>
      </c>
      <c r="I49" s="148">
        <f t="shared" si="14"/>
        <v>0</v>
      </c>
    </row>
    <row r="50" spans="1:10" x14ac:dyDescent="0.25">
      <c r="A50" s="69" t="s">
        <v>4</v>
      </c>
      <c r="B50" s="148">
        <f t="shared" ref="B50:I50" si="15">B32/$J$8</f>
        <v>1.7595825174804368E-2</v>
      </c>
      <c r="C50" s="148">
        <f t="shared" si="15"/>
        <v>3.105145619083123E-3</v>
      </c>
      <c r="D50" s="148">
        <f t="shared" si="15"/>
        <v>3.770533966029508E-2</v>
      </c>
      <c r="E50" s="148">
        <f t="shared" si="15"/>
        <v>6.6538834694638378E-3</v>
      </c>
      <c r="F50" s="148">
        <f t="shared" si="15"/>
        <v>5.8652750582681233E-2</v>
      </c>
      <c r="G50" s="148">
        <f t="shared" si="15"/>
        <v>1.0350485396943747E-2</v>
      </c>
      <c r="H50" s="148">
        <f t="shared" si="15"/>
        <v>8.1611112953616463E-2</v>
      </c>
      <c r="I50" s="148">
        <f t="shared" si="15"/>
        <v>1.4401961109461724E-2</v>
      </c>
    </row>
    <row r="51" spans="1:10" x14ac:dyDescent="0.25">
      <c r="A51" s="69" t="s">
        <v>5</v>
      </c>
      <c r="B51" s="148">
        <f t="shared" ref="B51:I51" si="16">B33/$J$8</f>
        <v>6.7269587631904322E-4</v>
      </c>
      <c r="C51" s="148">
        <f t="shared" si="16"/>
        <v>0</v>
      </c>
      <c r="D51" s="148">
        <f t="shared" si="16"/>
        <v>1.4414911635408077E-3</v>
      </c>
      <c r="E51" s="148">
        <f t="shared" si="16"/>
        <v>0</v>
      </c>
      <c r="F51" s="148">
        <f t="shared" si="16"/>
        <v>2.2423195877301445E-3</v>
      </c>
      <c r="G51" s="148">
        <f t="shared" si="16"/>
        <v>0</v>
      </c>
      <c r="H51" s="148">
        <f t="shared" si="16"/>
        <v>3.1200275406416582E-3</v>
      </c>
      <c r="I51" s="148">
        <f t="shared" si="16"/>
        <v>0</v>
      </c>
    </row>
    <row r="52" spans="1:10" x14ac:dyDescent="0.25">
      <c r="A52" s="69" t="s">
        <v>6</v>
      </c>
      <c r="B52" s="148">
        <f t="shared" ref="B52:I52" si="17">B34/$J$8</f>
        <v>7.5607226662337539E-4</v>
      </c>
      <c r="C52" s="148">
        <f t="shared" si="17"/>
        <v>0</v>
      </c>
      <c r="D52" s="148">
        <f t="shared" si="17"/>
        <v>1.6201548570500908E-3</v>
      </c>
      <c r="E52" s="148">
        <f t="shared" si="17"/>
        <v>0</v>
      </c>
      <c r="F52" s="148">
        <f t="shared" si="17"/>
        <v>2.5202408887445853E-3</v>
      </c>
      <c r="G52" s="148">
        <f t="shared" si="17"/>
        <v>0</v>
      </c>
      <c r="H52" s="148">
        <f t="shared" si="17"/>
        <v>3.5067351794817506E-3</v>
      </c>
      <c r="I52" s="148">
        <f t="shared" si="17"/>
        <v>0</v>
      </c>
    </row>
    <row r="53" spans="1:10" x14ac:dyDescent="0.25">
      <c r="A53" s="69" t="s">
        <v>7</v>
      </c>
      <c r="B53" s="148">
        <f t="shared" ref="B53:I53" si="18">B35/$J$8</f>
        <v>1.8570196022328516E-4</v>
      </c>
      <c r="C53" s="148">
        <f t="shared" si="18"/>
        <v>0</v>
      </c>
      <c r="D53" s="148">
        <f t="shared" si="18"/>
        <v>3.9793277190703974E-4</v>
      </c>
      <c r="E53" s="148">
        <f t="shared" si="18"/>
        <v>0</v>
      </c>
      <c r="F53" s="148">
        <f t="shared" si="18"/>
        <v>6.1900653407761738E-4</v>
      </c>
      <c r="G53" s="148">
        <f t="shared" si="18"/>
        <v>0</v>
      </c>
      <c r="H53" s="148">
        <f t="shared" si="18"/>
        <v>8.6130337741657022E-4</v>
      </c>
      <c r="I53" s="148">
        <f t="shared" si="18"/>
        <v>0</v>
      </c>
    </row>
    <row r="54" spans="1:10" x14ac:dyDescent="0.25">
      <c r="A54" s="69" t="s">
        <v>8</v>
      </c>
      <c r="B54" s="148">
        <f t="shared" ref="B54:I54" si="19">B36/$J$8</f>
        <v>1.0251506171509929E-3</v>
      </c>
      <c r="C54" s="148">
        <f t="shared" si="19"/>
        <v>0</v>
      </c>
      <c r="D54" s="148">
        <f t="shared" si="19"/>
        <v>2.1967513224664141E-3</v>
      </c>
      <c r="E54" s="148">
        <f t="shared" si="19"/>
        <v>0</v>
      </c>
      <c r="F54" s="148">
        <f t="shared" si="19"/>
        <v>3.4171687238366433E-3</v>
      </c>
      <c r="G54" s="148">
        <f t="shared" si="19"/>
        <v>0</v>
      </c>
      <c r="H54" s="148">
        <f t="shared" si="19"/>
        <v>4.7547461957384149E-3</v>
      </c>
      <c r="I54" s="148">
        <f t="shared" si="19"/>
        <v>0</v>
      </c>
    </row>
    <row r="55" spans="1:10" x14ac:dyDescent="0.25">
      <c r="A55" s="69" t="s">
        <v>9</v>
      </c>
      <c r="B55" s="148">
        <f t="shared" ref="B55:I55" si="20">B37/$J$8</f>
        <v>3.3070350167857076E-4</v>
      </c>
      <c r="C55" s="148">
        <f t="shared" si="20"/>
        <v>5.835944147268896E-5</v>
      </c>
      <c r="D55" s="148">
        <f t="shared" si="20"/>
        <v>7.0865036073979471E-4</v>
      </c>
      <c r="E55" s="148">
        <f t="shared" si="20"/>
        <v>1.2505594601290492E-4</v>
      </c>
      <c r="F55" s="148">
        <f t="shared" si="20"/>
        <v>1.1023450055952359E-3</v>
      </c>
      <c r="G55" s="148">
        <f t="shared" si="20"/>
        <v>1.9453147157562988E-4</v>
      </c>
      <c r="H55" s="148">
        <f t="shared" si="20"/>
        <v>1.5338343363567998E-3</v>
      </c>
      <c r="I55" s="148">
        <f t="shared" si="20"/>
        <v>2.7067664759237645E-4</v>
      </c>
    </row>
    <row r="56" spans="1:10" x14ac:dyDescent="0.25">
      <c r="A56" s="69" t="s">
        <v>10</v>
      </c>
      <c r="B56" s="148">
        <f t="shared" ref="B56:I56" si="21">B38/$J$8</f>
        <v>2.332059408210025E-2</v>
      </c>
      <c r="C56" s="148">
        <f t="shared" si="21"/>
        <v>4.1153989556647489E-3</v>
      </c>
      <c r="D56" s="148">
        <f t="shared" si="21"/>
        <v>4.9972701604500541E-2</v>
      </c>
      <c r="E56" s="148">
        <f t="shared" si="21"/>
        <v>8.8187120478530369E-3</v>
      </c>
      <c r="F56" s="148">
        <f t="shared" si="21"/>
        <v>7.7735313607000825E-2</v>
      </c>
      <c r="G56" s="148">
        <f t="shared" si="21"/>
        <v>1.3717996518882496E-2</v>
      </c>
      <c r="H56" s="148">
        <f t="shared" si="21"/>
        <v>0.10816313636174116</v>
      </c>
      <c r="I56" s="148">
        <f t="shared" si="21"/>
        <v>1.9087612299130786E-2</v>
      </c>
    </row>
    <row r="57" spans="1:10" x14ac:dyDescent="0.25">
      <c r="A57" s="70" t="s">
        <v>132</v>
      </c>
      <c r="B57" s="149">
        <f>SUM(B46:B56)</f>
        <v>7.8941637196055875E-2</v>
      </c>
      <c r="C57" s="149">
        <f t="shared" ref="C57:I57" si="22">SUM(C46:C56)</f>
        <v>1.10326558630701E-2</v>
      </c>
      <c r="D57" s="149">
        <f t="shared" si="22"/>
        <v>0.16916065113440548</v>
      </c>
      <c r="E57" s="149">
        <f t="shared" si="22"/>
        <v>2.3641405420864507E-2</v>
      </c>
      <c r="F57" s="149">
        <f t="shared" si="22"/>
        <v>0.26313879065351958</v>
      </c>
      <c r="G57" s="149">
        <f t="shared" si="22"/>
        <v>3.6775519543567003E-2</v>
      </c>
      <c r="H57" s="149">
        <f t="shared" si="22"/>
        <v>0.36613883156646865</v>
      </c>
      <c r="I57" s="149">
        <f t="shared" si="22"/>
        <v>5.117050862204893E-2</v>
      </c>
      <c r="J57" s="41">
        <f>SUM(B57:I57)</f>
        <v>1</v>
      </c>
    </row>
    <row r="58" spans="1:10" x14ac:dyDescent="0.25">
      <c r="A58" s="68"/>
      <c r="B58" s="57"/>
      <c r="C58" s="41"/>
      <c r="D58" s="57"/>
      <c r="F58" s="57"/>
      <c r="H58" s="57"/>
    </row>
    <row r="59" spans="1:10" x14ac:dyDescent="0.25">
      <c r="A59" s="169" t="s">
        <v>168</v>
      </c>
    </row>
    <row r="60" spans="1:10" x14ac:dyDescent="0.25">
      <c r="A60" s="168">
        <f>'Prepočet ČD a sadzieb'!B1</f>
        <v>1</v>
      </c>
    </row>
    <row r="61" spans="1:10" ht="18.75" x14ac:dyDescent="0.3">
      <c r="A61" s="153">
        <f>A60*J8</f>
        <v>16408.862344748468</v>
      </c>
      <c r="B61" s="122" t="s">
        <v>128</v>
      </c>
      <c r="C61" s="123"/>
      <c r="D61" s="122" t="s">
        <v>129</v>
      </c>
      <c r="E61" s="130"/>
      <c r="F61" s="133" t="s">
        <v>130</v>
      </c>
      <c r="G61" s="134"/>
      <c r="H61" s="122" t="s">
        <v>131</v>
      </c>
      <c r="I61" s="123"/>
    </row>
    <row r="62" spans="1:10" ht="30" x14ac:dyDescent="0.3">
      <c r="A62" s="159" t="s">
        <v>158</v>
      </c>
      <c r="B62" s="124" t="s">
        <v>121</v>
      </c>
      <c r="C62" s="117" t="s">
        <v>121</v>
      </c>
      <c r="D62" s="124" t="s">
        <v>121</v>
      </c>
      <c r="E62" s="117" t="s">
        <v>121</v>
      </c>
      <c r="F62" s="124" t="s">
        <v>121</v>
      </c>
      <c r="G62" s="117" t="s">
        <v>121</v>
      </c>
      <c r="H62" s="124" t="s">
        <v>121</v>
      </c>
      <c r="I62" s="117" t="s">
        <v>121</v>
      </c>
    </row>
    <row r="63" spans="1:10" x14ac:dyDescent="0.25">
      <c r="B63" s="128" t="s">
        <v>14</v>
      </c>
      <c r="C63" s="118" t="s">
        <v>15</v>
      </c>
      <c r="D63" s="128" t="s">
        <v>14</v>
      </c>
      <c r="E63" s="118" t="s">
        <v>15</v>
      </c>
      <c r="F63" s="128" t="s">
        <v>14</v>
      </c>
      <c r="G63" s="118" t="s">
        <v>15</v>
      </c>
      <c r="H63" s="128" t="s">
        <v>14</v>
      </c>
      <c r="I63" s="118" t="s">
        <v>15</v>
      </c>
    </row>
    <row r="64" spans="1:10" x14ac:dyDescent="0.25">
      <c r="A64" s="69" t="s">
        <v>0</v>
      </c>
      <c r="B64" s="151">
        <f>B46*$A$61</f>
        <v>117.59542027633096</v>
      </c>
      <c r="C64" s="151">
        <f t="shared" ref="C64:I64" si="23">C46*$A$61</f>
        <v>0</v>
      </c>
      <c r="D64" s="151">
        <f t="shared" si="23"/>
        <v>251.99018630642351</v>
      </c>
      <c r="E64" s="151">
        <f t="shared" si="23"/>
        <v>0</v>
      </c>
      <c r="F64" s="151">
        <f t="shared" si="23"/>
        <v>391.98473425443655</v>
      </c>
      <c r="G64" s="151">
        <f t="shared" si="23"/>
        <v>0</v>
      </c>
      <c r="H64" s="151">
        <f t="shared" si="23"/>
        <v>545.41875880545876</v>
      </c>
      <c r="I64" s="151">
        <f t="shared" si="23"/>
        <v>0</v>
      </c>
    </row>
    <row r="65" spans="1:10" x14ac:dyDescent="0.25">
      <c r="A65" s="69" t="s">
        <v>1</v>
      </c>
      <c r="B65" s="151">
        <f t="shared" ref="B65:I65" si="24">B47*$A$61</f>
        <v>118.90432212392209</v>
      </c>
      <c r="C65" s="151">
        <f t="shared" si="24"/>
        <v>20.983115668927432</v>
      </c>
      <c r="D65" s="151">
        <f t="shared" si="24"/>
        <v>254.79497597983311</v>
      </c>
      <c r="E65" s="151">
        <f t="shared" si="24"/>
        <v>44.963819290558796</v>
      </c>
      <c r="F65" s="151">
        <f t="shared" si="24"/>
        <v>396.34774041307367</v>
      </c>
      <c r="G65" s="151">
        <f t="shared" si="24"/>
        <v>69.94371889642477</v>
      </c>
      <c r="H65" s="151">
        <f t="shared" si="24"/>
        <v>551.48957023190542</v>
      </c>
      <c r="I65" s="151">
        <f t="shared" si="24"/>
        <v>97.321688864453904</v>
      </c>
    </row>
    <row r="66" spans="1:10" x14ac:dyDescent="0.25">
      <c r="A66" s="69" t="s">
        <v>2</v>
      </c>
      <c r="B66" s="151">
        <f>B48*$A$61</f>
        <v>230.13286275344115</v>
      </c>
      <c r="C66" s="151">
        <f t="shared" ref="C66:I66" si="25">C48*$A$61</f>
        <v>40.611681662371971</v>
      </c>
      <c r="D66" s="151">
        <f t="shared" si="25"/>
        <v>493.14184875737408</v>
      </c>
      <c r="E66" s="151">
        <f t="shared" si="25"/>
        <v>87.02503213365425</v>
      </c>
      <c r="F66" s="151">
        <f t="shared" si="25"/>
        <v>767.10954251147064</v>
      </c>
      <c r="G66" s="151">
        <f t="shared" si="25"/>
        <v>135.37227220790658</v>
      </c>
      <c r="H66" s="151">
        <f t="shared" si="25"/>
        <v>1067.3781348659604</v>
      </c>
      <c r="I66" s="151">
        <f t="shared" si="25"/>
        <v>188.36084732928714</v>
      </c>
    </row>
    <row r="67" spans="1:10" x14ac:dyDescent="0.25">
      <c r="A67" s="69" t="s">
        <v>3</v>
      </c>
      <c r="B67" s="151">
        <f t="shared" ref="B67:I67" si="26">B49*$A$61</f>
        <v>108.57832036090629</v>
      </c>
      <c r="C67" s="151">
        <f t="shared" si="26"/>
        <v>0</v>
      </c>
      <c r="D67" s="151">
        <f t="shared" si="26"/>
        <v>232.66782934479923</v>
      </c>
      <c r="E67" s="151">
        <f t="shared" si="26"/>
        <v>0</v>
      </c>
      <c r="F67" s="151">
        <f t="shared" si="26"/>
        <v>361.92773453635431</v>
      </c>
      <c r="G67" s="151">
        <f t="shared" si="26"/>
        <v>0</v>
      </c>
      <c r="H67" s="151">
        <f t="shared" si="26"/>
        <v>503.59659062629868</v>
      </c>
      <c r="I67" s="151">
        <f t="shared" si="26"/>
        <v>0</v>
      </c>
    </row>
    <row r="68" spans="1:10" x14ac:dyDescent="0.25">
      <c r="A68" s="69" t="s">
        <v>4</v>
      </c>
      <c r="B68" s="151">
        <f t="shared" ref="B68:I68" si="27">B50*$A$61</f>
        <v>288.72747313562451</v>
      </c>
      <c r="C68" s="151">
        <f t="shared" si="27"/>
        <v>50.951907023933728</v>
      </c>
      <c r="D68" s="151">
        <f t="shared" si="27"/>
        <v>618.70172814776697</v>
      </c>
      <c r="E68" s="151">
        <f t="shared" si="27"/>
        <v>109.18265790842946</v>
      </c>
      <c r="F68" s="151">
        <f t="shared" si="27"/>
        <v>962.4249104520818</v>
      </c>
      <c r="G68" s="151">
        <f t="shared" si="27"/>
        <v>169.83969007977913</v>
      </c>
      <c r="H68" s="151">
        <f t="shared" si="27"/>
        <v>1339.145518257611</v>
      </c>
      <c r="I68" s="151">
        <f t="shared" si="27"/>
        <v>236.31979733957834</v>
      </c>
    </row>
    <row r="69" spans="1:10" x14ac:dyDescent="0.25">
      <c r="A69" s="69" t="s">
        <v>5</v>
      </c>
      <c r="B69" s="151">
        <f t="shared" ref="B69:I69" si="28">B51*$A$61</f>
        <v>11.038174034399121</v>
      </c>
      <c r="C69" s="151">
        <f t="shared" si="28"/>
        <v>0</v>
      </c>
      <c r="D69" s="151">
        <f t="shared" si="28"/>
        <v>23.653230073712415</v>
      </c>
      <c r="E69" s="151">
        <f t="shared" si="28"/>
        <v>0</v>
      </c>
      <c r="F69" s="151">
        <f t="shared" si="28"/>
        <v>36.793913447997078</v>
      </c>
      <c r="G69" s="151">
        <f t="shared" si="28"/>
        <v>0</v>
      </c>
      <c r="H69" s="151">
        <f t="shared" si="28"/>
        <v>51.196102426213073</v>
      </c>
      <c r="I69" s="151">
        <f t="shared" si="28"/>
        <v>0</v>
      </c>
    </row>
    <row r="70" spans="1:10" x14ac:dyDescent="0.25">
      <c r="A70" s="69" t="s">
        <v>6</v>
      </c>
      <c r="B70" s="151">
        <f t="shared" ref="B70:I70" si="29">B52*$A$61</f>
        <v>12.406285745704928</v>
      </c>
      <c r="C70" s="151">
        <f t="shared" si="29"/>
        <v>0</v>
      </c>
      <c r="D70" s="151">
        <f t="shared" si="29"/>
        <v>26.584898026510572</v>
      </c>
      <c r="E70" s="151">
        <f t="shared" si="29"/>
        <v>0</v>
      </c>
      <c r="F70" s="151">
        <f t="shared" si="29"/>
        <v>41.35428581901644</v>
      </c>
      <c r="G70" s="151">
        <f t="shared" si="29"/>
        <v>0</v>
      </c>
      <c r="H70" s="151">
        <f t="shared" si="29"/>
        <v>57.541534839602861</v>
      </c>
      <c r="I70" s="151">
        <f t="shared" si="29"/>
        <v>0</v>
      </c>
    </row>
    <row r="71" spans="1:10" x14ac:dyDescent="0.25">
      <c r="A71" s="69" t="s">
        <v>7</v>
      </c>
      <c r="B71" s="151">
        <f t="shared" ref="B71:I71" si="30">B53*$A$61</f>
        <v>3.0471579024538418</v>
      </c>
      <c r="C71" s="151">
        <f t="shared" si="30"/>
        <v>0</v>
      </c>
      <c r="D71" s="151">
        <f t="shared" si="30"/>
        <v>6.5296240766868054</v>
      </c>
      <c r="E71" s="151">
        <f t="shared" si="30"/>
        <v>0</v>
      </c>
      <c r="F71" s="151">
        <f t="shared" si="30"/>
        <v>10.157193008179474</v>
      </c>
      <c r="G71" s="151">
        <f t="shared" si="30"/>
        <v>0</v>
      </c>
      <c r="H71" s="151">
        <f t="shared" si="30"/>
        <v>14.133008557095437</v>
      </c>
      <c r="I71" s="151">
        <f t="shared" si="30"/>
        <v>0</v>
      </c>
    </row>
    <row r="72" spans="1:10" x14ac:dyDescent="0.25">
      <c r="A72" s="69" t="s">
        <v>8</v>
      </c>
      <c r="B72" s="151">
        <f t="shared" ref="B72:I72" si="31">B54*$A$61</f>
        <v>16.821555359464579</v>
      </c>
      <c r="C72" s="151">
        <f t="shared" si="31"/>
        <v>0</v>
      </c>
      <c r="D72" s="151">
        <f t="shared" si="31"/>
        <v>36.046190055995538</v>
      </c>
      <c r="E72" s="151">
        <f t="shared" si="31"/>
        <v>0</v>
      </c>
      <c r="F72" s="151">
        <f t="shared" si="31"/>
        <v>56.071851198215271</v>
      </c>
      <c r="G72" s="151">
        <f t="shared" si="31"/>
        <v>0</v>
      </c>
      <c r="H72" s="151">
        <f t="shared" si="31"/>
        <v>78.019975810088098</v>
      </c>
      <c r="I72" s="151">
        <f t="shared" si="31"/>
        <v>0</v>
      </c>
    </row>
    <row r="73" spans="1:10" x14ac:dyDescent="0.25">
      <c r="A73" s="69" t="s">
        <v>9</v>
      </c>
      <c r="B73" s="151">
        <f t="shared" ref="B73:I73" si="32">B55*$A$61</f>
        <v>5.4264682359699616</v>
      </c>
      <c r="C73" s="151">
        <f t="shared" si="32"/>
        <v>0.95761204164175795</v>
      </c>
      <c r="D73" s="151">
        <f t="shared" si="32"/>
        <v>11.628146219935635</v>
      </c>
      <c r="E73" s="151">
        <f t="shared" si="32"/>
        <v>2.052025803518053</v>
      </c>
      <c r="F73" s="151">
        <f t="shared" si="32"/>
        <v>18.088227453233205</v>
      </c>
      <c r="G73" s="151">
        <f t="shared" si="32"/>
        <v>3.1920401388058601</v>
      </c>
      <c r="H73" s="151">
        <f t="shared" si="32"/>
        <v>25.16847648492735</v>
      </c>
      <c r="I73" s="151">
        <f t="shared" si="32"/>
        <v>4.4414958502812967</v>
      </c>
    </row>
    <row r="74" spans="1:10" x14ac:dyDescent="0.25">
      <c r="A74" s="69" t="s">
        <v>10</v>
      </c>
      <c r="B74" s="151">
        <f t="shared" ref="B74:I74" si="33">B56*$A$61</f>
        <v>382.66441809093874</v>
      </c>
      <c r="C74" s="151">
        <f t="shared" si="33"/>
        <v>67.529014957224462</v>
      </c>
      <c r="D74" s="151">
        <f t="shared" si="33"/>
        <v>819.99518162344032</v>
      </c>
      <c r="E74" s="151">
        <f t="shared" si="33"/>
        <v>144.70503205119533</v>
      </c>
      <c r="F74" s="151">
        <f t="shared" si="33"/>
        <v>1275.548060303129</v>
      </c>
      <c r="G74" s="151">
        <f t="shared" si="33"/>
        <v>225.09671652408156</v>
      </c>
      <c r="H74" s="151">
        <f t="shared" si="33"/>
        <v>1774.8340153360682</v>
      </c>
      <c r="I74" s="151">
        <f t="shared" si="33"/>
        <v>313.20600270636487</v>
      </c>
    </row>
    <row r="75" spans="1:10" x14ac:dyDescent="0.25">
      <c r="A75" s="70" t="s">
        <v>132</v>
      </c>
      <c r="B75" s="152">
        <f>SUM(B64:B74)</f>
        <v>1295.3424580191563</v>
      </c>
      <c r="C75" s="152">
        <f t="shared" ref="C75" si="34">SUM(C64:C74)</f>
        <v>181.03333135409935</v>
      </c>
      <c r="D75" s="152">
        <f t="shared" ref="D75" si="35">SUM(D64:D74)</f>
        <v>2775.7338386124779</v>
      </c>
      <c r="E75" s="152">
        <f t="shared" ref="E75" si="36">SUM(E64:E74)</f>
        <v>387.9285671873559</v>
      </c>
      <c r="F75" s="152">
        <f t="shared" ref="F75" si="37">SUM(F64:F74)</f>
        <v>4317.808193397188</v>
      </c>
      <c r="G75" s="152">
        <f t="shared" ref="G75" si="38">SUM(G64:G74)</f>
        <v>603.44443784699786</v>
      </c>
      <c r="H75" s="152">
        <f t="shared" ref="H75" si="39">SUM(H64:H74)</f>
        <v>6007.9216862412286</v>
      </c>
      <c r="I75" s="152">
        <f t="shared" ref="I75" si="40">SUM(I64:I74)</f>
        <v>839.64983208996557</v>
      </c>
      <c r="J75" s="93">
        <f>SUM(B75:I75)</f>
        <v>16408.862344748468</v>
      </c>
    </row>
    <row r="76" spans="1:10" x14ac:dyDescent="0.25">
      <c r="A76" s="68"/>
      <c r="B76" s="57">
        <f>B75+C75</f>
        <v>1476.3757893732557</v>
      </c>
      <c r="C76" s="41"/>
      <c r="D76" s="57">
        <f>D75+E75</f>
        <v>3163.6624057998338</v>
      </c>
      <c r="F76" s="57">
        <f>F75+G75</f>
        <v>4921.252631244186</v>
      </c>
      <c r="H76" s="57">
        <f>H75+I75</f>
        <v>6847.5715183311941</v>
      </c>
    </row>
    <row r="77" spans="1:10" x14ac:dyDescent="0.25">
      <c r="B77" s="143">
        <f>100/$J$75*B76</f>
        <v>8.9974293059125969</v>
      </c>
      <c r="C77" s="143"/>
      <c r="D77" s="143">
        <f t="shared" ref="D77:H77" si="41">100/$J$75*D76</f>
        <v>19.280205655526995</v>
      </c>
      <c r="E77" s="143"/>
      <c r="F77" s="143">
        <f t="shared" si="41"/>
        <v>29.99143101970866</v>
      </c>
      <c r="G77" s="143"/>
      <c r="H77" s="143">
        <f t="shared" si="41"/>
        <v>41.730934018851755</v>
      </c>
    </row>
    <row r="78" spans="1:10" ht="15.75" thickBot="1" x14ac:dyDescent="0.3"/>
    <row r="79" spans="1:10" ht="18.75" x14ac:dyDescent="0.3">
      <c r="A79" s="150"/>
      <c r="B79" s="157" t="s">
        <v>161</v>
      </c>
      <c r="C79" s="158"/>
      <c r="D79" s="125"/>
      <c r="E79" s="126"/>
      <c r="F79" s="155"/>
      <c r="G79" s="155"/>
      <c r="H79" s="125"/>
      <c r="I79" s="125"/>
    </row>
    <row r="80" spans="1:10" ht="18.75" x14ac:dyDescent="0.3">
      <c r="A80" s="159" t="s">
        <v>159</v>
      </c>
      <c r="B80" s="162" t="s">
        <v>160</v>
      </c>
      <c r="C80" s="160" t="s">
        <v>160</v>
      </c>
      <c r="D80" s="127"/>
      <c r="E80" s="127"/>
      <c r="F80" s="127"/>
      <c r="G80" s="127"/>
      <c r="H80" s="127"/>
      <c r="I80" s="127"/>
    </row>
    <row r="81" spans="1:9" x14ac:dyDescent="0.25">
      <c r="B81" s="163" t="s">
        <v>14</v>
      </c>
      <c r="C81" s="161" t="s">
        <v>15</v>
      </c>
      <c r="D81" s="154" t="s">
        <v>162</v>
      </c>
      <c r="E81" s="154" t="s">
        <v>163</v>
      </c>
      <c r="F81" s="154"/>
      <c r="G81" s="154"/>
      <c r="H81" s="154"/>
      <c r="I81" s="154"/>
    </row>
    <row r="82" spans="1:9" x14ac:dyDescent="0.25">
      <c r="A82" s="69" t="s">
        <v>0</v>
      </c>
      <c r="B82" s="170">
        <f>AP_výpočet!F3/Prehľad!B64</f>
        <v>873.6</v>
      </c>
      <c r="C82" s="171"/>
      <c r="D82" s="138">
        <f>B82/C13</f>
        <v>1</v>
      </c>
      <c r="E82" s="156"/>
      <c r="F82" s="156"/>
      <c r="G82" s="156"/>
      <c r="H82" s="156"/>
      <c r="I82" s="156"/>
    </row>
    <row r="83" spans="1:9" x14ac:dyDescent="0.25">
      <c r="A83" s="69" t="s">
        <v>1</v>
      </c>
      <c r="B83" s="170">
        <f>AP_výpočet!F4/Prehľad!B65</f>
        <v>547.20000000000005</v>
      </c>
      <c r="C83" s="171">
        <f>AP_výpočet!G4/Prehľad!C65</f>
        <v>328.32</v>
      </c>
      <c r="D83" s="138">
        <f t="shared" ref="D83:D92" si="42">B83/C14</f>
        <v>1</v>
      </c>
      <c r="E83" s="138">
        <f>C83/E14</f>
        <v>1</v>
      </c>
      <c r="F83" s="156"/>
      <c r="G83" s="156"/>
      <c r="H83" s="156"/>
      <c r="I83" s="156"/>
    </row>
    <row r="84" spans="1:9" x14ac:dyDescent="0.25">
      <c r="A84" s="69" t="s">
        <v>2</v>
      </c>
      <c r="B84" s="170">
        <f>AP_výpočet!F5/Prehľad!B66</f>
        <v>623.99999999999989</v>
      </c>
      <c r="C84" s="171">
        <f>AP_výpočet!G5/Prehľad!C66</f>
        <v>374.39999999999992</v>
      </c>
      <c r="D84" s="138">
        <f t="shared" si="42"/>
        <v>1</v>
      </c>
      <c r="E84" s="138">
        <f t="shared" ref="E84:E92" si="43">C84/E15</f>
        <v>1</v>
      </c>
      <c r="F84" s="156"/>
      <c r="G84" s="156"/>
      <c r="H84" s="156"/>
      <c r="I84" s="156"/>
    </row>
    <row r="85" spans="1:9" x14ac:dyDescent="0.25">
      <c r="A85" s="69" t="s">
        <v>3</v>
      </c>
      <c r="B85" s="170">
        <f>AP_výpočet!F6/Prehľad!B67</f>
        <v>854.4000000000002</v>
      </c>
      <c r="C85" s="171"/>
      <c r="D85" s="138">
        <f t="shared" si="42"/>
        <v>1</v>
      </c>
      <c r="E85" s="138"/>
      <c r="F85" s="156"/>
      <c r="G85" s="156"/>
      <c r="H85" s="156"/>
      <c r="I85" s="156"/>
    </row>
    <row r="86" spans="1:9" x14ac:dyDescent="0.25">
      <c r="A86" s="69" t="s">
        <v>4</v>
      </c>
      <c r="B86" s="170">
        <f>AP_výpočet!F7/Prehľad!B68</f>
        <v>710.40000000000009</v>
      </c>
      <c r="C86" s="171">
        <f>AP_výpočet!G7/Prehľad!C68</f>
        <v>426.24000000000007</v>
      </c>
      <c r="D86" s="138">
        <f t="shared" si="42"/>
        <v>1</v>
      </c>
      <c r="E86" s="138">
        <f t="shared" si="43"/>
        <v>1</v>
      </c>
      <c r="F86" s="156"/>
      <c r="G86" s="156"/>
      <c r="H86" s="156"/>
      <c r="I86" s="156"/>
    </row>
    <row r="87" spans="1:9" x14ac:dyDescent="0.25">
      <c r="A87" s="69" t="s">
        <v>5</v>
      </c>
      <c r="B87" s="170">
        <f>AP_výpočet!F8/Prehľad!B69</f>
        <v>854.40000000000009</v>
      </c>
      <c r="C87" s="171"/>
      <c r="D87" s="138">
        <f t="shared" si="42"/>
        <v>1</v>
      </c>
      <c r="E87" s="138"/>
      <c r="F87" s="156"/>
      <c r="G87" s="156"/>
      <c r="H87" s="156"/>
      <c r="I87" s="156"/>
    </row>
    <row r="88" spans="1:9" x14ac:dyDescent="0.25">
      <c r="A88" s="69" t="s">
        <v>6</v>
      </c>
      <c r="B88" s="170">
        <f>AP_výpočet!F9/Prehľad!B70</f>
        <v>1152</v>
      </c>
      <c r="C88" s="171"/>
      <c r="D88" s="138">
        <f t="shared" si="42"/>
        <v>1</v>
      </c>
      <c r="E88" s="138"/>
      <c r="F88" s="156"/>
      <c r="G88" s="156"/>
      <c r="H88" s="156"/>
      <c r="I88" s="156"/>
    </row>
    <row r="89" spans="1:9" x14ac:dyDescent="0.25">
      <c r="A89" s="69" t="s">
        <v>7</v>
      </c>
      <c r="B89" s="170">
        <f>AP_výpočet!F10/Prehľad!B71</f>
        <v>758.40000000000009</v>
      </c>
      <c r="C89" s="171"/>
      <c r="D89" s="138">
        <f t="shared" si="42"/>
        <v>1</v>
      </c>
      <c r="E89" s="138"/>
      <c r="F89" s="156"/>
      <c r="G89" s="156"/>
      <c r="H89" s="156"/>
      <c r="I89" s="156"/>
    </row>
    <row r="90" spans="1:9" x14ac:dyDescent="0.25">
      <c r="A90" s="69" t="s">
        <v>8</v>
      </c>
      <c r="B90" s="170">
        <f>AP_výpočet!F11/Prehľad!B72</f>
        <v>576</v>
      </c>
      <c r="C90" s="171"/>
      <c r="D90" s="138">
        <f t="shared" si="42"/>
        <v>1</v>
      </c>
      <c r="E90" s="138"/>
      <c r="F90" s="156"/>
      <c r="G90" s="156"/>
      <c r="H90" s="156"/>
      <c r="I90" s="156"/>
    </row>
    <row r="91" spans="1:9" x14ac:dyDescent="0.25">
      <c r="A91" s="69" t="s">
        <v>9</v>
      </c>
      <c r="B91" s="170">
        <f>AP_výpočet!F12/Prehľad!B73</f>
        <v>681.6</v>
      </c>
      <c r="C91" s="171">
        <f>AP_výpočet!G12/Prehľad!C73</f>
        <v>408.96</v>
      </c>
      <c r="D91" s="138">
        <f t="shared" si="42"/>
        <v>1</v>
      </c>
      <c r="E91" s="138">
        <f t="shared" si="43"/>
        <v>1</v>
      </c>
      <c r="F91" s="156"/>
      <c r="G91" s="156"/>
      <c r="H91" s="156"/>
      <c r="I91" s="156"/>
    </row>
    <row r="92" spans="1:9" ht="15.75" thickBot="1" x14ac:dyDescent="0.3">
      <c r="A92" s="69" t="s">
        <v>10</v>
      </c>
      <c r="B92" s="172">
        <f>AP_výpočet!F13/Prehľad!B74</f>
        <v>864.00000000000011</v>
      </c>
      <c r="C92" s="173">
        <f>AP_výpočet!G13/Prehľad!C74</f>
        <v>518.40000000000009</v>
      </c>
      <c r="D92" s="138">
        <f t="shared" si="42"/>
        <v>1</v>
      </c>
      <c r="E92" s="138">
        <f t="shared" si="43"/>
        <v>1</v>
      </c>
      <c r="F92" s="156"/>
      <c r="G92" s="156"/>
      <c r="H92" s="156"/>
      <c r="I92" s="156"/>
    </row>
  </sheetData>
  <mergeCells count="10">
    <mergeCell ref="B43:C43"/>
    <mergeCell ref="D43:E43"/>
    <mergeCell ref="F43:G43"/>
    <mergeCell ref="H43:I43"/>
    <mergeCell ref="B10:F10"/>
    <mergeCell ref="K26:K27"/>
    <mergeCell ref="B25:C25"/>
    <mergeCell ref="D25:E25"/>
    <mergeCell ref="F25:G25"/>
    <mergeCell ref="H25:I25"/>
  </mergeCells>
  <conditionalFormatting sqref="E13:F23">
    <cfRule type="cellIs" dxfId="2" priority="2" operator="equal">
      <formula>0</formula>
    </cfRule>
  </conditionalFormatting>
  <conditionalFormatting sqref="C13:D23">
    <cfRule type="cellIs" dxfId="1" priority="1" operator="equal">
      <formula>0</formula>
    </cfRule>
  </conditionalFormatting>
  <pageMargins left="0.7" right="0.7" top="0.75" bottom="0.75" header="0.3" footer="0.3"/>
  <pageSetup paperSize="9" scale="3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90" zoomScaleNormal="90" workbookViewId="0">
      <selection activeCell="A33" sqref="A33"/>
    </sheetView>
  </sheetViews>
  <sheetFormatPr defaultRowHeight="15" x14ac:dyDescent="0.25"/>
  <cols>
    <col min="1" max="1" width="42.42578125" bestFit="1" customWidth="1"/>
    <col min="2" max="2" width="16.7109375" bestFit="1" customWidth="1"/>
    <col min="3" max="3" width="14" style="3" customWidth="1"/>
    <col min="4" max="4" width="15.42578125" style="4" bestFit="1" customWidth="1"/>
    <col min="5" max="5" width="15.42578125" style="2" bestFit="1" customWidth="1"/>
    <col min="6" max="6" width="14.42578125" style="7" bestFit="1" customWidth="1"/>
    <col min="7" max="7" width="15.42578125" bestFit="1" customWidth="1"/>
    <col min="9" max="10" width="11.28515625" customWidth="1"/>
    <col min="11" max="11" width="6.7109375" bestFit="1" customWidth="1"/>
    <col min="12" max="12" width="11.28515625" customWidth="1"/>
    <col min="13" max="13" width="11.85546875" bestFit="1" customWidth="1"/>
    <col min="14" max="15" width="11.28515625" customWidth="1"/>
  </cols>
  <sheetData>
    <row r="1" spans="1:15" x14ac:dyDescent="0.25">
      <c r="A1" s="10"/>
      <c r="B1" s="10"/>
      <c r="C1" s="29" t="s">
        <v>11</v>
      </c>
      <c r="D1" s="30" t="s">
        <v>12</v>
      </c>
      <c r="E1" s="31" t="s">
        <v>13</v>
      </c>
      <c r="F1" s="32" t="s">
        <v>17</v>
      </c>
      <c r="G1" s="32" t="s">
        <v>18</v>
      </c>
      <c r="I1" s="257" t="s">
        <v>106</v>
      </c>
      <c r="J1" s="257"/>
      <c r="K1" s="50"/>
      <c r="L1" s="257" t="s">
        <v>109</v>
      </c>
      <c r="M1" s="257"/>
      <c r="N1" s="257"/>
      <c r="O1" s="257"/>
    </row>
    <row r="2" spans="1:15" x14ac:dyDescent="0.25">
      <c r="A2" s="10"/>
      <c r="B2" s="10"/>
      <c r="C2" s="29" t="s">
        <v>138</v>
      </c>
      <c r="D2" s="30"/>
      <c r="E2" s="31" t="s">
        <v>123</v>
      </c>
      <c r="F2" s="32"/>
      <c r="G2" s="32"/>
      <c r="I2" s="51" t="s">
        <v>107</v>
      </c>
      <c r="J2" s="51" t="s">
        <v>108</v>
      </c>
      <c r="K2" s="51"/>
      <c r="L2" s="51" t="s">
        <v>110</v>
      </c>
      <c r="M2" s="51" t="s">
        <v>111</v>
      </c>
      <c r="N2" s="51" t="s">
        <v>112</v>
      </c>
      <c r="O2" s="51" t="s">
        <v>113</v>
      </c>
    </row>
    <row r="3" spans="1:15" x14ac:dyDescent="0.25">
      <c r="A3" s="10"/>
      <c r="B3" s="10"/>
      <c r="C3" s="29"/>
      <c r="D3" s="30"/>
      <c r="E3" s="31"/>
      <c r="F3" s="32"/>
      <c r="G3" s="32"/>
      <c r="I3" s="52">
        <f>Prehľad!B3</f>
        <v>0.8</v>
      </c>
      <c r="J3" s="53">
        <f>Prehľad!B4</f>
        <v>0.8</v>
      </c>
      <c r="K3" s="53"/>
      <c r="L3" s="256">
        <f>Prehľad!B5</f>
        <v>0.6</v>
      </c>
      <c r="M3" s="256"/>
      <c r="N3" s="256">
        <f>Prehľad!B6</f>
        <v>0.6</v>
      </c>
      <c r="O3" s="256"/>
    </row>
    <row r="4" spans="1:15" x14ac:dyDescent="0.25">
      <c r="A4" s="11" t="s">
        <v>0</v>
      </c>
      <c r="B4" s="91">
        <v>910</v>
      </c>
      <c r="C4" s="12">
        <f>B4*1.2</f>
        <v>1092</v>
      </c>
      <c r="D4" s="13">
        <v>3782</v>
      </c>
      <c r="E4" s="14">
        <f>D4/$D$15</f>
        <v>8.3759661595021379E-2</v>
      </c>
      <c r="F4" s="15" t="s">
        <v>14</v>
      </c>
      <c r="G4" s="16" t="s">
        <v>19</v>
      </c>
      <c r="I4" s="54">
        <f>C4*$I$3</f>
        <v>873.6</v>
      </c>
      <c r="J4" s="54">
        <f t="shared" ref="J4:J14" si="0">C4*$J$3</f>
        <v>873.6</v>
      </c>
      <c r="K4" s="54"/>
      <c r="L4" s="54"/>
      <c r="M4" s="54"/>
      <c r="N4" s="54"/>
      <c r="O4" s="54"/>
    </row>
    <row r="5" spans="1:15" x14ac:dyDescent="0.25">
      <c r="A5" s="10" t="s">
        <v>1</v>
      </c>
      <c r="B5" s="91">
        <v>570</v>
      </c>
      <c r="C5" s="12">
        <f t="shared" ref="C5:C14" si="1">B5*1.2</f>
        <v>684</v>
      </c>
      <c r="D5" s="13">
        <v>4229</v>
      </c>
      <c r="E5" s="14">
        <f>D5/$D$15</f>
        <v>9.3659336035257904E-2</v>
      </c>
      <c r="F5" s="15" t="s">
        <v>16</v>
      </c>
      <c r="G5" s="17" t="s">
        <v>20</v>
      </c>
      <c r="I5" s="54">
        <f>C5*$I$3</f>
        <v>547.20000000000005</v>
      </c>
      <c r="J5" s="54">
        <f t="shared" si="0"/>
        <v>547.20000000000005</v>
      </c>
      <c r="K5" s="54"/>
      <c r="L5" s="54">
        <f>I5*$L$3</f>
        <v>328.32</v>
      </c>
      <c r="M5" s="54">
        <f t="shared" ref="M5:M14" si="2">J5*$L$3</f>
        <v>328.32</v>
      </c>
      <c r="N5" s="54">
        <f t="shared" ref="N5:N14" si="3">I5*$N$3</f>
        <v>328.32</v>
      </c>
      <c r="O5" s="54">
        <f t="shared" ref="O5:O14" si="4">J5*$N$3</f>
        <v>328.32</v>
      </c>
    </row>
    <row r="6" spans="1:15" x14ac:dyDescent="0.25">
      <c r="A6" s="10" t="s">
        <v>2</v>
      </c>
      <c r="B6" s="91">
        <v>650</v>
      </c>
      <c r="C6" s="12">
        <f t="shared" si="1"/>
        <v>780</v>
      </c>
      <c r="D6" s="13">
        <v>8185</v>
      </c>
      <c r="E6" s="14">
        <f t="shared" ref="E6:E14" si="5">D6/$D$15</f>
        <v>0.18127256217748544</v>
      </c>
      <c r="F6" s="15" t="s">
        <v>16</v>
      </c>
      <c r="G6" s="17" t="s">
        <v>20</v>
      </c>
      <c r="I6" s="54">
        <f t="shared" ref="I6:I14" si="6">C6*$I$3</f>
        <v>624</v>
      </c>
      <c r="J6" s="54">
        <f t="shared" si="0"/>
        <v>624</v>
      </c>
      <c r="K6" s="54"/>
      <c r="L6" s="54">
        <f t="shared" ref="L6:L14" si="7">I6*$L$3</f>
        <v>374.4</v>
      </c>
      <c r="M6" s="54">
        <f t="shared" si="2"/>
        <v>374.4</v>
      </c>
      <c r="N6" s="54">
        <f t="shared" si="3"/>
        <v>374.4</v>
      </c>
      <c r="O6" s="54">
        <f t="shared" si="4"/>
        <v>374.4</v>
      </c>
    </row>
    <row r="7" spans="1:15" x14ac:dyDescent="0.25">
      <c r="A7" s="11" t="s">
        <v>3</v>
      </c>
      <c r="B7" s="91">
        <v>890</v>
      </c>
      <c r="C7" s="12">
        <f t="shared" si="1"/>
        <v>1068</v>
      </c>
      <c r="D7" s="13">
        <v>3492</v>
      </c>
      <c r="E7" s="14">
        <f t="shared" si="5"/>
        <v>7.7337054016344428E-2</v>
      </c>
      <c r="F7" s="15" t="s">
        <v>14</v>
      </c>
      <c r="G7" s="16" t="s">
        <v>19</v>
      </c>
      <c r="I7" s="54">
        <f t="shared" si="6"/>
        <v>854.40000000000009</v>
      </c>
      <c r="J7" s="54">
        <f t="shared" si="0"/>
        <v>854.40000000000009</v>
      </c>
      <c r="K7" s="54"/>
      <c r="L7" s="54"/>
      <c r="M7" s="54"/>
      <c r="N7" s="54"/>
      <c r="O7" s="54"/>
    </row>
    <row r="8" spans="1:15" x14ac:dyDescent="0.25">
      <c r="A8" s="11" t="s">
        <v>4</v>
      </c>
      <c r="B8" s="91">
        <v>740</v>
      </c>
      <c r="C8" s="12">
        <f t="shared" si="1"/>
        <v>888</v>
      </c>
      <c r="D8" s="13">
        <v>10269</v>
      </c>
      <c r="E8" s="14">
        <f t="shared" si="5"/>
        <v>0.22742674905321905</v>
      </c>
      <c r="F8" s="15" t="s">
        <v>16</v>
      </c>
      <c r="G8" s="16" t="s">
        <v>19</v>
      </c>
      <c r="I8" s="54">
        <f t="shared" si="6"/>
        <v>710.40000000000009</v>
      </c>
      <c r="J8" s="54">
        <f t="shared" si="0"/>
        <v>710.40000000000009</v>
      </c>
      <c r="K8" s="54"/>
      <c r="L8" s="54">
        <f>I8*$L$3</f>
        <v>426.24000000000007</v>
      </c>
      <c r="M8" s="54">
        <f t="shared" si="2"/>
        <v>426.24000000000007</v>
      </c>
      <c r="N8" s="54">
        <f t="shared" si="3"/>
        <v>426.24000000000007</v>
      </c>
      <c r="O8" s="54">
        <f t="shared" si="4"/>
        <v>426.24000000000007</v>
      </c>
    </row>
    <row r="9" spans="1:15" x14ac:dyDescent="0.25">
      <c r="A9" s="10" t="s">
        <v>5</v>
      </c>
      <c r="B9" s="91">
        <v>890</v>
      </c>
      <c r="C9" s="12">
        <f t="shared" si="1"/>
        <v>1068</v>
      </c>
      <c r="D9" s="13">
        <v>355</v>
      </c>
      <c r="E9" s="14">
        <f t="shared" si="5"/>
        <v>7.862157553207981E-3</v>
      </c>
      <c r="F9" s="15" t="s">
        <v>14</v>
      </c>
      <c r="G9" s="17" t="s">
        <v>20</v>
      </c>
      <c r="I9" s="54">
        <f t="shared" si="6"/>
        <v>854.40000000000009</v>
      </c>
      <c r="J9" s="54">
        <f t="shared" si="0"/>
        <v>854.40000000000009</v>
      </c>
      <c r="K9" s="54"/>
      <c r="L9" s="54"/>
      <c r="M9" s="54"/>
      <c r="N9" s="54"/>
      <c r="O9" s="54"/>
    </row>
    <row r="10" spans="1:15" x14ac:dyDescent="0.25">
      <c r="A10" s="11" t="s">
        <v>6</v>
      </c>
      <c r="B10" s="91">
        <v>1200</v>
      </c>
      <c r="C10" s="12">
        <f t="shared" si="1"/>
        <v>1440</v>
      </c>
      <c r="D10" s="13">
        <v>399</v>
      </c>
      <c r="E10" s="14">
        <f t="shared" si="5"/>
        <v>8.8366221513520703E-3</v>
      </c>
      <c r="F10" s="15" t="s">
        <v>14</v>
      </c>
      <c r="G10" s="16" t="s">
        <v>19</v>
      </c>
      <c r="I10" s="54">
        <f t="shared" si="6"/>
        <v>1152</v>
      </c>
      <c r="J10" s="54">
        <f t="shared" si="0"/>
        <v>1152</v>
      </c>
      <c r="K10" s="54"/>
      <c r="L10" s="54"/>
      <c r="M10" s="54"/>
      <c r="N10" s="54"/>
      <c r="O10" s="54"/>
    </row>
    <row r="11" spans="1:15" x14ac:dyDescent="0.25">
      <c r="A11" s="11" t="s">
        <v>7</v>
      </c>
      <c r="B11" s="91">
        <v>790</v>
      </c>
      <c r="C11" s="12">
        <f t="shared" si="1"/>
        <v>948</v>
      </c>
      <c r="D11" s="13">
        <v>98</v>
      </c>
      <c r="E11" s="14">
        <f t="shared" si="5"/>
        <v>2.170398423139105E-3</v>
      </c>
      <c r="F11" s="15" t="s">
        <v>14</v>
      </c>
      <c r="G11" s="16" t="s">
        <v>19</v>
      </c>
      <c r="I11" s="54">
        <f t="shared" si="6"/>
        <v>758.40000000000009</v>
      </c>
      <c r="J11" s="54">
        <f t="shared" si="0"/>
        <v>758.40000000000009</v>
      </c>
      <c r="K11" s="54"/>
      <c r="L11" s="54"/>
      <c r="M11" s="54"/>
      <c r="N11" s="54"/>
      <c r="O11" s="54"/>
    </row>
    <row r="12" spans="1:15" x14ac:dyDescent="0.25">
      <c r="A12" s="11" t="s">
        <v>8</v>
      </c>
      <c r="B12" s="91">
        <v>600</v>
      </c>
      <c r="C12" s="12">
        <f t="shared" si="1"/>
        <v>720</v>
      </c>
      <c r="D12" s="13">
        <v>541</v>
      </c>
      <c r="E12" s="14">
        <f t="shared" si="5"/>
        <v>1.1981485172635262E-2</v>
      </c>
      <c r="F12" s="15" t="s">
        <v>14</v>
      </c>
      <c r="G12" s="16" t="s">
        <v>19</v>
      </c>
      <c r="I12" s="54">
        <f t="shared" si="6"/>
        <v>576</v>
      </c>
      <c r="J12" s="54">
        <f t="shared" si="0"/>
        <v>576</v>
      </c>
      <c r="K12" s="54"/>
      <c r="L12" s="54"/>
      <c r="M12" s="54"/>
      <c r="N12" s="54"/>
      <c r="O12" s="54"/>
    </row>
    <row r="13" spans="1:15" x14ac:dyDescent="0.25">
      <c r="A13" s="10" t="s">
        <v>9</v>
      </c>
      <c r="B13" s="91">
        <v>710</v>
      </c>
      <c r="C13" s="12">
        <f t="shared" si="1"/>
        <v>852</v>
      </c>
      <c r="D13" s="13">
        <v>193</v>
      </c>
      <c r="E13" s="14">
        <f t="shared" si="5"/>
        <v>4.2743560782229307E-3</v>
      </c>
      <c r="F13" s="15" t="s">
        <v>16</v>
      </c>
      <c r="G13" s="17" t="s">
        <v>20</v>
      </c>
      <c r="I13" s="54">
        <f t="shared" si="6"/>
        <v>681.6</v>
      </c>
      <c r="J13" s="54">
        <f t="shared" si="0"/>
        <v>681.6</v>
      </c>
      <c r="K13" s="54"/>
      <c r="L13" s="54">
        <f t="shared" si="7"/>
        <v>408.96</v>
      </c>
      <c r="M13" s="54">
        <f t="shared" si="2"/>
        <v>408.96</v>
      </c>
      <c r="N13" s="54">
        <f t="shared" si="3"/>
        <v>408.96</v>
      </c>
      <c r="O13" s="54">
        <f t="shared" si="4"/>
        <v>408.96</v>
      </c>
    </row>
    <row r="14" spans="1:15" x14ac:dyDescent="0.25">
      <c r="A14" s="11" t="s">
        <v>183</v>
      </c>
      <c r="B14" s="91">
        <v>900</v>
      </c>
      <c r="C14" s="12">
        <f t="shared" si="1"/>
        <v>1080</v>
      </c>
      <c r="D14" s="13">
        <v>13610</v>
      </c>
      <c r="E14" s="14">
        <f t="shared" si="5"/>
        <v>0.30141961774411447</v>
      </c>
      <c r="F14" s="15" t="s">
        <v>16</v>
      </c>
      <c r="G14" s="16" t="s">
        <v>19</v>
      </c>
      <c r="I14" s="54">
        <f t="shared" si="6"/>
        <v>864</v>
      </c>
      <c r="J14" s="54">
        <f t="shared" si="0"/>
        <v>864</v>
      </c>
      <c r="K14" s="54"/>
      <c r="L14" s="54">
        <f t="shared" si="7"/>
        <v>518.4</v>
      </c>
      <c r="M14" s="54">
        <f t="shared" si="2"/>
        <v>518.4</v>
      </c>
      <c r="N14" s="54">
        <f t="shared" si="3"/>
        <v>518.4</v>
      </c>
      <c r="O14" s="54">
        <f t="shared" si="4"/>
        <v>518.4</v>
      </c>
    </row>
    <row r="15" spans="1:15" x14ac:dyDescent="0.25">
      <c r="A15" s="10" t="s">
        <v>92</v>
      </c>
      <c r="B15" s="10"/>
      <c r="C15" s="25">
        <f>Sumár!K34</f>
        <v>942.49189896453413</v>
      </c>
      <c r="D15" s="26">
        <f>SUM(D4:D14)</f>
        <v>45153</v>
      </c>
      <c r="E15" s="27"/>
      <c r="F15" s="28"/>
      <c r="G15" s="10"/>
    </row>
    <row r="16" spans="1:15" x14ac:dyDescent="0.25">
      <c r="B16" s="44">
        <f>SUM(B4:B15)</f>
        <v>8850</v>
      </c>
      <c r="C16" s="3">
        <f>SUM(C4:C14)</f>
        <v>10620</v>
      </c>
    </row>
    <row r="17" spans="1:14" x14ac:dyDescent="0.25">
      <c r="E17" s="96"/>
      <c r="F17" s="97"/>
      <c r="G17" s="93"/>
    </row>
    <row r="18" spans="1:14" x14ac:dyDescent="0.25">
      <c r="E18" s="4"/>
      <c r="F18" s="97"/>
      <c r="G18" s="93"/>
    </row>
    <row r="19" spans="1:14" x14ac:dyDescent="0.25">
      <c r="A19" s="94">
        <f>AP_výpočet!L11</f>
        <v>0.9042553191489362</v>
      </c>
      <c r="E19" s="4"/>
      <c r="F19" s="97"/>
      <c r="G19" s="93"/>
      <c r="M19" s="13">
        <v>3782.6864295027517</v>
      </c>
      <c r="N19" s="14">
        <v>8.3775252875650727E-2</v>
      </c>
    </row>
    <row r="20" spans="1:14" x14ac:dyDescent="0.25">
      <c r="A20" s="94">
        <f>AP_výpočet!M11</f>
        <v>9.5744680851063829E-2</v>
      </c>
      <c r="B20" s="259" t="s">
        <v>141</v>
      </c>
      <c r="C20" s="259"/>
      <c r="D20" s="258" t="s">
        <v>140</v>
      </c>
      <c r="E20" s="258"/>
      <c r="F20" s="260" t="s">
        <v>11</v>
      </c>
      <c r="G20" s="260"/>
      <c r="H20" s="261" t="s">
        <v>142</v>
      </c>
      <c r="I20" s="261"/>
      <c r="M20" s="13">
        <v>4228.7992211488872</v>
      </c>
      <c r="N20" s="14">
        <v>9.3655324255537839E-2</v>
      </c>
    </row>
    <row r="21" spans="1:14" x14ac:dyDescent="0.25">
      <c r="B21" s="98" t="s">
        <v>14</v>
      </c>
      <c r="C21" s="99" t="s">
        <v>15</v>
      </c>
      <c r="D21" s="108" t="s">
        <v>14</v>
      </c>
      <c r="E21" s="109" t="s">
        <v>15</v>
      </c>
      <c r="F21" s="104" t="s">
        <v>14</v>
      </c>
      <c r="G21" s="105" t="s">
        <v>15</v>
      </c>
      <c r="H21" s="102" t="s">
        <v>14</v>
      </c>
      <c r="I21" s="102" t="s">
        <v>15</v>
      </c>
      <c r="M21" s="13">
        <v>8187.7229874283375</v>
      </c>
      <c r="N21" s="14">
        <v>0.18133370992576706</v>
      </c>
    </row>
    <row r="22" spans="1:14" x14ac:dyDescent="0.25">
      <c r="A22" s="11" t="s">
        <v>0</v>
      </c>
      <c r="B22" s="4">
        <f>(C4*D4)</f>
        <v>4129944</v>
      </c>
      <c r="D22" s="110">
        <f>B22/(C4*0.8)</f>
        <v>4727.5</v>
      </c>
      <c r="E22" s="110">
        <v>0</v>
      </c>
      <c r="F22" s="106">
        <f t="shared" ref="F22:F32" si="8">B22/D22</f>
        <v>873.6</v>
      </c>
      <c r="G22" s="107"/>
      <c r="H22" s="103">
        <f>D22/$E$33</f>
        <v>7.9651414716203128E-2</v>
      </c>
      <c r="I22" s="103">
        <f>E22/$E$33</f>
        <v>0</v>
      </c>
      <c r="J22" s="41">
        <f t="shared" ref="J22:J32" si="9">F22/C4</f>
        <v>0.8</v>
      </c>
      <c r="K22" s="41">
        <f>H22+I22</f>
        <v>7.9651414716203128E-2</v>
      </c>
      <c r="M22" s="13">
        <v>3488.4537130729782</v>
      </c>
      <c r="N22" s="14">
        <v>7.7258873397049815E-2</v>
      </c>
    </row>
    <row r="23" spans="1:14" x14ac:dyDescent="0.25">
      <c r="A23" s="10" t="s">
        <v>1</v>
      </c>
      <c r="B23" s="4">
        <f>(C5*D5)*$A$19</f>
        <v>2615681.489361702</v>
      </c>
      <c r="C23" s="3">
        <f>(C5*D5)*$A$20</f>
        <v>276954.51063829788</v>
      </c>
      <c r="D23" s="110">
        <f>Hárok2!C62</f>
        <v>4780.1196808510631</v>
      </c>
      <c r="E23" s="110">
        <f>Hárok2!D62</f>
        <v>843.55053191489401</v>
      </c>
      <c r="F23" s="106">
        <f t="shared" si="8"/>
        <v>547.20000000000005</v>
      </c>
      <c r="G23" s="107">
        <f>F23*0.6</f>
        <v>328.32</v>
      </c>
      <c r="H23" s="103">
        <f>D23/$E$33</f>
        <v>8.0537978866748294E-2</v>
      </c>
      <c r="I23" s="103">
        <f t="shared" ref="I23:I32" si="10">E23/$E$33</f>
        <v>1.4212584505896768E-2</v>
      </c>
      <c r="J23" s="41">
        <f t="shared" si="9"/>
        <v>0.8</v>
      </c>
      <c r="K23" s="41">
        <f t="shared" ref="K23:K32" si="11">H23+I23</f>
        <v>9.4750563372645064E-2</v>
      </c>
      <c r="M23" s="13">
        <v>10268.769886820031</v>
      </c>
      <c r="N23" s="14">
        <v>0.22742270870792244</v>
      </c>
    </row>
    <row r="24" spans="1:14" x14ac:dyDescent="0.25">
      <c r="A24" s="10" t="s">
        <v>2</v>
      </c>
      <c r="B24" s="4">
        <f>(C6*D6)*$A$19</f>
        <v>5773037.2340425532</v>
      </c>
      <c r="C24" s="3">
        <f>(C6*D6)*$A$20</f>
        <v>611262.76595744677</v>
      </c>
      <c r="D24" s="110">
        <f>Hárok2!C10</f>
        <v>9251.6622340425547</v>
      </c>
      <c r="E24" s="110">
        <f>Hárok2!D10</f>
        <v>1632.6462765957422</v>
      </c>
      <c r="F24" s="106">
        <f t="shared" si="8"/>
        <v>623.99999999999989</v>
      </c>
      <c r="G24" s="107">
        <f>F24*0.6</f>
        <v>374.39999999999992</v>
      </c>
      <c r="H24" s="103">
        <f t="shared" ref="H24:H32" si="12">D24/$E$33</f>
        <v>0.15587688744959449</v>
      </c>
      <c r="I24" s="103">
        <f>E24/$E$33</f>
        <v>2.7507686020516627E-2</v>
      </c>
      <c r="J24" s="41">
        <f t="shared" si="9"/>
        <v>0.79999999999999982</v>
      </c>
      <c r="K24" s="41">
        <f t="shared" si="11"/>
        <v>0.18338457347011111</v>
      </c>
      <c r="M24" s="13">
        <v>354.60222545209751</v>
      </c>
      <c r="N24" s="14">
        <v>7.853384535345443E-3</v>
      </c>
    </row>
    <row r="25" spans="1:14" x14ac:dyDescent="0.25">
      <c r="A25" s="11" t="s">
        <v>3</v>
      </c>
      <c r="B25" s="4">
        <f>(C7*D7)</f>
        <v>3729456</v>
      </c>
      <c r="D25" s="110">
        <f>B25/(C7*0.8)</f>
        <v>4364.9999999999991</v>
      </c>
      <c r="E25" s="110">
        <v>0</v>
      </c>
      <c r="F25" s="106">
        <f t="shared" si="8"/>
        <v>854.4000000000002</v>
      </c>
      <c r="G25" s="107"/>
      <c r="H25" s="103">
        <f t="shared" si="12"/>
        <v>7.354382342384487E-2</v>
      </c>
      <c r="I25" s="103">
        <f t="shared" si="10"/>
        <v>0</v>
      </c>
      <c r="J25" s="41">
        <f t="shared" si="9"/>
        <v>0.80000000000000016</v>
      </c>
      <c r="K25" s="41">
        <f t="shared" si="11"/>
        <v>7.354382342384487E-2</v>
      </c>
      <c r="M25" s="13">
        <v>399.65123404990527</v>
      </c>
      <c r="N25" s="14">
        <v>8.8510860782604912E-3</v>
      </c>
    </row>
    <row r="26" spans="1:14" x14ac:dyDescent="0.25">
      <c r="A26" s="11" t="s">
        <v>4</v>
      </c>
      <c r="B26" s="4">
        <f>(C8*D8)*$A$19</f>
        <v>8245788.5106382985</v>
      </c>
      <c r="C26" s="3">
        <f>(C8*D8)*$A$20</f>
        <v>873083.48936170212</v>
      </c>
      <c r="D26" s="110">
        <f>Hárok2!C23</f>
        <v>11607.247340425531</v>
      </c>
      <c r="E26" s="110">
        <f>Hárok2!D23</f>
        <v>2048.3377659574453</v>
      </c>
      <c r="F26" s="106">
        <f t="shared" si="8"/>
        <v>710.40000000000009</v>
      </c>
      <c r="G26" s="107">
        <f>F26*0.6</f>
        <v>426.24000000000007</v>
      </c>
      <c r="H26" s="103">
        <f t="shared" si="12"/>
        <v>0.19556502837139711</v>
      </c>
      <c r="I26" s="103">
        <f t="shared" si="10"/>
        <v>3.4511475594952407E-2</v>
      </c>
      <c r="J26" s="41">
        <f t="shared" si="9"/>
        <v>0.80000000000000016</v>
      </c>
      <c r="K26" s="41">
        <f t="shared" si="11"/>
        <v>0.23007650396634952</v>
      </c>
      <c r="M26" s="13">
        <v>97.657832143224709</v>
      </c>
      <c r="N26" s="14">
        <v>2.1628305003758841E-3</v>
      </c>
    </row>
    <row r="27" spans="1:14" x14ac:dyDescent="0.25">
      <c r="A27" s="10" t="s">
        <v>5</v>
      </c>
      <c r="B27" s="4">
        <f>(C9*D9)</f>
        <v>379140</v>
      </c>
      <c r="D27" s="110">
        <f>B27/(C9*0.8)</f>
        <v>443.74999999999994</v>
      </c>
      <c r="E27" s="110">
        <v>0</v>
      </c>
      <c r="F27" s="106">
        <f t="shared" si="8"/>
        <v>854.40000000000009</v>
      </c>
      <c r="G27" s="107"/>
      <c r="H27" s="103">
        <f t="shared" si="12"/>
        <v>7.4765341682316525E-3</v>
      </c>
      <c r="I27" s="103">
        <f t="shared" si="10"/>
        <v>0</v>
      </c>
      <c r="J27" s="41">
        <f t="shared" si="9"/>
        <v>0.8</v>
      </c>
      <c r="K27" s="41">
        <f t="shared" si="11"/>
        <v>7.4765341682316525E-3</v>
      </c>
      <c r="M27" s="13">
        <v>540.4365468120202</v>
      </c>
      <c r="N27" s="14">
        <v>1.1969061992371396E-2</v>
      </c>
    </row>
    <row r="28" spans="1:14" x14ac:dyDescent="0.25">
      <c r="A28" s="11" t="s">
        <v>6</v>
      </c>
      <c r="B28" s="4">
        <f>(C10*D10)</f>
        <v>574560</v>
      </c>
      <c r="D28" s="110">
        <f>B28/(C10*0.8)</f>
        <v>498.75</v>
      </c>
      <c r="E28" s="110">
        <v>0</v>
      </c>
      <c r="F28" s="106">
        <f t="shared" si="8"/>
        <v>1152</v>
      </c>
      <c r="G28" s="107"/>
      <c r="H28" s="103">
        <f t="shared" si="12"/>
        <v>8.4032031918998013E-3</v>
      </c>
      <c r="I28" s="103">
        <f t="shared" si="10"/>
        <v>0</v>
      </c>
      <c r="J28" s="41">
        <f t="shared" si="9"/>
        <v>0.8</v>
      </c>
      <c r="K28" s="41">
        <f t="shared" si="11"/>
        <v>8.4032031918998013E-3</v>
      </c>
      <c r="M28" s="13">
        <v>192.47126140849147</v>
      </c>
      <c r="N28" s="14">
        <v>4.2626659376340248E-3</v>
      </c>
    </row>
    <row r="29" spans="1:14" x14ac:dyDescent="0.25">
      <c r="A29" s="11" t="s">
        <v>7</v>
      </c>
      <c r="B29" s="4">
        <f>(C11*D11)</f>
        <v>92904</v>
      </c>
      <c r="D29" s="110">
        <f>B29/(C11*0.8)</f>
        <v>122.49999999999999</v>
      </c>
      <c r="E29" s="110">
        <v>0</v>
      </c>
      <c r="F29" s="106">
        <f t="shared" si="8"/>
        <v>758.40000000000009</v>
      </c>
      <c r="G29" s="107"/>
      <c r="H29" s="103">
        <f t="shared" si="12"/>
        <v>2.0639446436245125E-3</v>
      </c>
      <c r="I29" s="103">
        <f t="shared" si="10"/>
        <v>0</v>
      </c>
      <c r="J29" s="41">
        <f t="shared" si="9"/>
        <v>0.8</v>
      </c>
      <c r="K29" s="41">
        <f t="shared" si="11"/>
        <v>2.0639446436245125E-3</v>
      </c>
      <c r="M29" s="13">
        <v>13611.539010851333</v>
      </c>
      <c r="N29" s="14">
        <v>0.3014551017940848</v>
      </c>
    </row>
    <row r="30" spans="1:14" x14ac:dyDescent="0.25">
      <c r="A30" s="11" t="s">
        <v>8</v>
      </c>
      <c r="B30" s="4">
        <f>(C12*D12)</f>
        <v>389520</v>
      </c>
      <c r="D30" s="110">
        <f>B30/(C12*0.8)</f>
        <v>676.25</v>
      </c>
      <c r="E30" s="110">
        <v>0</v>
      </c>
      <c r="F30" s="106">
        <f t="shared" si="8"/>
        <v>576</v>
      </c>
      <c r="G30" s="107"/>
      <c r="H30" s="103">
        <f t="shared" si="12"/>
        <v>1.1393816859192463E-2</v>
      </c>
      <c r="I30" s="103">
        <f t="shared" si="10"/>
        <v>0</v>
      </c>
      <c r="J30" s="41">
        <f t="shared" si="9"/>
        <v>0.8</v>
      </c>
      <c r="K30" s="41">
        <f t="shared" si="11"/>
        <v>1.1393816859192463E-2</v>
      </c>
      <c r="M30" s="4">
        <f>SUM(M19:M29)</f>
        <v>45152.790348690061</v>
      </c>
      <c r="N30" s="2"/>
    </row>
    <row r="31" spans="1:14" x14ac:dyDescent="0.25">
      <c r="A31" s="10" t="s">
        <v>9</v>
      </c>
      <c r="B31" s="4">
        <f>(C13*D13)*$A$19</f>
        <v>148692.12765957447</v>
      </c>
      <c r="C31" s="3">
        <f>(C13*D13)*$A$20</f>
        <v>15743.872340425532</v>
      </c>
      <c r="D31" s="110">
        <f>Hárok2!C36</f>
        <v>218.15159574468086</v>
      </c>
      <c r="E31" s="110">
        <f>Hárok2!D36</f>
        <v>38.49734042553191</v>
      </c>
      <c r="F31" s="106">
        <f t="shared" si="8"/>
        <v>681.6</v>
      </c>
      <c r="G31" s="107">
        <f>F31*0.6</f>
        <v>408.96</v>
      </c>
      <c r="H31" s="103">
        <f t="shared" si="12"/>
        <v>3.6755332043704007E-3</v>
      </c>
      <c r="I31" s="103">
        <f t="shared" si="10"/>
        <v>6.4862350665360002E-4</v>
      </c>
      <c r="J31" s="41">
        <f t="shared" si="9"/>
        <v>0.8</v>
      </c>
      <c r="K31" s="41">
        <f t="shared" si="11"/>
        <v>4.324156711024001E-3</v>
      </c>
    </row>
    <row r="32" spans="1:14" x14ac:dyDescent="0.25">
      <c r="A32" s="11" t="s">
        <v>183</v>
      </c>
      <c r="B32" s="4">
        <f>(C14*D14)*$A$19</f>
        <v>13291468.085106384</v>
      </c>
      <c r="C32" s="3">
        <f>(C14*D14)*$A$20</f>
        <v>1407331.9148936169</v>
      </c>
      <c r="D32" s="110">
        <f>Hárok2!C49</f>
        <v>15383.643617021276</v>
      </c>
      <c r="E32" s="110">
        <f>Hárok2!D49</f>
        <v>2714.7606382978743</v>
      </c>
      <c r="F32" s="106">
        <f t="shared" si="8"/>
        <v>864.00000000000011</v>
      </c>
      <c r="G32" s="107">
        <f>F32*0.6</f>
        <v>518.40000000000009</v>
      </c>
      <c r="H32" s="103">
        <f t="shared" si="12"/>
        <v>0.25919174565534275</v>
      </c>
      <c r="I32" s="103">
        <f t="shared" si="10"/>
        <v>4.5739719821531105E-2</v>
      </c>
      <c r="J32" s="41">
        <f t="shared" si="9"/>
        <v>0.80000000000000016</v>
      </c>
      <c r="K32" s="41">
        <f t="shared" si="11"/>
        <v>0.30493146547687389</v>
      </c>
    </row>
    <row r="33" spans="1:9" x14ac:dyDescent="0.25">
      <c r="A33" s="10" t="s">
        <v>92</v>
      </c>
      <c r="B33" s="4"/>
      <c r="E33" s="4">
        <f>SUM(D22:E32)</f>
        <v>59352.367021276594</v>
      </c>
      <c r="F33" s="100"/>
      <c r="G33" s="44"/>
      <c r="I33" s="41">
        <f>SUM(H22:I32)</f>
        <v>1</v>
      </c>
    </row>
    <row r="34" spans="1:9" x14ac:dyDescent="0.25">
      <c r="B34" s="93">
        <f>SUM(B22:C32)</f>
        <v>42554568.000000007</v>
      </c>
      <c r="I34" s="41"/>
    </row>
    <row r="36" spans="1:9" x14ac:dyDescent="0.25">
      <c r="B36" s="2"/>
    </row>
    <row r="37" spans="1:9" x14ac:dyDescent="0.25">
      <c r="B37" s="2">
        <f>B22/$B$34</f>
        <v>9.7050544608982978E-2</v>
      </c>
      <c r="C37" s="2">
        <f>C22/$B$34</f>
        <v>0</v>
      </c>
    </row>
    <row r="38" spans="1:9" x14ac:dyDescent="0.25">
      <c r="B38" s="2">
        <f t="shared" ref="B38:C38" si="13">B23/$B$34</f>
        <v>6.1466526680794914E-2</v>
      </c>
      <c r="C38" s="2">
        <f t="shared" si="13"/>
        <v>6.5082204720841681E-3</v>
      </c>
    </row>
    <row r="39" spans="1:9" x14ac:dyDescent="0.25">
      <c r="B39" s="2">
        <f t="shared" ref="B39:C39" si="14">B24/$B$34</f>
        <v>0.13566198660605724</v>
      </c>
      <c r="C39" s="2">
        <f t="shared" si="14"/>
        <v>1.4364210346523708E-2</v>
      </c>
    </row>
    <row r="40" spans="1:9" x14ac:dyDescent="0.25">
      <c r="B40" s="2">
        <f t="shared" ref="B40:C40" si="15">B25/$B$34</f>
        <v>8.7639381041302061E-2</v>
      </c>
      <c r="C40" s="2">
        <f t="shared" si="15"/>
        <v>0</v>
      </c>
    </row>
    <row r="41" spans="1:9" x14ac:dyDescent="0.25">
      <c r="B41" s="2">
        <f t="shared" ref="B41:C41" si="16">B26/$B$34</f>
        <v>0.19376976193574089</v>
      </c>
      <c r="C41" s="2">
        <f t="shared" si="16"/>
        <v>2.0516798322607856E-2</v>
      </c>
    </row>
    <row r="42" spans="1:9" x14ac:dyDescent="0.25">
      <c r="B42" s="2">
        <f t="shared" ref="B42:C42" si="17">B27/$B$34</f>
        <v>8.9095017954359205E-3</v>
      </c>
      <c r="C42" s="2">
        <f t="shared" si="17"/>
        <v>0</v>
      </c>
    </row>
    <row r="43" spans="1:9" x14ac:dyDescent="0.25">
      <c r="B43" s="2">
        <f t="shared" ref="B43:C43" si="18">B28/$B$34</f>
        <v>1.3501723246256427E-2</v>
      </c>
      <c r="C43" s="2">
        <f t="shared" si="18"/>
        <v>0</v>
      </c>
    </row>
    <row r="44" spans="1:9" x14ac:dyDescent="0.25">
      <c r="B44" s="2">
        <f t="shared" ref="B44:C44" si="19">B29/$B$34</f>
        <v>2.183173378707545E-3</v>
      </c>
      <c r="C44" s="2">
        <f t="shared" si="19"/>
        <v>0</v>
      </c>
    </row>
    <row r="45" spans="1:9" x14ac:dyDescent="0.25">
      <c r="B45" s="2">
        <f t="shared" ref="B45:C45" si="20">B30/$B$34</f>
        <v>9.1534239050435184E-3</v>
      </c>
      <c r="C45" s="2">
        <f t="shared" si="20"/>
        <v>0</v>
      </c>
    </row>
    <row r="46" spans="1:9" x14ac:dyDescent="0.25">
      <c r="B46" s="2">
        <f t="shared" ref="B46:C46" si="21">B31/$B$34</f>
        <v>3.494151971172036E-3</v>
      </c>
      <c r="C46" s="2">
        <f t="shared" si="21"/>
        <v>3.6996903224174497E-4</v>
      </c>
    </row>
    <row r="47" spans="1:9" x14ac:dyDescent="0.25">
      <c r="B47" s="2">
        <f t="shared" ref="B47:C47" si="22">B32/$B$34</f>
        <v>0.31233939644520375</v>
      </c>
      <c r="C47" s="2">
        <f t="shared" si="22"/>
        <v>3.3071230211845097E-2</v>
      </c>
    </row>
    <row r="48" spans="1:9" x14ac:dyDescent="0.25">
      <c r="B48" s="2"/>
      <c r="C48" s="2"/>
    </row>
  </sheetData>
  <mergeCells count="8">
    <mergeCell ref="N3:O3"/>
    <mergeCell ref="L1:O1"/>
    <mergeCell ref="D20:E20"/>
    <mergeCell ref="B20:C20"/>
    <mergeCell ref="F20:G20"/>
    <mergeCell ref="H20:I20"/>
    <mergeCell ref="I1:J1"/>
    <mergeCell ref="L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topLeftCell="A9" zoomScale="90" zoomScaleNormal="90" workbookViewId="0">
      <selection activeCell="C1" sqref="C1"/>
    </sheetView>
  </sheetViews>
  <sheetFormatPr defaultRowHeight="15" x14ac:dyDescent="0.25"/>
  <cols>
    <col min="3" max="3" width="14.7109375" bestFit="1" customWidth="1"/>
    <col min="4" max="4" width="15.28515625" bestFit="1" customWidth="1"/>
    <col min="5" max="5" width="12.85546875" bestFit="1" customWidth="1"/>
    <col min="6" max="6" width="2.140625" customWidth="1"/>
  </cols>
  <sheetData>
    <row r="2" spans="2:7" x14ac:dyDescent="0.25">
      <c r="C2">
        <f>8.5/1.5</f>
        <v>5.666666666666667</v>
      </c>
    </row>
    <row r="4" spans="2:7" x14ac:dyDescent="0.25">
      <c r="B4" t="s">
        <v>152</v>
      </c>
      <c r="C4" s="4">
        <f>Sadzby!D6*Sadzby!C6</f>
        <v>6384300</v>
      </c>
      <c r="D4" s="4"/>
      <c r="E4" s="4"/>
    </row>
    <row r="5" spans="2:7" x14ac:dyDescent="0.25">
      <c r="B5" t="s">
        <v>11</v>
      </c>
      <c r="C5" s="146" t="s">
        <v>153</v>
      </c>
      <c r="D5" s="146" t="s">
        <v>154</v>
      </c>
      <c r="E5" s="4"/>
    </row>
    <row r="6" spans="2:7" x14ac:dyDescent="0.25">
      <c r="C6" s="5">
        <f>Sadzby!C6*0.8</f>
        <v>624</v>
      </c>
      <c r="D6" s="5">
        <f>C6*0.6</f>
        <v>374.4</v>
      </c>
      <c r="E6" s="4"/>
    </row>
    <row r="7" spans="2:7" x14ac:dyDescent="0.25">
      <c r="C7" s="4">
        <f>C6</f>
        <v>624</v>
      </c>
      <c r="D7" s="144">
        <f>D6/C2</f>
        <v>66.07058823529411</v>
      </c>
      <c r="E7" s="144">
        <f>(C7+D7)</f>
        <v>690.07058823529405</v>
      </c>
    </row>
    <row r="8" spans="2:7" x14ac:dyDescent="0.25">
      <c r="E8" s="144"/>
    </row>
    <row r="9" spans="2:7" x14ac:dyDescent="0.25">
      <c r="B9" t="s">
        <v>139</v>
      </c>
      <c r="C9" s="146" t="s">
        <v>14</v>
      </c>
      <c r="D9" s="147" t="s">
        <v>15</v>
      </c>
      <c r="E9" s="144"/>
    </row>
    <row r="10" spans="2:7" x14ac:dyDescent="0.25">
      <c r="C10" s="145">
        <f>C4/E7</f>
        <v>9251.6622340425547</v>
      </c>
      <c r="D10" s="145">
        <f>D12/D6</f>
        <v>1632.6462765957422</v>
      </c>
      <c r="E10" s="4">
        <f>C10+D10</f>
        <v>10884.308510638297</v>
      </c>
      <c r="G10" s="2">
        <f>C10/E10</f>
        <v>0.8500000000000002</v>
      </c>
    </row>
    <row r="11" spans="2:7" x14ac:dyDescent="0.25">
      <c r="B11" s="8"/>
      <c r="C11" s="4">
        <f>C10*C7</f>
        <v>5773037.2340425542</v>
      </c>
      <c r="D11" s="4"/>
      <c r="E11" s="4"/>
      <c r="G11" s="2"/>
    </row>
    <row r="12" spans="2:7" x14ac:dyDescent="0.25">
      <c r="B12" s="9"/>
      <c r="C12" s="4">
        <f>C4</f>
        <v>6384300</v>
      </c>
      <c r="D12" s="4">
        <f>C12-C11</f>
        <v>611262.76595744584</v>
      </c>
      <c r="G12" s="2">
        <f>D10/E10</f>
        <v>0.14999999999999977</v>
      </c>
    </row>
    <row r="13" spans="2:7" x14ac:dyDescent="0.25">
      <c r="B13" s="4"/>
      <c r="C13" s="4"/>
      <c r="D13" s="4"/>
      <c r="E13" s="2"/>
      <c r="F13" s="4"/>
      <c r="G13" s="4"/>
    </row>
    <row r="14" spans="2:7" x14ac:dyDescent="0.25">
      <c r="B14" s="4"/>
      <c r="C14" s="4"/>
      <c r="D14" s="4"/>
      <c r="F14" s="4"/>
      <c r="G14" s="4"/>
    </row>
    <row r="15" spans="2:7" x14ac:dyDescent="0.25">
      <c r="C15">
        <f>8.5/1.5</f>
        <v>5.666666666666667</v>
      </c>
    </row>
    <row r="17" spans="2:7" x14ac:dyDescent="0.25">
      <c r="B17" t="s">
        <v>152</v>
      </c>
      <c r="C17" s="4">
        <f>Sadzby!D8*Sadzby!C8</f>
        <v>9118872</v>
      </c>
      <c r="D17" s="4"/>
      <c r="E17" s="4"/>
    </row>
    <row r="18" spans="2:7" x14ac:dyDescent="0.25">
      <c r="B18" t="s">
        <v>11</v>
      </c>
      <c r="C18" s="146" t="s">
        <v>153</v>
      </c>
      <c r="D18" s="146" t="s">
        <v>154</v>
      </c>
      <c r="E18" s="4"/>
    </row>
    <row r="19" spans="2:7" x14ac:dyDescent="0.25">
      <c r="C19" s="5">
        <f>Sadzby!C8*0.8</f>
        <v>710.40000000000009</v>
      </c>
      <c r="D19" s="5">
        <f>C19*0.6</f>
        <v>426.24000000000007</v>
      </c>
      <c r="E19" s="4"/>
    </row>
    <row r="20" spans="2:7" x14ac:dyDescent="0.25">
      <c r="C20" s="4">
        <f>C19</f>
        <v>710.40000000000009</v>
      </c>
      <c r="D20" s="144">
        <f>D19/C15</f>
        <v>75.218823529411779</v>
      </c>
      <c r="E20" s="144">
        <f>(C20+D20)</f>
        <v>785.61882352941188</v>
      </c>
    </row>
    <row r="21" spans="2:7" x14ac:dyDescent="0.25">
      <c r="E21" s="144"/>
    </row>
    <row r="22" spans="2:7" x14ac:dyDescent="0.25">
      <c r="B22" t="s">
        <v>139</v>
      </c>
      <c r="C22" s="146" t="s">
        <v>14</v>
      </c>
      <c r="D22" s="147" t="s">
        <v>15</v>
      </c>
      <c r="E22" s="144"/>
    </row>
    <row r="23" spans="2:7" x14ac:dyDescent="0.25">
      <c r="C23" s="145">
        <f>C17/E20</f>
        <v>11607.247340425531</v>
      </c>
      <c r="D23" s="145">
        <f>D25/D19</f>
        <v>2048.3377659574453</v>
      </c>
      <c r="E23" s="4">
        <f>C23+D23</f>
        <v>13655.585106382976</v>
      </c>
      <c r="G23" s="2">
        <f>C23/E23</f>
        <v>0.85000000000000009</v>
      </c>
    </row>
    <row r="24" spans="2:7" x14ac:dyDescent="0.25">
      <c r="B24" s="8"/>
      <c r="C24" s="4">
        <f>C23*C20</f>
        <v>8245788.5106382985</v>
      </c>
      <c r="D24" s="4"/>
      <c r="E24" s="4"/>
      <c r="G24" s="2"/>
    </row>
    <row r="25" spans="2:7" x14ac:dyDescent="0.25">
      <c r="B25" s="9"/>
      <c r="C25" s="4">
        <f>C17</f>
        <v>9118872</v>
      </c>
      <c r="D25" s="4">
        <f>C25-C24</f>
        <v>873083.48936170153</v>
      </c>
      <c r="G25" s="2">
        <f>D23/E23</f>
        <v>0.14999999999999991</v>
      </c>
    </row>
    <row r="28" spans="2:7" x14ac:dyDescent="0.25">
      <c r="C28">
        <f>8.5/1.5</f>
        <v>5.666666666666667</v>
      </c>
    </row>
    <row r="30" spans="2:7" x14ac:dyDescent="0.25">
      <c r="B30" t="s">
        <v>152</v>
      </c>
      <c r="C30" s="4">
        <f>Sadzby!D13*Sadzby!C13</f>
        <v>164436</v>
      </c>
      <c r="D30" s="4"/>
      <c r="E30" s="4"/>
    </row>
    <row r="31" spans="2:7" x14ac:dyDescent="0.25">
      <c r="B31" t="s">
        <v>11</v>
      </c>
      <c r="C31" s="146" t="s">
        <v>153</v>
      </c>
      <c r="D31" s="146" t="s">
        <v>154</v>
      </c>
      <c r="E31" s="4"/>
    </row>
    <row r="32" spans="2:7" x14ac:dyDescent="0.25">
      <c r="C32" s="5">
        <f>Sadzby!C13*0.8</f>
        <v>681.6</v>
      </c>
      <c r="D32" s="5">
        <f>C32*0.6</f>
        <v>408.96</v>
      </c>
      <c r="E32" s="4"/>
    </row>
    <row r="33" spans="2:7" x14ac:dyDescent="0.25">
      <c r="C33" s="4">
        <f>C32</f>
        <v>681.6</v>
      </c>
      <c r="D33" s="144">
        <f>D32/C28</f>
        <v>72.16941176470587</v>
      </c>
      <c r="E33" s="144">
        <f>(C33+D33)</f>
        <v>753.76941176470586</v>
      </c>
    </row>
    <row r="34" spans="2:7" x14ac:dyDescent="0.25">
      <c r="E34" s="144"/>
    </row>
    <row r="35" spans="2:7" x14ac:dyDescent="0.25">
      <c r="B35" t="s">
        <v>139</v>
      </c>
      <c r="C35" s="146" t="s">
        <v>14</v>
      </c>
      <c r="D35" s="147" t="s">
        <v>15</v>
      </c>
      <c r="E35" s="144"/>
    </row>
    <row r="36" spans="2:7" x14ac:dyDescent="0.25">
      <c r="C36" s="145">
        <f>C30/E33</f>
        <v>218.15159574468086</v>
      </c>
      <c r="D36" s="145">
        <f>D38/D32</f>
        <v>38.49734042553191</v>
      </c>
      <c r="E36" s="4">
        <f>C36+D36</f>
        <v>256.64893617021278</v>
      </c>
      <c r="G36" s="2">
        <f>C36/E36</f>
        <v>0.85</v>
      </c>
    </row>
    <row r="37" spans="2:7" x14ac:dyDescent="0.25">
      <c r="B37" s="8"/>
      <c r="C37" s="4">
        <f>C36*C33</f>
        <v>148692.12765957447</v>
      </c>
      <c r="D37" s="4"/>
      <c r="E37" s="4"/>
      <c r="G37" s="2"/>
    </row>
    <row r="38" spans="2:7" x14ac:dyDescent="0.25">
      <c r="B38" s="9"/>
      <c r="C38" s="4">
        <f>C30</f>
        <v>164436</v>
      </c>
      <c r="D38" s="4">
        <f>C38-C37</f>
        <v>15743.872340425529</v>
      </c>
      <c r="G38" s="2">
        <f>D36/E36</f>
        <v>0.14999999999999997</v>
      </c>
    </row>
    <row r="41" spans="2:7" x14ac:dyDescent="0.25">
      <c r="C41">
        <f>8.5/1.5</f>
        <v>5.666666666666667</v>
      </c>
    </row>
    <row r="43" spans="2:7" x14ac:dyDescent="0.25">
      <c r="B43" t="s">
        <v>152</v>
      </c>
      <c r="C43" s="4">
        <f>Sadzby!D14*Sadzby!C14</f>
        <v>14698800</v>
      </c>
      <c r="D43" s="4"/>
      <c r="E43" s="4"/>
    </row>
    <row r="44" spans="2:7" x14ac:dyDescent="0.25">
      <c r="B44" t="s">
        <v>11</v>
      </c>
      <c r="C44" s="146" t="s">
        <v>153</v>
      </c>
      <c r="D44" s="146" t="s">
        <v>154</v>
      </c>
      <c r="E44" s="4"/>
    </row>
    <row r="45" spans="2:7" x14ac:dyDescent="0.25">
      <c r="C45" s="5">
        <f>Sadzby!C14*0.8</f>
        <v>864</v>
      </c>
      <c r="D45" s="5">
        <f>C45*0.6</f>
        <v>518.4</v>
      </c>
      <c r="E45" s="4"/>
    </row>
    <row r="46" spans="2:7" x14ac:dyDescent="0.25">
      <c r="C46" s="4">
        <f>C45</f>
        <v>864</v>
      </c>
      <c r="D46" s="144">
        <f>D45/C41</f>
        <v>91.482352941176458</v>
      </c>
      <c r="E46" s="144">
        <f>(C46+D46)</f>
        <v>955.48235294117649</v>
      </c>
    </row>
    <row r="47" spans="2:7" x14ac:dyDescent="0.25">
      <c r="E47" s="144"/>
    </row>
    <row r="48" spans="2:7" x14ac:dyDescent="0.25">
      <c r="B48" t="s">
        <v>139</v>
      </c>
      <c r="C48" s="146" t="s">
        <v>14</v>
      </c>
      <c r="D48" s="147" t="s">
        <v>15</v>
      </c>
      <c r="E48" s="144"/>
    </row>
    <row r="49" spans="1:7" x14ac:dyDescent="0.25">
      <c r="C49" s="145">
        <f>C43/E46</f>
        <v>15383.643617021276</v>
      </c>
      <c r="D49" s="145">
        <f>D51/D45</f>
        <v>2714.7606382978743</v>
      </c>
      <c r="E49" s="4">
        <f>C49+D49</f>
        <v>18098.40425531915</v>
      </c>
      <c r="G49" s="2">
        <f>C49/E49</f>
        <v>0.85</v>
      </c>
    </row>
    <row r="50" spans="1:7" x14ac:dyDescent="0.25">
      <c r="B50" s="8"/>
      <c r="C50" s="4">
        <f>C49*C46</f>
        <v>13291468.085106382</v>
      </c>
      <c r="D50" s="4"/>
      <c r="E50" s="4"/>
      <c r="G50" s="2"/>
    </row>
    <row r="51" spans="1:7" x14ac:dyDescent="0.25">
      <c r="B51" s="9"/>
      <c r="C51" s="4">
        <f>C43</f>
        <v>14698800</v>
      </c>
      <c r="D51" s="4">
        <f>C51-C50</f>
        <v>1407331.9148936179</v>
      </c>
      <c r="G51" s="2">
        <f>D49/E49</f>
        <v>0.15000000000000011</v>
      </c>
    </row>
    <row r="54" spans="1:7" x14ac:dyDescent="0.25">
      <c r="A54" t="s">
        <v>155</v>
      </c>
      <c r="C54">
        <f>8.5/1.5</f>
        <v>5.666666666666667</v>
      </c>
    </row>
    <row r="56" spans="1:7" x14ac:dyDescent="0.25">
      <c r="B56" t="s">
        <v>152</v>
      </c>
      <c r="C56" s="4">
        <f>Sadzby!D5*Sadzby!C5</f>
        <v>2892636</v>
      </c>
      <c r="D56" s="4"/>
      <c r="E56" s="4"/>
    </row>
    <row r="57" spans="1:7" x14ac:dyDescent="0.25">
      <c r="B57" t="s">
        <v>11</v>
      </c>
      <c r="C57" s="146" t="s">
        <v>153</v>
      </c>
      <c r="D57" s="146" t="s">
        <v>154</v>
      </c>
      <c r="E57" s="4"/>
    </row>
    <row r="58" spans="1:7" x14ac:dyDescent="0.25">
      <c r="C58" s="5">
        <f>Sadzby!C5*0.8</f>
        <v>547.20000000000005</v>
      </c>
      <c r="D58" s="5">
        <f>C58*0.6</f>
        <v>328.32</v>
      </c>
      <c r="E58" s="4"/>
    </row>
    <row r="59" spans="1:7" x14ac:dyDescent="0.25">
      <c r="C59" s="4">
        <f>C58</f>
        <v>547.20000000000005</v>
      </c>
      <c r="D59" s="144">
        <f>D58/C54</f>
        <v>57.938823529411764</v>
      </c>
      <c r="E59" s="144">
        <f>(C59+D59)</f>
        <v>605.13882352941187</v>
      </c>
    </row>
    <row r="60" spans="1:7" x14ac:dyDescent="0.25">
      <c r="E60" s="144"/>
    </row>
    <row r="61" spans="1:7" x14ac:dyDescent="0.25">
      <c r="B61" t="s">
        <v>139</v>
      </c>
      <c r="C61" s="146" t="s">
        <v>14</v>
      </c>
      <c r="D61" s="147" t="s">
        <v>15</v>
      </c>
      <c r="E61" s="144"/>
    </row>
    <row r="62" spans="1:7" x14ac:dyDescent="0.25">
      <c r="C62" s="145">
        <f>C56/E59</f>
        <v>4780.1196808510631</v>
      </c>
      <c r="D62" s="145">
        <f>D64/D58</f>
        <v>843.55053191489401</v>
      </c>
      <c r="E62" s="4">
        <f>C62+D62</f>
        <v>5623.6702127659573</v>
      </c>
      <c r="G62" s="2">
        <f>C62/E62</f>
        <v>0.84999999999999987</v>
      </c>
    </row>
    <row r="63" spans="1:7" x14ac:dyDescent="0.25">
      <c r="B63" s="8"/>
      <c r="C63" s="4">
        <f>C62*C59</f>
        <v>2615681.489361702</v>
      </c>
      <c r="D63" s="4"/>
      <c r="E63" s="4"/>
      <c r="G63" s="2"/>
    </row>
    <row r="64" spans="1:7" x14ac:dyDescent="0.25">
      <c r="B64" s="9"/>
      <c r="C64" s="4">
        <f>C56</f>
        <v>2892636</v>
      </c>
      <c r="D64" s="4">
        <f>C64-C63</f>
        <v>276954.510638298</v>
      </c>
      <c r="G64" s="2">
        <f>D62/E62</f>
        <v>0.15000000000000008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opLeftCell="A52" zoomScale="90" zoomScaleNormal="90" workbookViewId="0">
      <selection activeCell="A2" sqref="A2:G13"/>
    </sheetView>
  </sheetViews>
  <sheetFormatPr defaultRowHeight="15" x14ac:dyDescent="0.25"/>
  <cols>
    <col min="1" max="1" width="42.42578125" bestFit="1" customWidth="1"/>
    <col min="2" max="2" width="12.5703125" bestFit="1" customWidth="1"/>
    <col min="3" max="3" width="11.85546875" bestFit="1" customWidth="1"/>
    <col min="4" max="4" width="11.85546875" customWidth="1"/>
    <col min="5" max="5" width="15.5703125" bestFit="1" customWidth="1"/>
    <col min="6" max="6" width="13.85546875" bestFit="1" customWidth="1"/>
    <col min="7" max="7" width="15.5703125" bestFit="1" customWidth="1"/>
    <col min="8" max="9" width="2.42578125" customWidth="1"/>
    <col min="10" max="10" width="2.5703125" customWidth="1"/>
    <col min="11" max="11" width="3.5703125" bestFit="1" customWidth="1"/>
    <col min="12" max="12" width="11.140625" bestFit="1" customWidth="1"/>
    <col min="13" max="13" width="12.140625" bestFit="1" customWidth="1"/>
    <col min="14" max="14" width="11.85546875" bestFit="1" customWidth="1"/>
    <col min="15" max="15" width="6.28515625" bestFit="1" customWidth="1"/>
    <col min="16" max="16" width="11.85546875" bestFit="1" customWidth="1"/>
  </cols>
  <sheetData>
    <row r="1" spans="1:14" x14ac:dyDescent="0.25">
      <c r="A1" s="3">
        <f>Prehľad!F3</f>
        <v>1245334.820328542</v>
      </c>
    </row>
    <row r="2" spans="1:14" ht="30" x14ac:dyDescent="0.25">
      <c r="B2" s="9" t="s">
        <v>114</v>
      </c>
      <c r="C2" s="111" t="s">
        <v>156</v>
      </c>
      <c r="D2" s="113" t="s">
        <v>157</v>
      </c>
      <c r="E2" s="8" t="s">
        <v>120</v>
      </c>
      <c r="F2" s="8" t="s">
        <v>145</v>
      </c>
      <c r="G2" s="8" t="s">
        <v>146</v>
      </c>
      <c r="L2" s="4"/>
      <c r="M2" s="4"/>
      <c r="N2" s="4"/>
    </row>
    <row r="3" spans="1:14" x14ac:dyDescent="0.25">
      <c r="A3" s="58" t="s">
        <v>0</v>
      </c>
      <c r="B3" s="3">
        <f>Sadzby!C4</f>
        <v>1092</v>
      </c>
      <c r="C3" s="112">
        <f>Sadzby!B37</f>
        <v>9.7050544608982978E-2</v>
      </c>
      <c r="D3" s="101">
        <f>Sadzby!C37</f>
        <v>0</v>
      </c>
      <c r="E3" s="3">
        <f>(Prehľad!$F$4*AP_výpočet!C3)+(Prehľad!$F$4*AP_výpočet!D3)</f>
        <v>18129.063380012245</v>
      </c>
      <c r="F3" s="44">
        <f>(C3*Prehľad!$F$5)</f>
        <v>102731.35915340272</v>
      </c>
      <c r="G3" s="4">
        <f>(D3*Prehľad!$F$5)</f>
        <v>0</v>
      </c>
      <c r="L3" t="s">
        <v>14</v>
      </c>
      <c r="M3" t="s">
        <v>15</v>
      </c>
    </row>
    <row r="4" spans="1:14" x14ac:dyDescent="0.25">
      <c r="A4" s="58" t="s">
        <v>1</v>
      </c>
      <c r="B4" s="3">
        <f>Sadzby!C5</f>
        <v>684</v>
      </c>
      <c r="C4" s="112">
        <f>Sadzby!B38</f>
        <v>6.1466526680794914E-2</v>
      </c>
      <c r="D4" s="101">
        <f>Sadzby!C38</f>
        <v>6.5082204720841681E-3</v>
      </c>
      <c r="E4" s="3">
        <f>(Prehľad!$F$4*AP_výpočet!C4)+(Prehľad!$F$4*AP_výpočet!D4)</f>
        <v>12697.697929876313</v>
      </c>
      <c r="F4" s="44">
        <f>(C4*Prehľad!$F$5)</f>
        <v>65064.445066210174</v>
      </c>
      <c r="G4" s="4">
        <f>(D4*Prehľad!$F$5)</f>
        <v>6889.1765364222547</v>
      </c>
      <c r="L4">
        <v>100</v>
      </c>
      <c r="M4">
        <f>L4*0.6</f>
        <v>60</v>
      </c>
    </row>
    <row r="5" spans="1:14" x14ac:dyDescent="0.25">
      <c r="A5" s="58" t="s">
        <v>2</v>
      </c>
      <c r="B5" s="3">
        <f>Sadzby!C6</f>
        <v>780</v>
      </c>
      <c r="C5" s="112">
        <f>Sadzby!B39</f>
        <v>0.13566198660605724</v>
      </c>
      <c r="D5" s="101">
        <f>Sadzby!C39</f>
        <v>1.4364210346523708E-2</v>
      </c>
      <c r="E5" s="3">
        <f>(Prehľad!$F$4*AP_výpočet!C5)+(Prehľad!$F$4*AP_výpočet!D5)</f>
        <v>28024.927053977532</v>
      </c>
      <c r="F5" s="44">
        <f>(C5*Prehľad!$F$5)</f>
        <v>143602.90635814724</v>
      </c>
      <c r="G5" s="4">
        <f>(D5*Prehľad!$F$5)</f>
        <v>15205.013614392063</v>
      </c>
      <c r="K5" t="s">
        <v>139</v>
      </c>
      <c r="L5">
        <v>8.5</v>
      </c>
      <c r="M5">
        <v>1.5</v>
      </c>
      <c r="N5">
        <f>L5/M5</f>
        <v>5.666666666666667</v>
      </c>
    </row>
    <row r="6" spans="1:14" x14ac:dyDescent="0.25">
      <c r="A6" s="58" t="s">
        <v>3</v>
      </c>
      <c r="B6" s="3">
        <f>Sadzby!C7</f>
        <v>1068</v>
      </c>
      <c r="C6" s="112">
        <f>Sadzby!B40</f>
        <v>8.7639381041302061E-2</v>
      </c>
      <c r="D6" s="101">
        <f>Sadzby!C40</f>
        <v>0</v>
      </c>
      <c r="E6" s="3">
        <f>(Prehľad!$F$4*AP_výpočet!C6)+(Prehľad!$F$4*AP_výpočet!D6)</f>
        <v>16371.05592641618</v>
      </c>
      <c r="F6" s="44">
        <f>(C6*Prehľad!$F$5)</f>
        <v>92769.316916358352</v>
      </c>
      <c r="G6" s="4">
        <f>(D6*Prehľad!$F$5)</f>
        <v>0</v>
      </c>
    </row>
    <row r="7" spans="1:14" x14ac:dyDescent="0.25">
      <c r="A7" s="58" t="s">
        <v>4</v>
      </c>
      <c r="B7" s="3">
        <f>Sadzby!C8</f>
        <v>888</v>
      </c>
      <c r="C7" s="112">
        <f>Sadzby!B41</f>
        <v>0.19376976193574089</v>
      </c>
      <c r="D7" s="101">
        <f>Sadzby!C41</f>
        <v>2.0516798322607856E-2</v>
      </c>
      <c r="E7" s="3">
        <f>(Prehľad!$F$4*AP_výpočet!C7)+(Prehľad!$F$4*AP_výpočet!D7)</f>
        <v>40028.777252722801</v>
      </c>
      <c r="F7" s="44">
        <f>(C7*Prehľad!$F$5)</f>
        <v>205111.99691554767</v>
      </c>
      <c r="G7" s="4">
        <f>(D7*Prehľad!$F$5)</f>
        <v>21717.740849881517</v>
      </c>
      <c r="L7">
        <f>L5*L4</f>
        <v>850</v>
      </c>
      <c r="M7">
        <f>M5*M4</f>
        <v>90</v>
      </c>
      <c r="N7">
        <f>L7+M7</f>
        <v>940</v>
      </c>
    </row>
    <row r="8" spans="1:14" x14ac:dyDescent="0.25">
      <c r="A8" s="58" t="s">
        <v>5</v>
      </c>
      <c r="B8" s="3">
        <f>Sadzby!C9</f>
        <v>1068</v>
      </c>
      <c r="C8" s="112">
        <f>Sadzby!B42</f>
        <v>8.9095017954359205E-3</v>
      </c>
      <c r="D8" s="101">
        <f>Sadzby!C42</f>
        <v>0</v>
      </c>
      <c r="E8" s="3">
        <f>(Prehľad!$F$4*AP_výpočet!C8)+(Prehľad!$F$4*AP_výpočet!D8)</f>
        <v>1664.2969226454022</v>
      </c>
      <c r="F8" s="44">
        <f>(C8*Prehľad!$F$5)</f>
        <v>9431.0158949906108</v>
      </c>
      <c r="G8" s="4">
        <f>(D8*Prehľad!$F$5)</f>
        <v>0</v>
      </c>
    </row>
    <row r="9" spans="1:14" x14ac:dyDescent="0.25">
      <c r="A9" s="58" t="s">
        <v>6</v>
      </c>
      <c r="B9" s="3">
        <f>Sadzby!C10</f>
        <v>1440</v>
      </c>
      <c r="C9" s="112">
        <f>Sadzby!B43</f>
        <v>1.3501723246256427E-2</v>
      </c>
      <c r="D9" s="101">
        <f>Sadzby!C43</f>
        <v>0</v>
      </c>
      <c r="E9" s="3">
        <f>(Prehľad!$F$4*AP_výpočet!C9)+(Prehľad!$F$4*AP_výpočet!D9)</f>
        <v>2522.124913950367</v>
      </c>
      <c r="F9" s="44">
        <f>(C9*Prehľad!$F$5)</f>
        <v>14292.041179052077</v>
      </c>
      <c r="G9" s="4">
        <f>(D9*Prehľad!$F$5)</f>
        <v>0</v>
      </c>
    </row>
    <row r="10" spans="1:14" x14ac:dyDescent="0.25">
      <c r="A10" s="58" t="s">
        <v>7</v>
      </c>
      <c r="B10" s="3">
        <f>Sadzby!C11</f>
        <v>948</v>
      </c>
      <c r="C10" s="112">
        <f>Sadzby!B44</f>
        <v>2.183173378707545E-3</v>
      </c>
      <c r="D10" s="101">
        <f>Sadzby!C44</f>
        <v>0</v>
      </c>
      <c r="E10" s="3">
        <f>(Prehľad!$F$4*AP_výpočet!C10)+(Prehľad!$F$4*AP_výpočet!D10)</f>
        <v>407.81727409782252</v>
      </c>
      <c r="F10" s="44">
        <f>(C10*Prehľad!$F$5)</f>
        <v>2310.9645532209938</v>
      </c>
      <c r="G10" s="4">
        <f>(D10*Prehľad!$F$5)</f>
        <v>0</v>
      </c>
      <c r="L10">
        <f>N7</f>
        <v>940</v>
      </c>
    </row>
    <row r="11" spans="1:14" x14ac:dyDescent="0.25">
      <c r="A11" s="58" t="s">
        <v>8</v>
      </c>
      <c r="B11" s="3">
        <f>Sadzby!C12</f>
        <v>720</v>
      </c>
      <c r="C11" s="112">
        <f>Sadzby!B45</f>
        <v>9.1534239050435184E-3</v>
      </c>
      <c r="D11" s="101">
        <f>Sadzby!C45</f>
        <v>0</v>
      </c>
      <c r="E11" s="3">
        <f>(Prehľad!$F$4*AP_výpočet!C11)+(Prehľad!$F$4*AP_výpočet!D11)</f>
        <v>1709.8616271267529</v>
      </c>
      <c r="F11" s="44">
        <f>(C11*Prehľad!$F$5)</f>
        <v>9689.2158870515977</v>
      </c>
      <c r="G11" s="4">
        <f>(D11*Prehľad!$F$5)</f>
        <v>0</v>
      </c>
      <c r="L11" s="95">
        <f>L7/L10</f>
        <v>0.9042553191489362</v>
      </c>
      <c r="M11" s="95">
        <f>M7/L10</f>
        <v>9.5744680851063829E-2</v>
      </c>
      <c r="N11" s="41"/>
    </row>
    <row r="12" spans="1:14" x14ac:dyDescent="0.25">
      <c r="A12" s="58" t="s">
        <v>9</v>
      </c>
      <c r="B12" s="3">
        <f>Sadzby!C13</f>
        <v>852</v>
      </c>
      <c r="C12" s="112">
        <f>Sadzby!B46</f>
        <v>3.494151971172036E-3</v>
      </c>
      <c r="D12" s="101">
        <f>Sadzby!C46</f>
        <v>3.6996903224174497E-4</v>
      </c>
      <c r="E12" s="3">
        <f>(Prehľad!$F$4*AP_výpočet!C12)+(Prehľad!$F$4*AP_výpočet!D12)</f>
        <v>721.81866532710706</v>
      </c>
      <c r="F12" s="44">
        <f>(C12*Prehľad!$F$5)</f>
        <v>3698.6807496371257</v>
      </c>
      <c r="G12" s="4">
        <f>(D12*Prehľad!$F$5)</f>
        <v>391.62502054981331</v>
      </c>
      <c r="L12" s="4"/>
      <c r="M12" s="4"/>
      <c r="N12" s="4"/>
    </row>
    <row r="13" spans="1:14" x14ac:dyDescent="0.25">
      <c r="A13" s="58" t="s">
        <v>10</v>
      </c>
      <c r="B13" s="3">
        <f>Sadzby!C14</f>
        <v>1080</v>
      </c>
      <c r="C13" s="112">
        <f>Sadzby!B47</f>
        <v>0.31233939644520375</v>
      </c>
      <c r="D13" s="101">
        <f>Sadzby!C47</f>
        <v>3.3071230211845097E-2</v>
      </c>
      <c r="E13" s="3">
        <f>(Prehľad!$F$4*AP_výpočet!C13)+(Prehľad!$F$4*AP_výpočet!D13)</f>
        <v>64522.78210312876</v>
      </c>
      <c r="F13" s="44">
        <f>(C13*Prehľad!$F$5)</f>
        <v>330622.05723057111</v>
      </c>
      <c r="G13" s="4">
        <f>(D13*Prehľad!$F$5)</f>
        <v>35007.041353825167</v>
      </c>
      <c r="L13" s="4"/>
      <c r="M13" s="4"/>
      <c r="N13" s="4"/>
    </row>
    <row r="14" spans="1:14" x14ac:dyDescent="0.25">
      <c r="A14" s="59"/>
      <c r="E14" s="55">
        <f>SUM(E3:E13)</f>
        <v>186800.22304928128</v>
      </c>
      <c r="F14" s="55">
        <f>SUM(F3:F13)</f>
        <v>979323.99990418972</v>
      </c>
      <c r="G14" s="5">
        <f>SUM(G3:G13)</f>
        <v>79210.597375070822</v>
      </c>
      <c r="L14" s="4">
        <f>L10</f>
        <v>940</v>
      </c>
      <c r="M14" s="4"/>
      <c r="N14" s="4"/>
    </row>
    <row r="15" spans="1:14" x14ac:dyDescent="0.25">
      <c r="A15" s="59"/>
      <c r="C15" s="41">
        <f>SUM(C3:D13)</f>
        <v>0.99999999999999989</v>
      </c>
      <c r="D15" s="41"/>
      <c r="E15" s="44">
        <f>SUM(E14:G14)</f>
        <v>1245334.8203285418</v>
      </c>
      <c r="F15" s="44"/>
      <c r="G15" s="44">
        <f>SUM(F14:G14)</f>
        <v>1058534.5972792606</v>
      </c>
      <c r="L15" s="4">
        <v>80</v>
      </c>
      <c r="M15" s="4">
        <f>L15*0.6</f>
        <v>48</v>
      </c>
      <c r="N15" s="4"/>
    </row>
    <row r="16" spans="1:14" x14ac:dyDescent="0.25">
      <c r="A16" s="59"/>
      <c r="L16" s="4">
        <f>L15</f>
        <v>80</v>
      </c>
      <c r="M16" s="144">
        <f>M15/N5</f>
        <v>8.4705882352941178</v>
      </c>
      <c r="N16" s="144">
        <f>(L16+M16)</f>
        <v>88.470588235294116</v>
      </c>
    </row>
    <row r="17" spans="1:16" ht="30" customHeight="1" x14ac:dyDescent="0.25">
      <c r="A17" s="59"/>
      <c r="B17" s="115" t="s">
        <v>106</v>
      </c>
      <c r="C17" s="114" t="s">
        <v>109</v>
      </c>
      <c r="D17" s="90" t="s">
        <v>147</v>
      </c>
      <c r="E17" s="90" t="s">
        <v>148</v>
      </c>
      <c r="F17" s="114"/>
      <c r="G17" s="50"/>
      <c r="H17" s="50"/>
      <c r="K17" t="s">
        <v>14</v>
      </c>
      <c r="L17" s="4"/>
      <c r="M17" s="4"/>
      <c r="N17" s="141">
        <f>L14/N16</f>
        <v>10.625</v>
      </c>
      <c r="O17" s="143">
        <f>N17*L16</f>
        <v>850</v>
      </c>
      <c r="P17" s="2">
        <f>N17/N21</f>
        <v>0.85</v>
      </c>
    </row>
    <row r="18" spans="1:16" x14ac:dyDescent="0.25">
      <c r="A18" s="59"/>
      <c r="B18" s="52" t="s">
        <v>107</v>
      </c>
      <c r="C18" s="60" t="s">
        <v>110</v>
      </c>
      <c r="D18" s="53" t="s">
        <v>14</v>
      </c>
      <c r="E18" s="53" t="s">
        <v>15</v>
      </c>
      <c r="F18" s="60"/>
      <c r="J18" s="8"/>
      <c r="K18" s="8"/>
      <c r="L18" s="94"/>
      <c r="M18" s="94"/>
      <c r="N18" s="4"/>
      <c r="P18" s="2"/>
    </row>
    <row r="19" spans="1:16" x14ac:dyDescent="0.25">
      <c r="A19" s="59"/>
      <c r="B19" s="61">
        <f>Sadzby!I3</f>
        <v>0.8</v>
      </c>
      <c r="C19" s="62">
        <f>Sadzby!L3</f>
        <v>0.6</v>
      </c>
      <c r="D19" s="61"/>
      <c r="F19" s="62"/>
      <c r="G19" s="45"/>
      <c r="H19" s="45"/>
      <c r="J19" s="9"/>
      <c r="K19" s="9" t="s">
        <v>15</v>
      </c>
      <c r="L19" s="4">
        <f>L14</f>
        <v>940</v>
      </c>
      <c r="M19" s="4">
        <f>L19-O17</f>
        <v>90</v>
      </c>
      <c r="N19" s="141">
        <f>M19/M15</f>
        <v>1.875</v>
      </c>
      <c r="P19" s="2">
        <f>N19/N21</f>
        <v>0.15</v>
      </c>
    </row>
    <row r="20" spans="1:16" x14ac:dyDescent="0.25">
      <c r="A20" s="58" t="s">
        <v>0</v>
      </c>
      <c r="B20" s="54">
        <f>Sadzby!F22</f>
        <v>873.6</v>
      </c>
      <c r="C20" s="44">
        <f>Sadzby!G22</f>
        <v>0</v>
      </c>
      <c r="D20" s="116">
        <f>F3/B20</f>
        <v>117.59542027633096</v>
      </c>
      <c r="E20" s="4"/>
      <c r="F20" s="44"/>
      <c r="G20" s="1"/>
      <c r="H20" s="1"/>
      <c r="J20" s="4"/>
      <c r="K20" s="4"/>
      <c r="L20" s="4"/>
      <c r="M20" s="4"/>
      <c r="N20" s="2"/>
      <c r="O20" s="4"/>
      <c r="P20" s="4"/>
    </row>
    <row r="21" spans="1:16" x14ac:dyDescent="0.25">
      <c r="A21" s="58" t="s">
        <v>1</v>
      </c>
      <c r="B21" s="54">
        <f>Sadzby!F23</f>
        <v>547.20000000000005</v>
      </c>
      <c r="C21" s="44">
        <f>Sadzby!G23</f>
        <v>328.32</v>
      </c>
      <c r="D21" s="116">
        <f>F4/B21</f>
        <v>118.90432212392209</v>
      </c>
      <c r="E21" s="4">
        <f>G4/C21</f>
        <v>20.983115668927432</v>
      </c>
      <c r="F21" s="44"/>
      <c r="G21" s="1"/>
      <c r="H21" s="1"/>
      <c r="J21" s="4"/>
      <c r="K21" s="4"/>
      <c r="L21" s="4"/>
      <c r="M21" s="4"/>
      <c r="N21" s="142">
        <f>N17+N19</f>
        <v>12.5</v>
      </c>
      <c r="O21" s="4"/>
      <c r="P21" s="4"/>
    </row>
    <row r="22" spans="1:16" x14ac:dyDescent="0.25">
      <c r="A22" s="58" t="s">
        <v>2</v>
      </c>
      <c r="B22" s="54">
        <f>Sadzby!F24</f>
        <v>623.99999999999989</v>
      </c>
      <c r="C22" s="44">
        <f>Sadzby!G24</f>
        <v>374.39999999999992</v>
      </c>
      <c r="D22" s="116">
        <f t="shared" ref="D22:E22" si="0">F5/B22</f>
        <v>230.13286275344115</v>
      </c>
      <c r="E22" s="4">
        <f t="shared" si="0"/>
        <v>40.611681662371971</v>
      </c>
      <c r="F22" s="44"/>
      <c r="G22" s="1"/>
      <c r="H22" s="1"/>
      <c r="J22" s="4"/>
      <c r="K22" s="4"/>
      <c r="L22" s="4"/>
      <c r="M22" s="4"/>
      <c r="N22" s="2"/>
      <c r="O22" s="4"/>
      <c r="P22" s="4"/>
    </row>
    <row r="23" spans="1:16" x14ac:dyDescent="0.25">
      <c r="A23" s="58" t="s">
        <v>3</v>
      </c>
      <c r="B23" s="54">
        <f>Sadzby!F25</f>
        <v>854.4000000000002</v>
      </c>
      <c r="C23" s="44">
        <f>Sadzby!G25</f>
        <v>0</v>
      </c>
      <c r="D23" s="116">
        <f t="shared" ref="D23" si="1">F6/B23</f>
        <v>108.57832036090629</v>
      </c>
      <c r="E23" s="4"/>
      <c r="F23" s="44"/>
      <c r="G23" s="1"/>
      <c r="H23" s="1"/>
      <c r="J23" s="4"/>
      <c r="K23" s="4"/>
      <c r="L23" s="4"/>
      <c r="M23" s="4"/>
      <c r="N23" s="2"/>
      <c r="O23" s="4"/>
      <c r="P23" s="4"/>
    </row>
    <row r="24" spans="1:16" x14ac:dyDescent="0.25">
      <c r="A24" s="58" t="s">
        <v>4</v>
      </c>
      <c r="B24" s="54">
        <f>Sadzby!F26</f>
        <v>710.40000000000009</v>
      </c>
      <c r="C24" s="44">
        <f>Sadzby!G26</f>
        <v>426.24000000000007</v>
      </c>
      <c r="D24" s="116">
        <f t="shared" ref="D24:E24" si="2">F7/B24</f>
        <v>288.72747313562451</v>
      </c>
      <c r="E24" s="4">
        <f t="shared" si="2"/>
        <v>50.951907023933728</v>
      </c>
      <c r="F24" s="44"/>
      <c r="G24" s="1"/>
      <c r="H24" s="1"/>
      <c r="J24" s="4"/>
      <c r="K24" s="4"/>
      <c r="L24" s="4"/>
      <c r="M24" s="4"/>
      <c r="N24" s="2"/>
      <c r="O24" s="4"/>
      <c r="P24" s="4"/>
    </row>
    <row r="25" spans="1:16" x14ac:dyDescent="0.25">
      <c r="A25" s="58" t="s">
        <v>5</v>
      </c>
      <c r="B25" s="54">
        <f>Sadzby!F27</f>
        <v>854.40000000000009</v>
      </c>
      <c r="C25" s="44">
        <f>Sadzby!G27</f>
        <v>0</v>
      </c>
      <c r="D25" s="116">
        <f t="shared" ref="D25" si="3">F8/B25</f>
        <v>11.038174034399121</v>
      </c>
      <c r="E25" s="4"/>
      <c r="F25" s="44"/>
      <c r="G25" s="1"/>
      <c r="H25" s="1"/>
      <c r="J25" s="4"/>
      <c r="K25" s="4"/>
      <c r="L25" s="4"/>
      <c r="M25" s="4"/>
      <c r="N25" s="2"/>
      <c r="O25" s="4"/>
      <c r="P25" s="4"/>
    </row>
    <row r="26" spans="1:16" x14ac:dyDescent="0.25">
      <c r="A26" s="58" t="s">
        <v>6</v>
      </c>
      <c r="B26" s="54">
        <f>Sadzby!F28</f>
        <v>1152</v>
      </c>
      <c r="C26" s="44">
        <f>Sadzby!G28</f>
        <v>0</v>
      </c>
      <c r="D26" s="116">
        <f t="shared" ref="D26" si="4">F9/B26</f>
        <v>12.406285745704928</v>
      </c>
      <c r="E26" s="4"/>
      <c r="F26" s="44"/>
      <c r="G26" s="1"/>
      <c r="H26" s="1"/>
      <c r="J26" s="4"/>
      <c r="K26" s="4"/>
      <c r="L26" s="4"/>
      <c r="M26" s="4"/>
      <c r="N26" s="2"/>
      <c r="O26" s="4"/>
      <c r="P26" s="4"/>
    </row>
    <row r="27" spans="1:16" x14ac:dyDescent="0.25">
      <c r="A27" s="58" t="s">
        <v>7</v>
      </c>
      <c r="B27" s="54">
        <f>Sadzby!F29</f>
        <v>758.40000000000009</v>
      </c>
      <c r="C27" s="44">
        <f>Sadzby!G29</f>
        <v>0</v>
      </c>
      <c r="D27" s="116">
        <f t="shared" ref="D27" si="5">F10/B27</f>
        <v>3.0471579024538418</v>
      </c>
      <c r="E27" s="4"/>
      <c r="F27" s="44"/>
      <c r="G27" s="1"/>
      <c r="H27" s="1"/>
      <c r="J27" s="4"/>
      <c r="K27" s="4"/>
      <c r="L27" s="4"/>
      <c r="M27" s="4"/>
      <c r="N27" s="2"/>
      <c r="O27" s="4"/>
      <c r="P27" s="4"/>
    </row>
    <row r="28" spans="1:16" x14ac:dyDescent="0.25">
      <c r="A28" s="58" t="s">
        <v>8</v>
      </c>
      <c r="B28" s="54">
        <f>Sadzby!F30</f>
        <v>576</v>
      </c>
      <c r="C28" s="44">
        <f>Sadzby!G30</f>
        <v>0</v>
      </c>
      <c r="D28" s="116">
        <f t="shared" ref="D28" si="6">F11/B28</f>
        <v>16.821555359464579</v>
      </c>
      <c r="E28" s="4"/>
      <c r="F28" s="44"/>
      <c r="G28" s="1"/>
      <c r="H28" s="1"/>
      <c r="J28" s="4"/>
      <c r="K28" s="4"/>
      <c r="L28" s="4"/>
      <c r="M28" s="4"/>
      <c r="N28" s="2"/>
      <c r="O28" s="4"/>
      <c r="P28" s="4"/>
    </row>
    <row r="29" spans="1:16" x14ac:dyDescent="0.25">
      <c r="A29" s="58" t="s">
        <v>9</v>
      </c>
      <c r="B29" s="54">
        <f>Sadzby!F31</f>
        <v>681.6</v>
      </c>
      <c r="C29" s="44">
        <f>Sadzby!G31</f>
        <v>408.96</v>
      </c>
      <c r="D29" s="116">
        <f t="shared" ref="D29:E29" si="7">F12/B29</f>
        <v>5.4264682359699616</v>
      </c>
      <c r="E29" s="4">
        <f t="shared" si="7"/>
        <v>0.95761204164175795</v>
      </c>
      <c r="F29" s="44"/>
      <c r="G29" s="1"/>
      <c r="H29" s="1"/>
      <c r="J29" s="4"/>
      <c r="K29" s="4"/>
      <c r="L29" s="4"/>
      <c r="M29" s="4"/>
      <c r="N29" s="2"/>
      <c r="O29" s="4"/>
      <c r="P29" s="4"/>
    </row>
    <row r="30" spans="1:16" x14ac:dyDescent="0.25">
      <c r="A30" s="58" t="s">
        <v>10</v>
      </c>
      <c r="B30" s="54">
        <f>Sadzby!F32</f>
        <v>864.00000000000011</v>
      </c>
      <c r="C30" s="44">
        <f>Sadzby!G32</f>
        <v>518.40000000000009</v>
      </c>
      <c r="D30" s="116">
        <f>F13/B30</f>
        <v>382.66441809093874</v>
      </c>
      <c r="E30" s="4">
        <f t="shared" ref="E30" si="8">G13/C30</f>
        <v>67.529014957224462</v>
      </c>
      <c r="F30" s="44"/>
      <c r="G30" s="1"/>
      <c r="H30" s="1"/>
      <c r="J30" s="4"/>
      <c r="K30" s="4"/>
      <c r="L30" s="4"/>
      <c r="M30" s="4"/>
      <c r="N30" s="2"/>
      <c r="O30" s="4"/>
      <c r="P30" s="4"/>
    </row>
    <row r="31" spans="1:16" x14ac:dyDescent="0.25">
      <c r="D31" s="57">
        <f>SUM(D20:D30)</f>
        <v>1295.3424580191563</v>
      </c>
      <c r="E31" s="57">
        <f>SUM(E20:E30)</f>
        <v>181.03333135409935</v>
      </c>
      <c r="J31" s="57"/>
      <c r="K31" s="57"/>
      <c r="L31" s="4"/>
      <c r="M31" s="4"/>
      <c r="N31" s="4"/>
      <c r="O31" s="4"/>
    </row>
    <row r="32" spans="1:16" x14ac:dyDescent="0.25">
      <c r="D32" s="93">
        <f>SUM(D31:E31)</f>
        <v>1476.3757893732557</v>
      </c>
      <c r="F32" s="4">
        <f>G15/D32</f>
        <v>716.98181783963344</v>
      </c>
      <c r="J32" s="2"/>
      <c r="K32" s="2"/>
      <c r="L32" s="4"/>
      <c r="M32" s="4"/>
      <c r="N32" s="4"/>
    </row>
    <row r="33" spans="1:14" x14ac:dyDescent="0.25">
      <c r="L33" s="4"/>
      <c r="M33" s="4"/>
      <c r="N33" s="4"/>
    </row>
    <row r="34" spans="1:14" x14ac:dyDescent="0.25">
      <c r="L34" s="4"/>
      <c r="M34" s="4"/>
      <c r="N34" s="4"/>
    </row>
    <row r="35" spans="1:14" x14ac:dyDescent="0.25">
      <c r="A35" s="3">
        <f>AP!C22</f>
        <v>2668574.6149897333</v>
      </c>
      <c r="L35" s="4"/>
      <c r="M35" s="4"/>
      <c r="N35" s="4"/>
    </row>
    <row r="36" spans="1:14" ht="30" x14ac:dyDescent="0.25">
      <c r="B36" s="9" t="s">
        <v>114</v>
      </c>
      <c r="C36" s="111" t="s">
        <v>143</v>
      </c>
      <c r="D36" s="113" t="s">
        <v>144</v>
      </c>
      <c r="E36" s="8" t="s">
        <v>120</v>
      </c>
      <c r="F36" s="8" t="s">
        <v>145</v>
      </c>
      <c r="G36" s="8" t="s">
        <v>146</v>
      </c>
      <c r="L36" s="4"/>
      <c r="M36" s="4"/>
      <c r="N36" s="4"/>
    </row>
    <row r="37" spans="1:14" x14ac:dyDescent="0.25">
      <c r="A37" s="58" t="s">
        <v>0</v>
      </c>
      <c r="B37" s="3">
        <f>Sadzby!C37</f>
        <v>0</v>
      </c>
      <c r="C37" s="112">
        <f>C3</f>
        <v>9.7050544608982978E-2</v>
      </c>
      <c r="D37" s="101">
        <f>D3</f>
        <v>0</v>
      </c>
      <c r="E37" s="3">
        <f>(Prehľad!$G$4*AP_výpočet!C37)+(Prehľad!$G$4*AP_výpočet!D37)</f>
        <v>38847.992957169103</v>
      </c>
      <c r="F37" s="44">
        <f>(C37*Prehľad!$G$5)</f>
        <v>220138.62675729158</v>
      </c>
      <c r="G37" s="4">
        <f>(D37*Prehľad!$G$5)</f>
        <v>0</v>
      </c>
      <c r="L37" s="4"/>
      <c r="M37" s="4"/>
      <c r="N37" s="4"/>
    </row>
    <row r="38" spans="1:14" x14ac:dyDescent="0.25">
      <c r="A38" s="58" t="s">
        <v>1</v>
      </c>
      <c r="B38" s="3">
        <f>Sadzby!C38</f>
        <v>6.5082204720841681E-3</v>
      </c>
      <c r="C38" s="112">
        <f t="shared" ref="C38:D38" si="9">C4</f>
        <v>6.1466526680794914E-2</v>
      </c>
      <c r="D38" s="101">
        <f t="shared" si="9"/>
        <v>6.5082204720841681E-3</v>
      </c>
      <c r="E38" s="3">
        <f>(Prehľad!$G$4*AP_výpočet!C38)+(Prehľad!$G$4*AP_výpočet!D38)</f>
        <v>27209.352706877813</v>
      </c>
      <c r="F38" s="44">
        <f>(C38*Prehľad!$G$5)</f>
        <v>139423.81085616469</v>
      </c>
      <c r="G38" s="4">
        <f>(D38*Prehľad!$G$5)</f>
        <v>14762.521149476264</v>
      </c>
      <c r="L38" s="4"/>
      <c r="M38" s="4"/>
      <c r="N38" s="4"/>
    </row>
    <row r="39" spans="1:14" x14ac:dyDescent="0.25">
      <c r="A39" s="58" t="s">
        <v>2</v>
      </c>
      <c r="B39" s="3">
        <f>Sadzby!C39</f>
        <v>1.4364210346523708E-2</v>
      </c>
      <c r="C39" s="112">
        <f t="shared" ref="C39:D39" si="10">C5</f>
        <v>0.13566198660605724</v>
      </c>
      <c r="D39" s="101">
        <f t="shared" si="10"/>
        <v>1.4364210346523708E-2</v>
      </c>
      <c r="E39" s="3">
        <f>(Prehľad!$G$4*AP_výpočet!C39)+(Prehľad!$G$4*AP_výpočet!D39)</f>
        <v>60053.415115666139</v>
      </c>
      <c r="F39" s="44">
        <f>(C39*Prehľad!$G$5)</f>
        <v>307720.51362460136</v>
      </c>
      <c r="G39" s="4">
        <f>(D39*Prehľad!$G$5)</f>
        <v>32582.172030840142</v>
      </c>
      <c r="L39" s="4"/>
      <c r="M39" s="4"/>
      <c r="N39" s="4"/>
    </row>
    <row r="40" spans="1:14" x14ac:dyDescent="0.25">
      <c r="A40" s="58" t="s">
        <v>3</v>
      </c>
      <c r="B40" s="3">
        <f>Sadzby!C40</f>
        <v>0</v>
      </c>
      <c r="C40" s="112">
        <f t="shared" ref="C40:D40" si="11">C6</f>
        <v>8.7639381041302061E-2</v>
      </c>
      <c r="D40" s="101">
        <f t="shared" si="11"/>
        <v>0</v>
      </c>
      <c r="E40" s="3">
        <f>(Prehľad!$G$4*AP_výpočet!C40)+(Prehľad!$G$4*AP_výpočet!D40)</f>
        <v>35080.834128034672</v>
      </c>
      <c r="F40" s="44">
        <f>(C40*Prehľad!$G$5)</f>
        <v>198791.39339219651</v>
      </c>
      <c r="G40" s="4">
        <f>(D40*Prehľad!$G$5)</f>
        <v>0</v>
      </c>
      <c r="L40" s="4"/>
      <c r="M40" s="4"/>
      <c r="N40" s="4"/>
    </row>
    <row r="41" spans="1:14" x14ac:dyDescent="0.25">
      <c r="A41" s="58" t="s">
        <v>4</v>
      </c>
      <c r="B41" s="3">
        <f>Sadzby!C41</f>
        <v>2.0516798322607856E-2</v>
      </c>
      <c r="C41" s="112">
        <f t="shared" ref="C41:D41" si="12">C7</f>
        <v>0.19376976193574089</v>
      </c>
      <c r="D41" s="101">
        <f t="shared" si="12"/>
        <v>2.0516798322607856E-2</v>
      </c>
      <c r="E41" s="3">
        <f>(Prehľad!$G$4*AP_výpočet!C41)+(Prehľad!$G$4*AP_výpočet!D41)</f>
        <v>85775.951255834589</v>
      </c>
      <c r="F41" s="44">
        <f>(C41*Prehľad!$G$5)</f>
        <v>439525.70767617371</v>
      </c>
      <c r="G41" s="4">
        <f>(D41*Prehľad!$G$5)</f>
        <v>46538.016106888979</v>
      </c>
      <c r="L41" s="4"/>
      <c r="M41" s="4"/>
      <c r="N41" s="4"/>
    </row>
    <row r="42" spans="1:14" x14ac:dyDescent="0.25">
      <c r="A42" s="58" t="s">
        <v>5</v>
      </c>
      <c r="B42" s="3">
        <f>Sadzby!C42</f>
        <v>0</v>
      </c>
      <c r="C42" s="112">
        <f t="shared" ref="C42:D42" si="13">C8</f>
        <v>8.9095017954359205E-3</v>
      </c>
      <c r="D42" s="101">
        <f t="shared" si="13"/>
        <v>0</v>
      </c>
      <c r="E42" s="3">
        <f>(Prehľad!$G$4*AP_výpočet!C42)+(Prehľad!$G$4*AP_výpočet!D42)</f>
        <v>3566.350548525862</v>
      </c>
      <c r="F42" s="44">
        <f>(C42*Prehľad!$G$5)</f>
        <v>20209.319774979889</v>
      </c>
      <c r="G42" s="4">
        <f>(D42*Prehľad!$G$5)</f>
        <v>0</v>
      </c>
      <c r="L42" s="4"/>
      <c r="M42" s="4"/>
      <c r="N42" s="4"/>
    </row>
    <row r="43" spans="1:14" x14ac:dyDescent="0.25">
      <c r="A43" s="58" t="s">
        <v>6</v>
      </c>
      <c r="B43" s="3">
        <f>Sadzby!C43</f>
        <v>0</v>
      </c>
      <c r="C43" s="112">
        <f t="shared" ref="C43:D43" si="14">C9</f>
        <v>1.3501723246256427E-2</v>
      </c>
      <c r="D43" s="101">
        <f t="shared" si="14"/>
        <v>0</v>
      </c>
      <c r="E43" s="3">
        <f>(Prehľad!$G$4*AP_výpočet!C43)+(Prehľad!$G$4*AP_výpočet!D43)</f>
        <v>5404.5533870365007</v>
      </c>
      <c r="F43" s="44">
        <f>(C43*Prehľad!$G$5)</f>
        <v>30625.802526540177</v>
      </c>
      <c r="G43" s="4">
        <f>(D43*Prehľad!$G$5)</f>
        <v>0</v>
      </c>
      <c r="L43" s="4"/>
      <c r="M43" s="4"/>
      <c r="N43" s="4"/>
    </row>
    <row r="44" spans="1:14" x14ac:dyDescent="0.25">
      <c r="A44" s="58" t="s">
        <v>7</v>
      </c>
      <c r="B44" s="3">
        <f>Sadzby!C44</f>
        <v>0</v>
      </c>
      <c r="C44" s="112">
        <f t="shared" ref="C44:D44" si="15">C10</f>
        <v>2.183173378707545E-3</v>
      </c>
      <c r="D44" s="101">
        <f t="shared" si="15"/>
        <v>0</v>
      </c>
      <c r="E44" s="3">
        <f>(Prehľad!$G$4*AP_výpočet!C44)+(Prehľad!$G$4*AP_výpočet!D44)</f>
        <v>873.89415878104819</v>
      </c>
      <c r="F44" s="44">
        <f>(C44*Prehľad!$G$5)</f>
        <v>4952.0668997592738</v>
      </c>
      <c r="G44" s="4">
        <f>(D44*Prehľad!$G$5)</f>
        <v>0</v>
      </c>
      <c r="L44" s="4"/>
      <c r="M44" s="4"/>
      <c r="N44" s="4"/>
    </row>
    <row r="45" spans="1:14" x14ac:dyDescent="0.25">
      <c r="A45" s="58" t="s">
        <v>8</v>
      </c>
      <c r="B45" s="3">
        <f>Sadzby!C45</f>
        <v>0</v>
      </c>
      <c r="C45" s="112">
        <f t="shared" ref="C45:D45" si="16">C11</f>
        <v>9.1534239050435184E-3</v>
      </c>
      <c r="D45" s="101">
        <f t="shared" si="16"/>
        <v>0</v>
      </c>
      <c r="E45" s="3">
        <f>(Prehľad!$G$4*AP_výpočet!C45)+(Prehľad!$G$4*AP_výpočet!D45)</f>
        <v>3663.9892009858991</v>
      </c>
      <c r="F45" s="44">
        <f>(C45*Prehľad!$G$5)</f>
        <v>20762.605472253428</v>
      </c>
      <c r="G45" s="4">
        <f>(D45*Prehľad!$G$5)</f>
        <v>0</v>
      </c>
      <c r="L45" s="4"/>
      <c r="M45" s="4"/>
      <c r="N45" s="4"/>
    </row>
    <row r="46" spans="1:14" x14ac:dyDescent="0.25">
      <c r="A46" s="58" t="s">
        <v>9</v>
      </c>
      <c r="B46" s="3">
        <f>Sadzby!C46</f>
        <v>3.6996903224174497E-4</v>
      </c>
      <c r="C46" s="112">
        <f t="shared" ref="C46:D46" si="17">C12</f>
        <v>3.494151971172036E-3</v>
      </c>
      <c r="D46" s="101">
        <f t="shared" si="17"/>
        <v>3.6996903224174497E-4</v>
      </c>
      <c r="E46" s="3">
        <f>(Prehľad!$G$4*AP_výpočet!C46)+(Prehľad!$G$4*AP_výpočet!D46)</f>
        <v>1546.7542828438006</v>
      </c>
      <c r="F46" s="44">
        <f>(C46*Prehľad!$G$5)</f>
        <v>7925.7444635081292</v>
      </c>
      <c r="G46" s="4">
        <f>(D46*Prehľad!$G$5)</f>
        <v>839.19647260674299</v>
      </c>
      <c r="L46" s="4"/>
      <c r="M46" s="4"/>
      <c r="N46" s="4"/>
    </row>
    <row r="47" spans="1:14" x14ac:dyDescent="0.25">
      <c r="A47" s="58" t="s">
        <v>10</v>
      </c>
      <c r="B47" s="3">
        <f>Sadzby!C47</f>
        <v>3.3071230211845097E-2</v>
      </c>
      <c r="C47" s="112">
        <f t="shared" ref="C47:D47" si="18">C13</f>
        <v>0.31233939644520375</v>
      </c>
      <c r="D47" s="101">
        <f t="shared" si="18"/>
        <v>3.3071230211845097E-2</v>
      </c>
      <c r="E47" s="3">
        <f>(Prehľad!$G$4*AP_výpočet!C47)+(Prehľad!$G$4*AP_výpočet!D47)</f>
        <v>138263.10450670449</v>
      </c>
      <c r="F47" s="44">
        <f>(C47*Prehľad!$G$5)</f>
        <v>708475.83692265255</v>
      </c>
      <c r="G47" s="4">
        <f>(D47*Prehľad!$G$5)</f>
        <v>75015.088615339671</v>
      </c>
      <c r="L47" s="4"/>
      <c r="M47" s="4"/>
      <c r="N47" s="4"/>
    </row>
    <row r="48" spans="1:14" x14ac:dyDescent="0.25">
      <c r="A48" s="59"/>
      <c r="E48" s="55">
        <f>SUM(E37:E47)</f>
        <v>400286.19224845991</v>
      </c>
      <c r="F48" s="55">
        <f>SUM(F37:F47)</f>
        <v>2098551.4283661209</v>
      </c>
      <c r="G48" s="5">
        <f>SUM(G37:G47)</f>
        <v>169736.99437515181</v>
      </c>
      <c r="L48" s="4"/>
      <c r="M48" s="4"/>
      <c r="N48" s="4"/>
    </row>
    <row r="49" spans="1:14" x14ac:dyDescent="0.25">
      <c r="A49" s="59"/>
      <c r="C49" s="41">
        <f>SUM(C37:D47)</f>
        <v>0.99999999999999989</v>
      </c>
      <c r="D49" s="41"/>
      <c r="E49" s="44">
        <f>SUM(E48:G48)</f>
        <v>2668574.6149897324</v>
      </c>
      <c r="F49" s="44"/>
      <c r="G49" s="44">
        <f>SUM(F48:G48)</f>
        <v>2268288.4227412725</v>
      </c>
      <c r="L49" s="4"/>
      <c r="M49" s="4"/>
      <c r="N49" s="4"/>
    </row>
    <row r="50" spans="1:14" x14ac:dyDescent="0.25">
      <c r="A50" s="59"/>
      <c r="L50" s="4"/>
      <c r="M50" s="4"/>
      <c r="N50" s="4"/>
    </row>
    <row r="51" spans="1:14" ht="30" x14ac:dyDescent="0.25">
      <c r="A51" s="59"/>
      <c r="B51" s="115" t="s">
        <v>106</v>
      </c>
      <c r="C51" s="114" t="s">
        <v>109</v>
      </c>
      <c r="D51" s="90" t="s">
        <v>147</v>
      </c>
      <c r="E51" s="90" t="s">
        <v>148</v>
      </c>
      <c r="F51" s="114"/>
      <c r="G51" s="88"/>
      <c r="H51" s="50"/>
      <c r="L51" s="4"/>
      <c r="M51" s="4"/>
      <c r="N51" s="4"/>
    </row>
    <row r="52" spans="1:14" x14ac:dyDescent="0.25">
      <c r="A52" s="59"/>
      <c r="B52" s="89" t="s">
        <v>107</v>
      </c>
      <c r="C52" s="60" t="s">
        <v>110</v>
      </c>
      <c r="D52" s="53" t="s">
        <v>14</v>
      </c>
      <c r="E52" s="53" t="s">
        <v>15</v>
      </c>
      <c r="F52" s="60"/>
      <c r="J52" s="8"/>
      <c r="K52" s="8"/>
      <c r="L52" s="4"/>
      <c r="M52" s="4"/>
      <c r="N52" s="4"/>
    </row>
    <row r="53" spans="1:14" x14ac:dyDescent="0.25">
      <c r="A53" s="59"/>
      <c r="B53" s="61">
        <f>Sadzby!I36</f>
        <v>0</v>
      </c>
      <c r="C53" s="62">
        <f>Sadzby!L36</f>
        <v>0</v>
      </c>
      <c r="D53" s="61"/>
      <c r="F53" s="62"/>
      <c r="G53" s="45"/>
      <c r="H53" s="45"/>
      <c r="J53" s="9"/>
      <c r="K53" s="9"/>
      <c r="L53" s="4"/>
      <c r="M53" s="4"/>
      <c r="N53" s="4"/>
    </row>
    <row r="54" spans="1:14" x14ac:dyDescent="0.25">
      <c r="A54" s="58" t="s">
        <v>0</v>
      </c>
      <c r="B54" s="54">
        <f>B20</f>
        <v>873.6</v>
      </c>
      <c r="C54" s="44">
        <f>C20</f>
        <v>0</v>
      </c>
      <c r="D54" s="116">
        <f>F37/B54</f>
        <v>251.99018630642351</v>
      </c>
      <c r="E54" s="4"/>
      <c r="F54" s="44"/>
      <c r="G54" s="1"/>
      <c r="H54" s="1"/>
      <c r="J54" s="4"/>
      <c r="K54" s="4"/>
      <c r="L54" s="4"/>
      <c r="M54" s="4"/>
      <c r="N54" s="4"/>
    </row>
    <row r="55" spans="1:14" x14ac:dyDescent="0.25">
      <c r="A55" s="58" t="s">
        <v>1</v>
      </c>
      <c r="B55" s="54">
        <f t="shared" ref="B55:C55" si="19">B21</f>
        <v>547.20000000000005</v>
      </c>
      <c r="C55" s="44">
        <f t="shared" si="19"/>
        <v>328.32</v>
      </c>
      <c r="D55" s="116">
        <f t="shared" ref="D55:D64" si="20">F38/B55</f>
        <v>254.79497597983311</v>
      </c>
      <c r="E55" s="4">
        <f t="shared" ref="E55:E56" si="21">G38/C55</f>
        <v>44.963819290558796</v>
      </c>
      <c r="F55" s="44"/>
      <c r="G55" s="1"/>
      <c r="H55" s="1"/>
      <c r="J55" s="4"/>
      <c r="K55" s="4"/>
      <c r="L55" s="4"/>
      <c r="M55" s="4"/>
      <c r="N55" s="4"/>
    </row>
    <row r="56" spans="1:14" x14ac:dyDescent="0.25">
      <c r="A56" s="58" t="s">
        <v>2</v>
      </c>
      <c r="B56" s="54">
        <f t="shared" ref="B56:C56" si="22">B22</f>
        <v>623.99999999999989</v>
      </c>
      <c r="C56" s="44">
        <f t="shared" si="22"/>
        <v>374.39999999999992</v>
      </c>
      <c r="D56" s="116">
        <f t="shared" si="20"/>
        <v>493.14184875737408</v>
      </c>
      <c r="E56" s="4">
        <f t="shared" si="21"/>
        <v>87.02503213365425</v>
      </c>
      <c r="F56" s="44"/>
      <c r="G56" s="1"/>
      <c r="H56" s="1"/>
      <c r="J56" s="4"/>
      <c r="K56" s="4"/>
      <c r="L56" s="4"/>
      <c r="M56" s="4"/>
      <c r="N56" s="4"/>
    </row>
    <row r="57" spans="1:14" x14ac:dyDescent="0.25">
      <c r="A57" s="58" t="s">
        <v>3</v>
      </c>
      <c r="B57" s="54">
        <f t="shared" ref="B57:C57" si="23">B23</f>
        <v>854.4000000000002</v>
      </c>
      <c r="C57" s="44">
        <f t="shared" si="23"/>
        <v>0</v>
      </c>
      <c r="D57" s="116">
        <f t="shared" si="20"/>
        <v>232.66782934479923</v>
      </c>
      <c r="E57" s="4"/>
      <c r="F57" s="44"/>
      <c r="G57" s="1"/>
      <c r="H57" s="1"/>
      <c r="J57" s="4"/>
      <c r="K57" s="4"/>
      <c r="L57" s="4"/>
      <c r="M57" s="4"/>
      <c r="N57" s="4"/>
    </row>
    <row r="58" spans="1:14" x14ac:dyDescent="0.25">
      <c r="A58" s="58" t="s">
        <v>4</v>
      </c>
      <c r="B58" s="54">
        <f t="shared" ref="B58:C58" si="24">B24</f>
        <v>710.40000000000009</v>
      </c>
      <c r="C58" s="44">
        <f t="shared" si="24"/>
        <v>426.24000000000007</v>
      </c>
      <c r="D58" s="116">
        <f t="shared" si="20"/>
        <v>618.70172814776697</v>
      </c>
      <c r="E58" s="4">
        <f t="shared" ref="E58" si="25">G41/C58</f>
        <v>109.18265790842946</v>
      </c>
      <c r="F58" s="44"/>
      <c r="G58" s="1"/>
      <c r="H58" s="1"/>
      <c r="J58" s="4"/>
      <c r="K58" s="4"/>
      <c r="L58" s="4"/>
      <c r="M58" s="4"/>
      <c r="N58" s="4"/>
    </row>
    <row r="59" spans="1:14" x14ac:dyDescent="0.25">
      <c r="A59" s="58" t="s">
        <v>5</v>
      </c>
      <c r="B59" s="54">
        <f t="shared" ref="B59:C59" si="26">B25</f>
        <v>854.40000000000009</v>
      </c>
      <c r="C59" s="44">
        <f t="shared" si="26"/>
        <v>0</v>
      </c>
      <c r="D59" s="116">
        <f t="shared" si="20"/>
        <v>23.653230073712415</v>
      </c>
      <c r="E59" s="4"/>
      <c r="F59" s="44"/>
      <c r="G59" s="1"/>
      <c r="H59" s="1"/>
      <c r="J59" s="4"/>
      <c r="K59" s="4"/>
      <c r="L59" s="4"/>
      <c r="M59" s="4"/>
      <c r="N59" s="4"/>
    </row>
    <row r="60" spans="1:14" x14ac:dyDescent="0.25">
      <c r="A60" s="58" t="s">
        <v>6</v>
      </c>
      <c r="B60" s="54">
        <f t="shared" ref="B60:C60" si="27">B26</f>
        <v>1152</v>
      </c>
      <c r="C60" s="44">
        <f t="shared" si="27"/>
        <v>0</v>
      </c>
      <c r="D60" s="116">
        <f t="shared" si="20"/>
        <v>26.584898026510572</v>
      </c>
      <c r="E60" s="4"/>
      <c r="F60" s="44"/>
      <c r="G60" s="1"/>
      <c r="H60" s="1"/>
      <c r="J60" s="4"/>
      <c r="K60" s="4"/>
      <c r="L60" s="4"/>
      <c r="M60" s="4"/>
      <c r="N60" s="4"/>
    </row>
    <row r="61" spans="1:14" x14ac:dyDescent="0.25">
      <c r="A61" s="58" t="s">
        <v>7</v>
      </c>
      <c r="B61" s="54">
        <f t="shared" ref="B61:C61" si="28">B27</f>
        <v>758.40000000000009</v>
      </c>
      <c r="C61" s="44">
        <f t="shared" si="28"/>
        <v>0</v>
      </c>
      <c r="D61" s="116">
        <f t="shared" si="20"/>
        <v>6.5296240766868054</v>
      </c>
      <c r="E61" s="4"/>
      <c r="F61" s="44"/>
      <c r="G61" s="1"/>
      <c r="H61" s="1"/>
      <c r="J61" s="4"/>
      <c r="K61" s="4"/>
      <c r="L61" s="4"/>
      <c r="M61" s="4"/>
      <c r="N61" s="4"/>
    </row>
    <row r="62" spans="1:14" x14ac:dyDescent="0.25">
      <c r="A62" s="58" t="s">
        <v>8</v>
      </c>
      <c r="B62" s="54">
        <f t="shared" ref="B62:C62" si="29">B28</f>
        <v>576</v>
      </c>
      <c r="C62" s="44">
        <f t="shared" si="29"/>
        <v>0</v>
      </c>
      <c r="D62" s="116">
        <f t="shared" si="20"/>
        <v>36.046190055995538</v>
      </c>
      <c r="E62" s="4"/>
      <c r="F62" s="44"/>
      <c r="G62" s="1"/>
      <c r="H62" s="1"/>
      <c r="J62" s="4"/>
      <c r="K62" s="4"/>
      <c r="L62" s="4"/>
      <c r="M62" s="4"/>
      <c r="N62" s="4"/>
    </row>
    <row r="63" spans="1:14" x14ac:dyDescent="0.25">
      <c r="A63" s="58" t="s">
        <v>9</v>
      </c>
      <c r="B63" s="54">
        <f t="shared" ref="B63:C63" si="30">B29</f>
        <v>681.6</v>
      </c>
      <c r="C63" s="44">
        <f t="shared" si="30"/>
        <v>408.96</v>
      </c>
      <c r="D63" s="116">
        <f t="shared" si="20"/>
        <v>11.628146219935635</v>
      </c>
      <c r="E63" s="4">
        <f t="shared" ref="E63:E64" si="31">G46/C63</f>
        <v>2.052025803518053</v>
      </c>
      <c r="F63" s="44"/>
      <c r="G63" s="1"/>
      <c r="H63" s="1"/>
      <c r="J63" s="4"/>
      <c r="K63" s="4"/>
      <c r="L63" s="4"/>
      <c r="M63" s="4"/>
      <c r="N63" s="4"/>
    </row>
    <row r="64" spans="1:14" x14ac:dyDescent="0.25">
      <c r="A64" s="58" t="s">
        <v>10</v>
      </c>
      <c r="B64" s="54">
        <f t="shared" ref="B64:C64" si="32">B30</f>
        <v>864.00000000000011</v>
      </c>
      <c r="C64" s="44">
        <f t="shared" si="32"/>
        <v>518.40000000000009</v>
      </c>
      <c r="D64" s="116">
        <f t="shared" si="20"/>
        <v>819.99518162344032</v>
      </c>
      <c r="E64" s="4">
        <f t="shared" si="31"/>
        <v>144.70503205119533</v>
      </c>
      <c r="F64" s="44"/>
      <c r="G64" s="1"/>
      <c r="H64" s="1"/>
      <c r="J64" s="4"/>
      <c r="K64" s="4"/>
      <c r="L64" s="4"/>
      <c r="M64" s="4"/>
      <c r="N64" s="4"/>
    </row>
    <row r="65" spans="1:14" x14ac:dyDescent="0.25">
      <c r="D65" s="57">
        <f>SUM(D54:D64)</f>
        <v>2775.7338386124779</v>
      </c>
      <c r="E65" s="57">
        <f>SUM(E54:E64)</f>
        <v>387.9285671873559</v>
      </c>
      <c r="J65" s="57"/>
      <c r="K65" s="57"/>
      <c r="L65" s="4"/>
      <c r="M65" s="4"/>
      <c r="N65" s="4"/>
    </row>
    <row r="66" spans="1:14" x14ac:dyDescent="0.25">
      <c r="D66" s="93">
        <f>SUM(D65:E65)</f>
        <v>3163.6624057998338</v>
      </c>
      <c r="F66" s="4">
        <f>G49/D66</f>
        <v>716.98181783963332</v>
      </c>
      <c r="J66" s="2"/>
      <c r="K66" s="2"/>
      <c r="L66" s="4"/>
      <c r="M66" s="4"/>
      <c r="N66" s="4"/>
    </row>
    <row r="67" spans="1:14" x14ac:dyDescent="0.25">
      <c r="L67" s="4"/>
      <c r="M67" s="4"/>
      <c r="N67" s="4"/>
    </row>
    <row r="68" spans="1:14" x14ac:dyDescent="0.25">
      <c r="L68" s="4"/>
      <c r="M68" s="4"/>
      <c r="N68" s="4"/>
    </row>
    <row r="69" spans="1:14" x14ac:dyDescent="0.25">
      <c r="A69" s="3">
        <f>AP!C23</f>
        <v>4151116.0677618068</v>
      </c>
      <c r="L69" s="4"/>
      <c r="M69" s="4"/>
      <c r="N69" s="4"/>
    </row>
    <row r="70" spans="1:14" ht="30" x14ac:dyDescent="0.25">
      <c r="B70" s="9" t="s">
        <v>114</v>
      </c>
      <c r="C70" s="111" t="s">
        <v>143</v>
      </c>
      <c r="D70" s="113" t="s">
        <v>144</v>
      </c>
      <c r="E70" s="8" t="s">
        <v>120</v>
      </c>
      <c r="F70" s="8" t="s">
        <v>145</v>
      </c>
      <c r="G70" s="8" t="s">
        <v>146</v>
      </c>
      <c r="L70" s="4"/>
      <c r="M70" s="4"/>
      <c r="N70" s="4"/>
    </row>
    <row r="71" spans="1:14" x14ac:dyDescent="0.25">
      <c r="A71" s="58" t="s">
        <v>0</v>
      </c>
      <c r="B71" s="3">
        <f>Sadzby!C71</f>
        <v>0</v>
      </c>
      <c r="C71" s="112">
        <f>C37</f>
        <v>9.7050544608982978E-2</v>
      </c>
      <c r="D71" s="101">
        <f>D37</f>
        <v>0</v>
      </c>
      <c r="E71" s="3">
        <f>(Prehľad!$H$4*AP_výpočet!C71)+(Prehľad!$H$4*AP_výpočet!D71)</f>
        <v>60430.211266707483</v>
      </c>
      <c r="F71" s="44">
        <f>(C71*Prehľad!$H$5)</f>
        <v>342437.86384467577</v>
      </c>
      <c r="G71" s="4">
        <f>(D71*Prehľad!$H$5)</f>
        <v>0</v>
      </c>
      <c r="L71" s="4"/>
      <c r="M71" s="4"/>
      <c r="N71" s="4"/>
    </row>
    <row r="72" spans="1:14" x14ac:dyDescent="0.25">
      <c r="A72" s="58" t="s">
        <v>1</v>
      </c>
      <c r="B72" s="3">
        <f>Sadzby!C72</f>
        <v>0</v>
      </c>
      <c r="C72" s="112">
        <f t="shared" ref="C72:D72" si="33">C38</f>
        <v>6.1466526680794914E-2</v>
      </c>
      <c r="D72" s="101">
        <f t="shared" si="33"/>
        <v>6.5082204720841681E-3</v>
      </c>
      <c r="E72" s="3">
        <f>(Prehľad!$H$4*AP_výpočet!C72)+(Prehľad!$H$4*AP_výpočet!D72)</f>
        <v>42325.659766254372</v>
      </c>
      <c r="F72" s="44">
        <f>(C72*Prehľad!$H$5)</f>
        <v>216881.48355403394</v>
      </c>
      <c r="G72" s="4">
        <f>(D72*Prehľad!$H$5)</f>
        <v>22963.921788074182</v>
      </c>
      <c r="L72" s="4"/>
      <c r="M72" s="4"/>
      <c r="N72" s="4"/>
    </row>
    <row r="73" spans="1:14" x14ac:dyDescent="0.25">
      <c r="A73" s="58" t="s">
        <v>2</v>
      </c>
      <c r="B73" s="3">
        <f>Sadzby!C73</f>
        <v>0</v>
      </c>
      <c r="C73" s="112">
        <f t="shared" ref="C73:D73" si="34">C39</f>
        <v>0.13566198660605724</v>
      </c>
      <c r="D73" s="101">
        <f t="shared" si="34"/>
        <v>1.4364210346523708E-2</v>
      </c>
      <c r="E73" s="3">
        <f>(Prehľad!$H$4*AP_výpočet!C73)+(Prehľad!$H$4*AP_výpočet!D73)</f>
        <v>93416.423513258429</v>
      </c>
      <c r="F73" s="44">
        <f>(C73*Prehľad!$H$5)</f>
        <v>478676.35452715756</v>
      </c>
      <c r="G73" s="4">
        <f>(D73*Prehľad!$H$5)</f>
        <v>50683.37871464021</v>
      </c>
      <c r="L73" s="4"/>
      <c r="M73" s="4"/>
      <c r="N73" s="4"/>
    </row>
    <row r="74" spans="1:14" x14ac:dyDescent="0.25">
      <c r="A74" s="58" t="s">
        <v>3</v>
      </c>
      <c r="B74" s="3">
        <f>Sadzby!C74</f>
        <v>0</v>
      </c>
      <c r="C74" s="112">
        <f t="shared" ref="C74:D74" si="35">C40</f>
        <v>8.7639381041302061E-2</v>
      </c>
      <c r="D74" s="101">
        <f t="shared" si="35"/>
        <v>0</v>
      </c>
      <c r="E74" s="3">
        <f>(Prehľad!$H$4*AP_výpočet!C74)+(Prehľad!$H$4*AP_výpočet!D74)</f>
        <v>54570.186421387269</v>
      </c>
      <c r="F74" s="44">
        <f>(C74*Prehľad!$H$5)</f>
        <v>309231.0563878612</v>
      </c>
      <c r="G74" s="4">
        <f>(D74*Prehľad!$H$5)</f>
        <v>0</v>
      </c>
      <c r="L74" s="4"/>
      <c r="M74" s="4"/>
      <c r="N74" s="4"/>
    </row>
    <row r="75" spans="1:14" x14ac:dyDescent="0.25">
      <c r="A75" s="58" t="s">
        <v>4</v>
      </c>
      <c r="B75" s="3">
        <f>Sadzby!C75</f>
        <v>0</v>
      </c>
      <c r="C75" s="112">
        <f t="shared" ref="C75:D75" si="36">C41</f>
        <v>0.19376976193574089</v>
      </c>
      <c r="D75" s="101">
        <f t="shared" si="36"/>
        <v>2.0516798322607856E-2</v>
      </c>
      <c r="E75" s="3">
        <f>(Prehľad!$H$4*AP_výpočet!C75)+(Prehľad!$H$4*AP_výpočet!D75)</f>
        <v>133429.25750907601</v>
      </c>
      <c r="F75" s="44">
        <f>(C75*Prehľad!$H$5)</f>
        <v>683706.656385159</v>
      </c>
      <c r="G75" s="4">
        <f>(D75*Prehľad!$H$5)</f>
        <v>72392.469499605068</v>
      </c>
      <c r="L75" s="4"/>
      <c r="M75" s="4"/>
      <c r="N75" s="4"/>
    </row>
    <row r="76" spans="1:14" x14ac:dyDescent="0.25">
      <c r="A76" s="58" t="s">
        <v>5</v>
      </c>
      <c r="B76" s="3">
        <f>Sadzby!C76</f>
        <v>0</v>
      </c>
      <c r="C76" s="112">
        <f t="shared" ref="C76:D76" si="37">C42</f>
        <v>8.9095017954359205E-3</v>
      </c>
      <c r="D76" s="101">
        <f t="shared" si="37"/>
        <v>0</v>
      </c>
      <c r="E76" s="3">
        <f>(Prehľad!$H$4*AP_výpočet!C76)+(Prehľad!$H$4*AP_výpočet!D76)</f>
        <v>5547.6564088180075</v>
      </c>
      <c r="F76" s="44">
        <f>(C76*Prehľad!$H$5)</f>
        <v>31436.719649968709</v>
      </c>
      <c r="G76" s="4">
        <f>(D76*Prehľad!$H$5)</f>
        <v>0</v>
      </c>
      <c r="L76" s="4"/>
      <c r="M76" s="4"/>
      <c r="N76" s="4"/>
    </row>
    <row r="77" spans="1:14" x14ac:dyDescent="0.25">
      <c r="A77" s="58" t="s">
        <v>6</v>
      </c>
      <c r="B77" s="3">
        <f>Sadzby!C77</f>
        <v>0</v>
      </c>
      <c r="C77" s="112">
        <f t="shared" ref="C77:D77" si="38">C43</f>
        <v>1.3501723246256427E-2</v>
      </c>
      <c r="D77" s="101">
        <f t="shared" si="38"/>
        <v>0</v>
      </c>
      <c r="E77" s="3">
        <f>(Prehľad!$H$4*AP_výpočet!C77)+(Prehľad!$H$4*AP_výpočet!D77)</f>
        <v>8407.0830465012241</v>
      </c>
      <c r="F77" s="44">
        <f>(C77*Prehľad!$H$5)</f>
        <v>47640.137263506935</v>
      </c>
      <c r="G77" s="4">
        <f>(D77*Prehľad!$H$5)</f>
        <v>0</v>
      </c>
      <c r="L77" s="4"/>
      <c r="M77" s="4"/>
      <c r="N77" s="4"/>
    </row>
    <row r="78" spans="1:14" x14ac:dyDescent="0.25">
      <c r="A78" s="58" t="s">
        <v>7</v>
      </c>
      <c r="B78" s="3">
        <f>Sadzby!C78</f>
        <v>0</v>
      </c>
      <c r="C78" s="112">
        <f t="shared" ref="C78:D78" si="39">C44</f>
        <v>2.183173378707545E-3</v>
      </c>
      <c r="D78" s="101">
        <f t="shared" si="39"/>
        <v>0</v>
      </c>
      <c r="E78" s="3">
        <f>(Prehľad!$H$4*AP_výpočet!C78)+(Prehľad!$H$4*AP_výpočet!D78)</f>
        <v>1359.3909136594084</v>
      </c>
      <c r="F78" s="44">
        <f>(C78*Prehľad!$H$5)</f>
        <v>7703.2151774033136</v>
      </c>
      <c r="G78" s="4">
        <f>(D78*Prehľad!$H$5)</f>
        <v>0</v>
      </c>
      <c r="L78" s="4"/>
      <c r="M78" s="4"/>
      <c r="N78" s="4"/>
    </row>
    <row r="79" spans="1:14" x14ac:dyDescent="0.25">
      <c r="A79" s="58" t="s">
        <v>8</v>
      </c>
      <c r="B79" s="3">
        <f>Sadzby!C79</f>
        <v>0</v>
      </c>
      <c r="C79" s="112">
        <f t="shared" ref="C79:D79" si="40">C45</f>
        <v>9.1534239050435184E-3</v>
      </c>
      <c r="D79" s="101">
        <f t="shared" si="40"/>
        <v>0</v>
      </c>
      <c r="E79" s="3">
        <f>(Prehľad!$H$4*AP_výpočet!C79)+(Prehľad!$H$4*AP_výpočet!D79)</f>
        <v>5699.5387570891762</v>
      </c>
      <c r="F79" s="44">
        <f>(C79*Prehľad!$H$5)</f>
        <v>32297.386290171995</v>
      </c>
      <c r="G79" s="4">
        <f>(D79*Prehľad!$H$5)</f>
        <v>0</v>
      </c>
      <c r="L79" s="4"/>
      <c r="M79" s="4"/>
      <c r="N79" s="4"/>
    </row>
    <row r="80" spans="1:14" x14ac:dyDescent="0.25">
      <c r="A80" s="58" t="s">
        <v>9</v>
      </c>
      <c r="B80" s="3">
        <f>Sadzby!C80</f>
        <v>0</v>
      </c>
      <c r="C80" s="112">
        <f t="shared" ref="C80:D80" si="41">C46</f>
        <v>3.494151971172036E-3</v>
      </c>
      <c r="D80" s="101">
        <f t="shared" si="41"/>
        <v>3.6996903224174497E-4</v>
      </c>
      <c r="E80" s="3">
        <f>(Prehľad!$H$4*AP_výpočet!C80)+(Prehľad!$H$4*AP_výpočet!D80)</f>
        <v>2406.0622177570231</v>
      </c>
      <c r="F80" s="44">
        <f>(C80*Prehľad!$H$5)</f>
        <v>12328.935832123754</v>
      </c>
      <c r="G80" s="4">
        <f>(D80*Prehľad!$H$5)</f>
        <v>1305.4167351660444</v>
      </c>
      <c r="L80" s="4"/>
      <c r="M80" s="4"/>
      <c r="N80" s="4"/>
    </row>
    <row r="81" spans="1:14" x14ac:dyDescent="0.25">
      <c r="A81" s="58" t="s">
        <v>10</v>
      </c>
      <c r="B81" s="3">
        <f>Sadzby!C81</f>
        <v>0</v>
      </c>
      <c r="C81" s="112">
        <f t="shared" ref="C81:D81" si="42">C47</f>
        <v>0.31233939644520375</v>
      </c>
      <c r="D81" s="101">
        <f t="shared" si="42"/>
        <v>3.3071230211845097E-2</v>
      </c>
      <c r="E81" s="3">
        <f>(Prehľad!$H$4*AP_výpočet!C81)+(Prehľad!$H$4*AP_výpočet!D81)</f>
        <v>215075.94034376252</v>
      </c>
      <c r="F81" s="44">
        <f>(C81*Prehľad!$H$5)</f>
        <v>1102073.5241019037</v>
      </c>
      <c r="G81" s="4">
        <f>(D81*Prehľad!$H$5)</f>
        <v>116690.1378460839</v>
      </c>
      <c r="L81" s="4"/>
      <c r="M81" s="4"/>
      <c r="N81" s="4"/>
    </row>
    <row r="82" spans="1:14" x14ac:dyDescent="0.25">
      <c r="A82" s="59"/>
      <c r="E82" s="55">
        <f>SUM(E71:E81)</f>
        <v>622667.41016427102</v>
      </c>
      <c r="F82" s="55">
        <f>SUM(F71:F81)</f>
        <v>3264413.3330139662</v>
      </c>
      <c r="G82" s="5">
        <f>SUM(G71:G81)</f>
        <v>264035.32458356943</v>
      </c>
      <c r="L82" s="4"/>
      <c r="M82" s="4"/>
      <c r="N82" s="4"/>
    </row>
    <row r="83" spans="1:14" x14ac:dyDescent="0.25">
      <c r="A83" s="59"/>
      <c r="C83" s="41">
        <f>SUM(C71:D81)</f>
        <v>0.99999999999999989</v>
      </c>
      <c r="D83" s="41"/>
      <c r="E83" s="44">
        <f>SUM(E82:G82)</f>
        <v>4151116.0677618068</v>
      </c>
      <c r="F83" s="44"/>
      <c r="G83" s="44">
        <f>SUM(F82:G82)</f>
        <v>3528448.6575975358</v>
      </c>
      <c r="L83" s="4"/>
      <c r="M83" s="4"/>
      <c r="N83" s="4"/>
    </row>
    <row r="84" spans="1:14" x14ac:dyDescent="0.25">
      <c r="A84" s="59"/>
      <c r="L84" s="4"/>
      <c r="M84" s="4"/>
      <c r="N84" s="4"/>
    </row>
    <row r="85" spans="1:14" ht="30" x14ac:dyDescent="0.25">
      <c r="A85" s="59"/>
      <c r="B85" s="115" t="s">
        <v>106</v>
      </c>
      <c r="C85" s="114" t="s">
        <v>109</v>
      </c>
      <c r="D85" s="90" t="s">
        <v>147</v>
      </c>
      <c r="E85" s="90" t="s">
        <v>148</v>
      </c>
      <c r="F85" s="114"/>
      <c r="G85" s="88"/>
      <c r="H85" s="50"/>
      <c r="L85" s="4"/>
      <c r="M85" s="4"/>
      <c r="N85" s="4"/>
    </row>
    <row r="86" spans="1:14" x14ac:dyDescent="0.25">
      <c r="A86" s="59"/>
      <c r="B86" s="89" t="s">
        <v>107</v>
      </c>
      <c r="C86" s="60" t="s">
        <v>110</v>
      </c>
      <c r="D86" s="53" t="s">
        <v>14</v>
      </c>
      <c r="E86" s="53" t="s">
        <v>15</v>
      </c>
      <c r="F86" s="60"/>
      <c r="J86" s="8"/>
      <c r="K86" s="8"/>
      <c r="L86" s="4"/>
      <c r="M86" s="4"/>
      <c r="N86" s="4"/>
    </row>
    <row r="87" spans="1:14" x14ac:dyDescent="0.25">
      <c r="A87" s="59"/>
      <c r="B87" s="61">
        <f>Sadzby!I70</f>
        <v>0</v>
      </c>
      <c r="C87" s="62">
        <f>Sadzby!L70</f>
        <v>0</v>
      </c>
      <c r="D87" s="61"/>
      <c r="F87" s="62"/>
      <c r="G87" s="45"/>
      <c r="H87" s="45"/>
      <c r="J87" s="9"/>
      <c r="K87" s="9"/>
      <c r="L87" s="4"/>
      <c r="M87" s="4"/>
      <c r="N87" s="4"/>
    </row>
    <row r="88" spans="1:14" x14ac:dyDescent="0.25">
      <c r="A88" s="58" t="s">
        <v>0</v>
      </c>
      <c r="B88" s="54">
        <f>B54</f>
        <v>873.6</v>
      </c>
      <c r="C88" s="44">
        <f>C54</f>
        <v>0</v>
      </c>
      <c r="D88" s="116">
        <f>F71/B88</f>
        <v>391.98473425443655</v>
      </c>
      <c r="E88" s="4"/>
      <c r="F88" s="44"/>
      <c r="G88" s="1"/>
      <c r="H88" s="1"/>
      <c r="J88" s="4"/>
      <c r="K88" s="4"/>
      <c r="L88" s="4"/>
      <c r="M88" s="4"/>
      <c r="N88" s="4"/>
    </row>
    <row r="89" spans="1:14" x14ac:dyDescent="0.25">
      <c r="A89" s="58" t="s">
        <v>1</v>
      </c>
      <c r="B89" s="54">
        <f t="shared" ref="B89:C89" si="43">B55</f>
        <v>547.20000000000005</v>
      </c>
      <c r="C89" s="44">
        <f t="shared" si="43"/>
        <v>328.32</v>
      </c>
      <c r="D89" s="116">
        <f t="shared" ref="D89:D98" si="44">F72/B89</f>
        <v>396.34774041307367</v>
      </c>
      <c r="E89" s="4">
        <f t="shared" ref="E89:E90" si="45">G72/C89</f>
        <v>69.94371889642477</v>
      </c>
      <c r="F89" s="44"/>
      <c r="G89" s="1"/>
      <c r="H89" s="1"/>
      <c r="J89" s="4"/>
      <c r="K89" s="4"/>
      <c r="L89" s="4"/>
      <c r="M89" s="4"/>
      <c r="N89" s="4"/>
    </row>
    <row r="90" spans="1:14" x14ac:dyDescent="0.25">
      <c r="A90" s="58" t="s">
        <v>2</v>
      </c>
      <c r="B90" s="54">
        <f t="shared" ref="B90:C90" si="46">B56</f>
        <v>623.99999999999989</v>
      </c>
      <c r="C90" s="44">
        <f t="shared" si="46"/>
        <v>374.39999999999992</v>
      </c>
      <c r="D90" s="116">
        <f t="shared" si="44"/>
        <v>767.10954251147064</v>
      </c>
      <c r="E90" s="4">
        <f t="shared" si="45"/>
        <v>135.37227220790658</v>
      </c>
      <c r="F90" s="44"/>
      <c r="G90" s="1"/>
      <c r="H90" s="1"/>
      <c r="J90" s="4"/>
      <c r="K90" s="4"/>
      <c r="L90" s="4"/>
      <c r="M90" s="4"/>
      <c r="N90" s="4"/>
    </row>
    <row r="91" spans="1:14" x14ac:dyDescent="0.25">
      <c r="A91" s="58" t="s">
        <v>3</v>
      </c>
      <c r="B91" s="54">
        <f t="shared" ref="B91:C91" si="47">B57</f>
        <v>854.4000000000002</v>
      </c>
      <c r="C91" s="44">
        <f t="shared" si="47"/>
        <v>0</v>
      </c>
      <c r="D91" s="116">
        <f t="shared" si="44"/>
        <v>361.92773453635431</v>
      </c>
      <c r="E91" s="4"/>
      <c r="F91" s="44"/>
      <c r="G91" s="1"/>
      <c r="H91" s="1"/>
      <c r="J91" s="4"/>
      <c r="K91" s="4"/>
      <c r="L91" s="4"/>
      <c r="M91" s="4"/>
      <c r="N91" s="4"/>
    </row>
    <row r="92" spans="1:14" x14ac:dyDescent="0.25">
      <c r="A92" s="58" t="s">
        <v>4</v>
      </c>
      <c r="B92" s="54">
        <f t="shared" ref="B92:C92" si="48">B58</f>
        <v>710.40000000000009</v>
      </c>
      <c r="C92" s="44">
        <f t="shared" si="48"/>
        <v>426.24000000000007</v>
      </c>
      <c r="D92" s="116">
        <f t="shared" si="44"/>
        <v>962.4249104520818</v>
      </c>
      <c r="E92" s="4">
        <f t="shared" ref="E92" si="49">G75/C92</f>
        <v>169.83969007977913</v>
      </c>
      <c r="F92" s="44"/>
      <c r="G92" s="1"/>
      <c r="H92" s="1"/>
      <c r="J92" s="4"/>
      <c r="K92" s="4"/>
      <c r="L92" s="4"/>
      <c r="M92" s="4"/>
      <c r="N92" s="4"/>
    </row>
    <row r="93" spans="1:14" x14ac:dyDescent="0.25">
      <c r="A93" s="58" t="s">
        <v>5</v>
      </c>
      <c r="B93" s="54">
        <f t="shared" ref="B93:C93" si="50">B59</f>
        <v>854.40000000000009</v>
      </c>
      <c r="C93" s="44">
        <f t="shared" si="50"/>
        <v>0</v>
      </c>
      <c r="D93" s="116">
        <f t="shared" si="44"/>
        <v>36.793913447997078</v>
      </c>
      <c r="E93" s="4"/>
      <c r="F93" s="44"/>
      <c r="G93" s="1"/>
      <c r="H93" s="1"/>
      <c r="J93" s="4"/>
      <c r="K93" s="4"/>
      <c r="L93" s="4"/>
      <c r="M93" s="4"/>
      <c r="N93" s="4"/>
    </row>
    <row r="94" spans="1:14" x14ac:dyDescent="0.25">
      <c r="A94" s="58" t="s">
        <v>6</v>
      </c>
      <c r="B94" s="54">
        <f t="shared" ref="B94:C94" si="51">B60</f>
        <v>1152</v>
      </c>
      <c r="C94" s="44">
        <f t="shared" si="51"/>
        <v>0</v>
      </c>
      <c r="D94" s="116">
        <f t="shared" si="44"/>
        <v>41.35428581901644</v>
      </c>
      <c r="E94" s="4"/>
      <c r="F94" s="44"/>
      <c r="G94" s="1"/>
      <c r="H94" s="1"/>
      <c r="J94" s="4"/>
      <c r="K94" s="4"/>
      <c r="L94" s="4"/>
      <c r="M94" s="4"/>
      <c r="N94" s="4"/>
    </row>
    <row r="95" spans="1:14" x14ac:dyDescent="0.25">
      <c r="A95" s="58" t="s">
        <v>7</v>
      </c>
      <c r="B95" s="54">
        <f t="shared" ref="B95:C95" si="52">B61</f>
        <v>758.40000000000009</v>
      </c>
      <c r="C95" s="44">
        <f t="shared" si="52"/>
        <v>0</v>
      </c>
      <c r="D95" s="116">
        <f t="shared" si="44"/>
        <v>10.157193008179474</v>
      </c>
      <c r="E95" s="4"/>
      <c r="F95" s="44"/>
      <c r="G95" s="1"/>
      <c r="H95" s="1"/>
      <c r="J95" s="4"/>
      <c r="K95" s="4"/>
      <c r="L95" s="4"/>
      <c r="M95" s="4"/>
      <c r="N95" s="4"/>
    </row>
    <row r="96" spans="1:14" x14ac:dyDescent="0.25">
      <c r="A96" s="58" t="s">
        <v>8</v>
      </c>
      <c r="B96" s="54">
        <f t="shared" ref="B96:C96" si="53">B62</f>
        <v>576</v>
      </c>
      <c r="C96" s="44">
        <f t="shared" si="53"/>
        <v>0</v>
      </c>
      <c r="D96" s="116">
        <f t="shared" si="44"/>
        <v>56.071851198215271</v>
      </c>
      <c r="E96" s="4"/>
      <c r="F96" s="44"/>
      <c r="G96" s="1"/>
      <c r="H96" s="1"/>
      <c r="J96" s="4"/>
      <c r="K96" s="4"/>
      <c r="L96" s="4"/>
      <c r="M96" s="4"/>
      <c r="N96" s="4"/>
    </row>
    <row r="97" spans="1:14" x14ac:dyDescent="0.25">
      <c r="A97" s="58" t="s">
        <v>9</v>
      </c>
      <c r="B97" s="54">
        <f t="shared" ref="B97:C97" si="54">B63</f>
        <v>681.6</v>
      </c>
      <c r="C97" s="44">
        <f t="shared" si="54"/>
        <v>408.96</v>
      </c>
      <c r="D97" s="116">
        <f t="shared" si="44"/>
        <v>18.088227453233205</v>
      </c>
      <c r="E97" s="4">
        <f t="shared" ref="E97:E98" si="55">G80/C97</f>
        <v>3.1920401388058601</v>
      </c>
      <c r="F97" s="44"/>
      <c r="G97" s="1"/>
      <c r="H97" s="1"/>
      <c r="J97" s="4"/>
      <c r="K97" s="4"/>
      <c r="L97" s="4"/>
      <c r="M97" s="4"/>
      <c r="N97" s="4"/>
    </row>
    <row r="98" spans="1:14" x14ac:dyDescent="0.25">
      <c r="A98" s="58" t="s">
        <v>10</v>
      </c>
      <c r="B98" s="54">
        <f t="shared" ref="B98:C98" si="56">B64</f>
        <v>864.00000000000011</v>
      </c>
      <c r="C98" s="44">
        <f t="shared" si="56"/>
        <v>518.40000000000009</v>
      </c>
      <c r="D98" s="116">
        <f t="shared" si="44"/>
        <v>1275.548060303129</v>
      </c>
      <c r="E98" s="4">
        <f t="shared" si="55"/>
        <v>225.09671652408156</v>
      </c>
      <c r="F98" s="44"/>
      <c r="G98" s="1"/>
      <c r="H98" s="1"/>
      <c r="J98" s="4"/>
      <c r="K98" s="4"/>
      <c r="L98" s="4"/>
      <c r="M98" s="4"/>
      <c r="N98" s="4"/>
    </row>
    <row r="99" spans="1:14" x14ac:dyDescent="0.25">
      <c r="D99" s="57">
        <f>SUM(D88:D98)</f>
        <v>4317.808193397188</v>
      </c>
      <c r="E99" s="57">
        <f>SUM(E88:E98)</f>
        <v>603.44443784699786</v>
      </c>
      <c r="J99" s="57"/>
      <c r="K99" s="57"/>
      <c r="L99" s="4"/>
      <c r="M99" s="4"/>
      <c r="N99" s="4"/>
    </row>
    <row r="100" spans="1:14" x14ac:dyDescent="0.25">
      <c r="D100" s="93">
        <f>SUM(D99:E99)</f>
        <v>4921.252631244186</v>
      </c>
      <c r="J100" s="2"/>
      <c r="K100" s="2"/>
      <c r="L100" s="4"/>
      <c r="M100" s="4"/>
      <c r="N100" s="4"/>
    </row>
    <row r="101" spans="1:14" x14ac:dyDescent="0.25">
      <c r="L101" s="4"/>
      <c r="M101" s="4"/>
      <c r="N101" s="4"/>
    </row>
    <row r="102" spans="1:14" x14ac:dyDescent="0.25">
      <c r="L102" s="4"/>
      <c r="M102" s="4"/>
      <c r="N102" s="4"/>
    </row>
    <row r="103" spans="1:14" x14ac:dyDescent="0.25">
      <c r="L103" s="4"/>
      <c r="M103" s="4"/>
      <c r="N103" s="4"/>
    </row>
    <row r="104" spans="1:14" x14ac:dyDescent="0.25">
      <c r="A104" s="3">
        <f>AP!C24</f>
        <v>5775981.5</v>
      </c>
      <c r="L104" s="4"/>
      <c r="M104" s="4"/>
      <c r="N104" s="4"/>
    </row>
    <row r="105" spans="1:14" ht="30" x14ac:dyDescent="0.25">
      <c r="B105" s="9" t="s">
        <v>114</v>
      </c>
      <c r="C105" s="111" t="s">
        <v>143</v>
      </c>
      <c r="D105" s="113" t="s">
        <v>144</v>
      </c>
      <c r="E105" s="8" t="s">
        <v>120</v>
      </c>
      <c r="F105" s="8" t="s">
        <v>145</v>
      </c>
      <c r="G105" s="8" t="s">
        <v>146</v>
      </c>
      <c r="L105" s="4"/>
      <c r="M105" s="4"/>
      <c r="N105" s="4"/>
    </row>
    <row r="106" spans="1:14" x14ac:dyDescent="0.25">
      <c r="A106" s="58" t="s">
        <v>0</v>
      </c>
      <c r="B106" s="3">
        <f>Sadzby!C106</f>
        <v>0</v>
      </c>
      <c r="C106" s="112">
        <f>C71</f>
        <v>9.7050544608982978E-2</v>
      </c>
      <c r="D106" s="101">
        <f>D71</f>
        <v>0</v>
      </c>
      <c r="E106" s="3">
        <f>(Prehľad!$I$4*AP_výpočet!C106)+(Prehľad!$I$4*AP_výpočet!D106)</f>
        <v>84084.32253396156</v>
      </c>
      <c r="F106" s="44">
        <f>(C106*Prehľad!$I$5)</f>
        <v>476477.8276924488</v>
      </c>
      <c r="G106" s="4">
        <f>(D106*Prehľad!$I$5)</f>
        <v>0</v>
      </c>
      <c r="L106" s="4"/>
      <c r="M106" s="4"/>
      <c r="N106" s="4"/>
    </row>
    <row r="107" spans="1:14" x14ac:dyDescent="0.25">
      <c r="A107" s="58" t="s">
        <v>1</v>
      </c>
      <c r="B107" s="3">
        <f>Sadzby!C107</f>
        <v>0</v>
      </c>
      <c r="C107" s="112">
        <f t="shared" ref="C107:D107" si="57">C72</f>
        <v>6.1466526680794914E-2</v>
      </c>
      <c r="D107" s="101">
        <f t="shared" si="57"/>
        <v>6.5082204720841681E-3</v>
      </c>
      <c r="E107" s="3">
        <f>(Prehľad!$I$4*AP_výpočet!C107)+(Prehľad!$I$4*AP_výpočet!D107)</f>
        <v>58893.132303331084</v>
      </c>
      <c r="F107" s="44">
        <f>(C107*Prehľad!$I$5)</f>
        <v>301775.09283089865</v>
      </c>
      <c r="G107" s="4">
        <f>(D107*Prehľad!$I$5)</f>
        <v>31952.656887977504</v>
      </c>
      <c r="L107" s="4"/>
      <c r="M107" s="4"/>
      <c r="N107" s="4"/>
    </row>
    <row r="108" spans="1:14" x14ac:dyDescent="0.25">
      <c r="A108" s="58" t="s">
        <v>2</v>
      </c>
      <c r="B108" s="3">
        <f>Sadzby!C108</f>
        <v>0</v>
      </c>
      <c r="C108" s="112">
        <f t="shared" ref="C108:D108" si="58">C73</f>
        <v>0.13566198660605724</v>
      </c>
      <c r="D108" s="101">
        <f t="shared" si="58"/>
        <v>1.4364210346523708E-2</v>
      </c>
      <c r="E108" s="3">
        <f>(Prehľad!$I$4*AP_výpočet!C108)+(Prehľad!$I$4*AP_výpočet!D108)</f>
        <v>129982.28071701959</v>
      </c>
      <c r="F108" s="44">
        <f>(C108*Prehľad!$I$5)</f>
        <v>666043.95615635917</v>
      </c>
      <c r="G108" s="4">
        <f>(D108*Prehľad!$I$5)</f>
        <v>70522.301240085086</v>
      </c>
      <c r="L108" s="4"/>
      <c r="M108" s="4"/>
      <c r="N108" s="4"/>
    </row>
    <row r="109" spans="1:14" x14ac:dyDescent="0.25">
      <c r="A109" s="58" t="s">
        <v>3</v>
      </c>
      <c r="B109" s="3">
        <f>Sadzby!C109</f>
        <v>0</v>
      </c>
      <c r="C109" s="112">
        <f t="shared" ref="C109:D109" si="59">C74</f>
        <v>8.7639381041302061E-2</v>
      </c>
      <c r="D109" s="101">
        <f t="shared" si="59"/>
        <v>0</v>
      </c>
      <c r="E109" s="3">
        <f>(Prehľad!$I$4*AP_výpočet!C109)+(Prehľad!$I$4*AP_výpočet!D109)</f>
        <v>75930.516534901719</v>
      </c>
      <c r="F109" s="44">
        <f>(C109*Prehľad!$I$5)</f>
        <v>430272.92703110969</v>
      </c>
      <c r="G109" s="4">
        <f>(D109*Prehľad!$I$5)</f>
        <v>0</v>
      </c>
      <c r="L109" s="4"/>
      <c r="M109" s="4"/>
      <c r="N109" s="4"/>
    </row>
    <row r="110" spans="1:14" x14ac:dyDescent="0.25">
      <c r="A110" s="58" t="s">
        <v>4</v>
      </c>
      <c r="B110" s="3">
        <f>Sadzby!C110</f>
        <v>0</v>
      </c>
      <c r="C110" s="112">
        <f t="shared" ref="C110:D110" si="60">C75</f>
        <v>0.19376976193574089</v>
      </c>
      <c r="D110" s="101">
        <f t="shared" si="60"/>
        <v>2.0516798322607856E-2</v>
      </c>
      <c r="E110" s="3">
        <f>(Prehľad!$I$4*AP_výpočet!C110)+(Prehľad!$I$4*AP_výpočet!D110)</f>
        <v>185657.28116262861</v>
      </c>
      <c r="F110" s="44">
        <f>(C110*Prehľad!$I$5)</f>
        <v>951328.97617020691</v>
      </c>
      <c r="G110" s="4">
        <f>(D110*Prehľad!$I$5)</f>
        <v>100728.95041802189</v>
      </c>
      <c r="L110" s="4"/>
      <c r="M110" s="4"/>
      <c r="N110" s="4"/>
    </row>
    <row r="111" spans="1:14" x14ac:dyDescent="0.25">
      <c r="A111" s="58" t="s">
        <v>5</v>
      </c>
      <c r="B111" s="3">
        <f>Sadzby!C111</f>
        <v>0</v>
      </c>
      <c r="C111" s="112">
        <f t="shared" ref="C111:D111" si="61">C76</f>
        <v>8.9095017954359205E-3</v>
      </c>
      <c r="D111" s="101">
        <f t="shared" si="61"/>
        <v>0</v>
      </c>
      <c r="E111" s="3">
        <f>(Prehľad!$I$4*AP_výpočet!C111)+(Prehľad!$I$4*AP_výpočet!D111)</f>
        <v>7719.1676316981993</v>
      </c>
      <c r="F111" s="44">
        <f>(C111*Prehľad!$I$5)</f>
        <v>43741.949912956457</v>
      </c>
      <c r="G111" s="4">
        <f>(D111*Prehľad!$I$5)</f>
        <v>0</v>
      </c>
      <c r="L111" s="4"/>
      <c r="M111" s="4"/>
      <c r="N111" s="4"/>
    </row>
    <row r="112" spans="1:14" x14ac:dyDescent="0.25">
      <c r="A112" s="58" t="s">
        <v>6</v>
      </c>
      <c r="B112" s="3">
        <f>Sadzby!C112</f>
        <v>0</v>
      </c>
      <c r="C112" s="112">
        <f t="shared" ref="C112:D112" si="62">C77</f>
        <v>1.3501723246256427E-2</v>
      </c>
      <c r="D112" s="101">
        <f t="shared" si="62"/>
        <v>0</v>
      </c>
      <c r="E112" s="3">
        <f>(Prehľad!$I$4*AP_výpočet!C112)+(Prehľad!$I$4*AP_výpočet!D112)</f>
        <v>11697.855553274559</v>
      </c>
      <c r="F112" s="44">
        <f>(C112*Prehľad!$I$5)</f>
        <v>66287.848135222492</v>
      </c>
      <c r="G112" s="4">
        <f>(D112*Prehľad!$I$5)</f>
        <v>0</v>
      </c>
      <c r="L112" s="4"/>
      <c r="M112" s="4"/>
      <c r="N112" s="4"/>
    </row>
    <row r="113" spans="1:14" x14ac:dyDescent="0.25">
      <c r="A113" s="58" t="s">
        <v>7</v>
      </c>
      <c r="B113" s="3">
        <f>Sadzby!C113</f>
        <v>0</v>
      </c>
      <c r="C113" s="112">
        <f t="shared" ref="C113:D113" si="63">C78</f>
        <v>2.183173378707545E-3</v>
      </c>
      <c r="D113" s="101">
        <f t="shared" si="63"/>
        <v>0</v>
      </c>
      <c r="E113" s="3">
        <f>(Prehľad!$I$4*AP_výpočet!C113)+(Prehľad!$I$4*AP_výpočet!D113)</f>
        <v>1891.4953570060909</v>
      </c>
      <c r="F113" s="44">
        <f>(C113*Prehľad!$I$5)</f>
        <v>10718.473689701181</v>
      </c>
      <c r="G113" s="4">
        <f>(D113*Prehľad!$I$5)</f>
        <v>0</v>
      </c>
      <c r="L113" s="4"/>
      <c r="M113" s="4"/>
      <c r="N113" s="4"/>
    </row>
    <row r="114" spans="1:14" x14ac:dyDescent="0.25">
      <c r="A114" s="58" t="s">
        <v>8</v>
      </c>
      <c r="B114" s="3">
        <f>Sadzby!C114</f>
        <v>0</v>
      </c>
      <c r="C114" s="112">
        <f t="shared" ref="C114:D114" si="64">C79</f>
        <v>9.1534239050435184E-3</v>
      </c>
      <c r="D114" s="101">
        <f t="shared" si="64"/>
        <v>0</v>
      </c>
      <c r="E114" s="3">
        <f>(Prehľad!$I$4*AP_výpočet!C114)+(Prehľad!$I$4*AP_výpočet!D114)</f>
        <v>7930.5010705783679</v>
      </c>
      <c r="F114" s="44">
        <f>(C114*Prehľad!$I$5)</f>
        <v>44939.506066610746</v>
      </c>
      <c r="G114" s="4">
        <f>(D114*Prehľad!$I$5)</f>
        <v>0</v>
      </c>
      <c r="L114" s="4"/>
      <c r="M114" s="4"/>
      <c r="N114" s="4"/>
    </row>
    <row r="115" spans="1:14" x14ac:dyDescent="0.25">
      <c r="A115" s="58" t="s">
        <v>9</v>
      </c>
      <c r="B115" s="3">
        <f>Sadzby!C115</f>
        <v>0</v>
      </c>
      <c r="C115" s="112">
        <f t="shared" ref="C115:D115" si="65">C80</f>
        <v>3.494151971172036E-3</v>
      </c>
      <c r="D115" s="101">
        <f t="shared" si="65"/>
        <v>3.6996903224174497E-4</v>
      </c>
      <c r="E115" s="3">
        <f>(Prehľad!$I$4*AP_výpočet!C115)+(Prehľad!$I$4*AP_výpočet!D115)</f>
        <v>3347.8637144219156</v>
      </c>
      <c r="F115" s="44">
        <f>(C115*Prehľad!$I$5)</f>
        <v>17154.833572126481</v>
      </c>
      <c r="G115" s="4">
        <f>(D115*Prehľad!$I$5)</f>
        <v>1816.3941429310389</v>
      </c>
      <c r="L115" s="4"/>
      <c r="M115" s="4"/>
      <c r="N115" s="4"/>
    </row>
    <row r="116" spans="1:14" x14ac:dyDescent="0.25">
      <c r="A116" s="58" t="s">
        <v>10</v>
      </c>
      <c r="B116" s="3">
        <f>Sadzby!C116</f>
        <v>0</v>
      </c>
      <c r="C116" s="112">
        <f t="shared" ref="C116:D116" si="66">C81</f>
        <v>0.31233939644520375</v>
      </c>
      <c r="D116" s="101">
        <f t="shared" si="66"/>
        <v>3.3071230211845097E-2</v>
      </c>
      <c r="E116" s="3">
        <f>(Prehľad!$I$4*AP_výpočet!C116)+(Prehľad!$I$4*AP_výpočet!D116)</f>
        <v>299262.80842117814</v>
      </c>
      <c r="F116" s="44">
        <f>(C116*Prehľad!$I$5)</f>
        <v>1533456.5892503632</v>
      </c>
      <c r="G116" s="4">
        <f>(D116*Prehľad!$I$5)</f>
        <v>162365.99180297958</v>
      </c>
      <c r="L116" s="4"/>
      <c r="M116" s="4"/>
      <c r="N116" s="4"/>
    </row>
    <row r="117" spans="1:14" x14ac:dyDescent="0.25">
      <c r="A117" s="59"/>
      <c r="E117" s="55">
        <f>SUM(E106:E116)</f>
        <v>866397.22499999963</v>
      </c>
      <c r="F117" s="55">
        <f>SUM(F106:F116)</f>
        <v>4542197.9805080043</v>
      </c>
      <c r="G117" s="5">
        <f>SUM(G106:G116)</f>
        <v>367386.29449199513</v>
      </c>
      <c r="L117" s="4"/>
      <c r="M117" s="4"/>
      <c r="N117" s="4"/>
    </row>
    <row r="118" spans="1:14" x14ac:dyDescent="0.25">
      <c r="A118" s="59"/>
      <c r="C118" s="41">
        <f>SUM(C106:D116)</f>
        <v>0.99999999999999989</v>
      </c>
      <c r="D118" s="41"/>
      <c r="E118" s="44">
        <f>SUM(E117:G117)</f>
        <v>5775981.4999999991</v>
      </c>
      <c r="F118" s="44"/>
      <c r="G118" s="44">
        <f>SUM(F117:G117)</f>
        <v>4909584.2749999994</v>
      </c>
      <c r="L118" s="4"/>
      <c r="M118" s="4"/>
      <c r="N118" s="4"/>
    </row>
    <row r="119" spans="1:14" x14ac:dyDescent="0.25">
      <c r="A119" s="59"/>
      <c r="L119" s="4"/>
      <c r="M119" s="4"/>
      <c r="N119" s="4"/>
    </row>
    <row r="120" spans="1:14" ht="30" x14ac:dyDescent="0.25">
      <c r="A120" s="59"/>
      <c r="B120" s="115" t="s">
        <v>106</v>
      </c>
      <c r="C120" s="114" t="s">
        <v>109</v>
      </c>
      <c r="D120" s="90" t="s">
        <v>147</v>
      </c>
      <c r="E120" s="90" t="s">
        <v>148</v>
      </c>
      <c r="F120" s="114"/>
      <c r="G120" s="88"/>
      <c r="H120" s="50"/>
      <c r="L120" s="4"/>
      <c r="M120" s="4"/>
      <c r="N120" s="4"/>
    </row>
    <row r="121" spans="1:14" x14ac:dyDescent="0.25">
      <c r="A121" s="59"/>
      <c r="B121" s="89" t="s">
        <v>107</v>
      </c>
      <c r="C121" s="60" t="s">
        <v>110</v>
      </c>
      <c r="D121" s="53" t="s">
        <v>14</v>
      </c>
      <c r="E121" s="53" t="s">
        <v>15</v>
      </c>
      <c r="F121" s="60"/>
      <c r="J121" s="8"/>
      <c r="K121" s="8"/>
      <c r="L121" s="4"/>
      <c r="M121" s="4"/>
      <c r="N121" s="4"/>
    </row>
    <row r="122" spans="1:14" x14ac:dyDescent="0.25">
      <c r="A122" s="59"/>
      <c r="B122" s="61">
        <f>Sadzby!I105</f>
        <v>0</v>
      </c>
      <c r="C122" s="62">
        <f>Sadzby!L105</f>
        <v>0</v>
      </c>
      <c r="D122" s="61"/>
      <c r="F122" s="62"/>
      <c r="G122" s="45"/>
      <c r="H122" s="45"/>
      <c r="J122" s="9"/>
      <c r="K122" s="9"/>
      <c r="L122" s="4"/>
      <c r="M122" s="4"/>
      <c r="N122" s="4"/>
    </row>
    <row r="123" spans="1:14" x14ac:dyDescent="0.25">
      <c r="A123" s="58" t="s">
        <v>0</v>
      </c>
      <c r="B123" s="54">
        <f>B88</f>
        <v>873.6</v>
      </c>
      <c r="C123" s="44">
        <f>C88</f>
        <v>0</v>
      </c>
      <c r="D123" s="116">
        <f>F106/B123</f>
        <v>545.41875880545876</v>
      </c>
      <c r="E123" s="4"/>
      <c r="F123" s="44"/>
      <c r="G123" s="1"/>
      <c r="H123" s="1"/>
      <c r="J123" s="4"/>
      <c r="K123" s="4"/>
      <c r="L123" s="4"/>
      <c r="M123" s="4"/>
      <c r="N123" s="4"/>
    </row>
    <row r="124" spans="1:14" x14ac:dyDescent="0.25">
      <c r="A124" s="58" t="s">
        <v>1</v>
      </c>
      <c r="B124" s="54">
        <f t="shared" ref="B124:C124" si="67">B89</f>
        <v>547.20000000000005</v>
      </c>
      <c r="C124" s="44">
        <f t="shared" si="67"/>
        <v>328.32</v>
      </c>
      <c r="D124" s="116">
        <f t="shared" ref="D124:D133" si="68">F107/B124</f>
        <v>551.48957023190542</v>
      </c>
      <c r="E124" s="4">
        <f t="shared" ref="E124:E125" si="69">G107/C124</f>
        <v>97.321688864453904</v>
      </c>
      <c r="F124" s="44"/>
      <c r="G124" s="1"/>
      <c r="H124" s="1"/>
      <c r="J124" s="4"/>
      <c r="K124" s="4"/>
      <c r="L124" s="4"/>
      <c r="M124" s="4"/>
      <c r="N124" s="4"/>
    </row>
    <row r="125" spans="1:14" x14ac:dyDescent="0.25">
      <c r="A125" s="58" t="s">
        <v>2</v>
      </c>
      <c r="B125" s="54">
        <f t="shared" ref="B125:C125" si="70">B90</f>
        <v>623.99999999999989</v>
      </c>
      <c r="C125" s="44">
        <f t="shared" si="70"/>
        <v>374.39999999999992</v>
      </c>
      <c r="D125" s="116">
        <f t="shared" si="68"/>
        <v>1067.3781348659604</v>
      </c>
      <c r="E125" s="4">
        <f t="shared" si="69"/>
        <v>188.36084732928714</v>
      </c>
      <c r="F125" s="44"/>
      <c r="G125" s="1"/>
      <c r="H125" s="1"/>
      <c r="J125" s="4"/>
      <c r="K125" s="4"/>
      <c r="L125" s="4"/>
      <c r="M125" s="4"/>
      <c r="N125" s="4"/>
    </row>
    <row r="126" spans="1:14" x14ac:dyDescent="0.25">
      <c r="A126" s="58" t="s">
        <v>3</v>
      </c>
      <c r="B126" s="54">
        <f t="shared" ref="B126:C126" si="71">B91</f>
        <v>854.4000000000002</v>
      </c>
      <c r="C126" s="44">
        <f t="shared" si="71"/>
        <v>0</v>
      </c>
      <c r="D126" s="116">
        <f t="shared" si="68"/>
        <v>503.59659062629868</v>
      </c>
      <c r="E126" s="4"/>
      <c r="F126" s="44"/>
      <c r="G126" s="1"/>
      <c r="H126" s="1"/>
      <c r="J126" s="4"/>
      <c r="K126" s="4"/>
      <c r="L126" s="4"/>
      <c r="M126" s="4"/>
      <c r="N126" s="4"/>
    </row>
    <row r="127" spans="1:14" x14ac:dyDescent="0.25">
      <c r="A127" s="58" t="s">
        <v>4</v>
      </c>
      <c r="B127" s="54">
        <f t="shared" ref="B127:C127" si="72">B92</f>
        <v>710.40000000000009</v>
      </c>
      <c r="C127" s="44">
        <f t="shared" si="72"/>
        <v>426.24000000000007</v>
      </c>
      <c r="D127" s="116">
        <f t="shared" si="68"/>
        <v>1339.145518257611</v>
      </c>
      <c r="E127" s="4">
        <f t="shared" ref="E127" si="73">G110/C127</f>
        <v>236.31979733957834</v>
      </c>
      <c r="F127" s="44"/>
      <c r="G127" s="1"/>
      <c r="H127" s="1"/>
      <c r="J127" s="4"/>
      <c r="K127" s="4"/>
      <c r="L127" s="4"/>
      <c r="M127" s="4"/>
      <c r="N127" s="4"/>
    </row>
    <row r="128" spans="1:14" x14ac:dyDescent="0.25">
      <c r="A128" s="58" t="s">
        <v>5</v>
      </c>
      <c r="B128" s="54">
        <f t="shared" ref="B128:C128" si="74">B93</f>
        <v>854.40000000000009</v>
      </c>
      <c r="C128" s="44">
        <f t="shared" si="74"/>
        <v>0</v>
      </c>
      <c r="D128" s="116">
        <f t="shared" si="68"/>
        <v>51.196102426213073</v>
      </c>
      <c r="E128" s="4"/>
      <c r="F128" s="44"/>
      <c r="G128" s="1"/>
      <c r="H128" s="1"/>
      <c r="J128" s="4"/>
      <c r="K128" s="4"/>
      <c r="L128" s="4"/>
      <c r="M128" s="4"/>
      <c r="N128" s="4"/>
    </row>
    <row r="129" spans="1:14" x14ac:dyDescent="0.25">
      <c r="A129" s="58" t="s">
        <v>6</v>
      </c>
      <c r="B129" s="54">
        <f t="shared" ref="B129:C129" si="75">B94</f>
        <v>1152</v>
      </c>
      <c r="C129" s="44">
        <f t="shared" si="75"/>
        <v>0</v>
      </c>
      <c r="D129" s="116">
        <f t="shared" si="68"/>
        <v>57.541534839602861</v>
      </c>
      <c r="E129" s="4"/>
      <c r="F129" s="44"/>
      <c r="G129" s="1"/>
      <c r="H129" s="1"/>
      <c r="J129" s="4"/>
      <c r="K129" s="4"/>
      <c r="L129" s="4"/>
      <c r="M129" s="4"/>
      <c r="N129" s="4"/>
    </row>
    <row r="130" spans="1:14" x14ac:dyDescent="0.25">
      <c r="A130" s="58" t="s">
        <v>7</v>
      </c>
      <c r="B130" s="54">
        <f t="shared" ref="B130:C130" si="76">B95</f>
        <v>758.40000000000009</v>
      </c>
      <c r="C130" s="44">
        <f t="shared" si="76"/>
        <v>0</v>
      </c>
      <c r="D130" s="116">
        <f t="shared" si="68"/>
        <v>14.133008557095437</v>
      </c>
      <c r="E130" s="4"/>
      <c r="F130" s="44"/>
      <c r="G130" s="1"/>
      <c r="H130" s="1"/>
      <c r="J130" s="4"/>
      <c r="K130" s="4"/>
      <c r="L130" s="4"/>
      <c r="M130" s="4"/>
      <c r="N130" s="4"/>
    </row>
    <row r="131" spans="1:14" x14ac:dyDescent="0.25">
      <c r="A131" s="58" t="s">
        <v>8</v>
      </c>
      <c r="B131" s="54">
        <f t="shared" ref="B131:C131" si="77">B96</f>
        <v>576</v>
      </c>
      <c r="C131" s="44">
        <f t="shared" si="77"/>
        <v>0</v>
      </c>
      <c r="D131" s="116">
        <f t="shared" si="68"/>
        <v>78.019975810088098</v>
      </c>
      <c r="E131" s="4"/>
      <c r="F131" s="44"/>
      <c r="G131" s="1"/>
      <c r="H131" s="1"/>
      <c r="J131" s="4"/>
      <c r="K131" s="4"/>
      <c r="L131" s="4"/>
      <c r="M131" s="4"/>
      <c r="N131" s="4"/>
    </row>
    <row r="132" spans="1:14" x14ac:dyDescent="0.25">
      <c r="A132" s="58" t="s">
        <v>9</v>
      </c>
      <c r="B132" s="54">
        <f t="shared" ref="B132:C132" si="78">B97</f>
        <v>681.6</v>
      </c>
      <c r="C132" s="44">
        <f t="shared" si="78"/>
        <v>408.96</v>
      </c>
      <c r="D132" s="116">
        <f t="shared" si="68"/>
        <v>25.16847648492735</v>
      </c>
      <c r="E132" s="4">
        <f t="shared" ref="E132:E133" si="79">G115/C132</f>
        <v>4.4414958502812967</v>
      </c>
      <c r="F132" s="44"/>
      <c r="G132" s="1"/>
      <c r="H132" s="1"/>
      <c r="J132" s="4"/>
      <c r="K132" s="4"/>
      <c r="L132" s="4"/>
      <c r="M132" s="4"/>
      <c r="N132" s="4"/>
    </row>
    <row r="133" spans="1:14" x14ac:dyDescent="0.25">
      <c r="A133" s="58" t="s">
        <v>10</v>
      </c>
      <c r="B133" s="54">
        <f t="shared" ref="B133:C133" si="80">B98</f>
        <v>864.00000000000011</v>
      </c>
      <c r="C133" s="44">
        <f t="shared" si="80"/>
        <v>518.40000000000009</v>
      </c>
      <c r="D133" s="116">
        <f t="shared" si="68"/>
        <v>1774.8340153360682</v>
      </c>
      <c r="E133" s="4">
        <f t="shared" si="79"/>
        <v>313.20600270636487</v>
      </c>
      <c r="F133" s="44"/>
      <c r="G133" s="1"/>
      <c r="H133" s="1"/>
      <c r="J133" s="4"/>
      <c r="K133" s="4"/>
      <c r="L133" s="4"/>
      <c r="M133" s="4"/>
      <c r="N133" s="4"/>
    </row>
    <row r="134" spans="1:14" x14ac:dyDescent="0.25">
      <c r="D134" s="57">
        <f>SUM(D123:D133)</f>
        <v>6007.9216862412286</v>
      </c>
      <c r="E134" s="57">
        <f>SUM(E123:E133)</f>
        <v>839.64983208996557</v>
      </c>
      <c r="J134" s="57"/>
      <c r="K134" s="57"/>
      <c r="L134" s="4"/>
      <c r="M134" s="4"/>
      <c r="N134" s="4"/>
    </row>
    <row r="135" spans="1:14" x14ac:dyDescent="0.25">
      <c r="D135" s="93">
        <f>SUM(D134:E134)</f>
        <v>6847.5715183311941</v>
      </c>
      <c r="J135" s="2"/>
      <c r="K13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7"/>
  <sheetViews>
    <sheetView workbookViewId="0">
      <selection activeCell="F17" sqref="F17"/>
    </sheetView>
  </sheetViews>
  <sheetFormatPr defaultRowHeight="15" x14ac:dyDescent="0.25"/>
  <cols>
    <col min="2" max="2" width="55.42578125" customWidth="1"/>
    <col min="3" max="3" width="20" style="34" customWidth="1"/>
  </cols>
  <sheetData>
    <row r="4" spans="2:6" x14ac:dyDescent="0.25">
      <c r="B4" t="s">
        <v>93</v>
      </c>
      <c r="C4" s="35">
        <v>42556000</v>
      </c>
    </row>
    <row r="5" spans="2:6" x14ac:dyDescent="0.25">
      <c r="B5" t="s">
        <v>94</v>
      </c>
      <c r="C5" s="36">
        <v>0.13572660729391861</v>
      </c>
      <c r="D5" s="37"/>
    </row>
    <row r="6" spans="2:6" x14ac:dyDescent="0.25">
      <c r="B6" t="s">
        <v>95</v>
      </c>
      <c r="C6" s="35">
        <f>C5*C4</f>
        <v>5775981.5</v>
      </c>
    </row>
    <row r="8" spans="2:6" x14ac:dyDescent="0.25">
      <c r="C8" s="35"/>
    </row>
    <row r="11" spans="2:6" x14ac:dyDescent="0.25">
      <c r="B11" s="38" t="s">
        <v>96</v>
      </c>
      <c r="C11" s="38" t="s">
        <v>97</v>
      </c>
      <c r="D11" s="38" t="s">
        <v>98</v>
      </c>
      <c r="F11" s="78" t="s">
        <v>137</v>
      </c>
    </row>
    <row r="12" spans="2:6" x14ac:dyDescent="0.25">
      <c r="B12" s="39" t="s">
        <v>99</v>
      </c>
      <c r="C12" s="39">
        <f>Prehľad!F2</f>
        <v>105</v>
      </c>
      <c r="D12" s="2">
        <f>C12/$C$16</f>
        <v>0.21560574948665298</v>
      </c>
      <c r="F12" s="39">
        <v>105</v>
      </c>
    </row>
    <row r="13" spans="2:6" x14ac:dyDescent="0.25">
      <c r="B13" s="40" t="s">
        <v>100</v>
      </c>
      <c r="C13" s="40">
        <f>Prehľad!G2</f>
        <v>120</v>
      </c>
      <c r="D13" s="2">
        <f t="shared" ref="D13:D15" si="0">C13/$C$16</f>
        <v>0.24640657084188911</v>
      </c>
      <c r="F13" s="40">
        <v>120</v>
      </c>
    </row>
    <row r="14" spans="2:6" x14ac:dyDescent="0.25">
      <c r="B14" s="40" t="s">
        <v>101</v>
      </c>
      <c r="C14" s="40">
        <f>Prehľad!H2</f>
        <v>125</v>
      </c>
      <c r="D14" s="2">
        <f t="shared" si="0"/>
        <v>0.25667351129363447</v>
      </c>
      <c r="F14" s="40">
        <v>125</v>
      </c>
    </row>
    <row r="15" spans="2:6" x14ac:dyDescent="0.25">
      <c r="B15" s="38" t="s">
        <v>102</v>
      </c>
      <c r="C15" s="38">
        <f>Prehľad!I2</f>
        <v>137</v>
      </c>
      <c r="D15" s="2">
        <f t="shared" si="0"/>
        <v>0.28131416837782341</v>
      </c>
      <c r="F15" s="38">
        <v>137</v>
      </c>
    </row>
    <row r="16" spans="2:6" x14ac:dyDescent="0.25">
      <c r="C16" s="34">
        <f>SUM(C12:C15)</f>
        <v>487</v>
      </c>
      <c r="D16" s="41">
        <f>SUM(D12:D15)</f>
        <v>1</v>
      </c>
    </row>
    <row r="18" spans="2:3" x14ac:dyDescent="0.25">
      <c r="B18" s="42" t="s">
        <v>103</v>
      </c>
      <c r="C18" s="38" t="s">
        <v>104</v>
      </c>
    </row>
    <row r="19" spans="2:3" x14ac:dyDescent="0.25">
      <c r="B19">
        <v>2018</v>
      </c>
      <c r="C19" s="35">
        <v>0</v>
      </c>
    </row>
    <row r="20" spans="2:3" x14ac:dyDescent="0.25">
      <c r="B20">
        <v>2019</v>
      </c>
      <c r="C20" s="35">
        <v>0</v>
      </c>
    </row>
    <row r="21" spans="2:3" x14ac:dyDescent="0.25">
      <c r="B21">
        <v>2020</v>
      </c>
      <c r="C21" s="35">
        <f>D12*C6</f>
        <v>1245334.820328542</v>
      </c>
    </row>
    <row r="22" spans="2:3" x14ac:dyDescent="0.25">
      <c r="B22">
        <v>2021</v>
      </c>
      <c r="C22" s="35">
        <f>(D12+D13)*C6</f>
        <v>2668574.6149897333</v>
      </c>
    </row>
    <row r="23" spans="2:3" x14ac:dyDescent="0.25">
      <c r="B23">
        <v>2022</v>
      </c>
      <c r="C23" s="35">
        <f>(D12+D13+D14)*C6</f>
        <v>4151116.0677618068</v>
      </c>
    </row>
    <row r="24" spans="2:3" x14ac:dyDescent="0.25">
      <c r="B24">
        <v>2023</v>
      </c>
      <c r="C24" s="35">
        <f>D16*C6</f>
        <v>5775981.5</v>
      </c>
    </row>
    <row r="25" spans="2:3" x14ac:dyDescent="0.25">
      <c r="B25" s="38" t="s">
        <v>105</v>
      </c>
      <c r="C25" s="43">
        <f>C6*D16</f>
        <v>5775981.5</v>
      </c>
    </row>
    <row r="27" spans="2:3" x14ac:dyDescent="0.25">
      <c r="C27" s="35">
        <f>SUM(C21:C24)</f>
        <v>13841007.003080081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J38" sqref="J38"/>
    </sheetView>
  </sheetViews>
  <sheetFormatPr defaultRowHeight="15" x14ac:dyDescent="0.25"/>
  <cols>
    <col min="1" max="1" width="6" bestFit="1" customWidth="1"/>
    <col min="2" max="2" width="42.42578125" bestFit="1" customWidth="1"/>
    <col min="3" max="3" width="15.28515625" style="4" bestFit="1" customWidth="1"/>
    <col min="4" max="4" width="14.5703125" style="4" bestFit="1" customWidth="1"/>
    <col min="5" max="10" width="12.140625" style="4" bestFit="1" customWidth="1"/>
    <col min="11" max="11" width="15.42578125" style="4" bestFit="1" customWidth="1"/>
  </cols>
  <sheetData>
    <row r="1" spans="1:11" x14ac:dyDescent="0.25">
      <c r="A1" s="10"/>
      <c r="B1" s="265" t="s">
        <v>21</v>
      </c>
      <c r="C1" s="262" t="s">
        <v>22</v>
      </c>
      <c r="D1" s="262" t="s">
        <v>23</v>
      </c>
      <c r="E1" s="262" t="s">
        <v>24</v>
      </c>
      <c r="F1" s="262" t="s">
        <v>25</v>
      </c>
      <c r="G1" s="262"/>
      <c r="H1" s="262"/>
      <c r="I1" s="262"/>
      <c r="J1" s="262" t="s">
        <v>26</v>
      </c>
      <c r="K1" s="262" t="s">
        <v>27</v>
      </c>
    </row>
    <row r="2" spans="1:11" x14ac:dyDescent="0.25">
      <c r="A2" s="10"/>
      <c r="B2" s="265"/>
      <c r="C2" s="262"/>
      <c r="D2" s="262"/>
      <c r="E2" s="262"/>
      <c r="F2" s="18" t="s">
        <v>28</v>
      </c>
      <c r="G2" s="18" t="s">
        <v>29</v>
      </c>
      <c r="H2" s="18" t="s">
        <v>30</v>
      </c>
      <c r="I2" s="18" t="s">
        <v>31</v>
      </c>
      <c r="J2" s="262"/>
      <c r="K2" s="262"/>
    </row>
    <row r="3" spans="1:11" x14ac:dyDescent="0.25">
      <c r="A3" s="10" t="s">
        <v>32</v>
      </c>
      <c r="B3" s="10" t="s">
        <v>33</v>
      </c>
      <c r="C3" s="33">
        <v>150.49903538171736</v>
      </c>
      <c r="D3" s="33">
        <v>296.89918918915509</v>
      </c>
      <c r="E3" s="33">
        <v>148.93911783113333</v>
      </c>
      <c r="F3" s="33">
        <v>204.07904805470943</v>
      </c>
      <c r="G3" s="33">
        <v>233.23319777681075</v>
      </c>
      <c r="H3" s="33">
        <v>242.95124768417787</v>
      </c>
      <c r="I3" s="33">
        <v>266.27456746185896</v>
      </c>
      <c r="J3" s="19">
        <v>1542.8754033795626</v>
      </c>
      <c r="K3" s="19">
        <v>1453284.954253668</v>
      </c>
    </row>
    <row r="4" spans="1:11" x14ac:dyDescent="0.25">
      <c r="A4" s="10" t="s">
        <v>34</v>
      </c>
      <c r="B4" s="10" t="s">
        <v>35</v>
      </c>
      <c r="C4" s="33">
        <v>185.77447296631124</v>
      </c>
      <c r="D4" s="33">
        <v>366.48932835911586</v>
      </c>
      <c r="E4" s="33">
        <v>183.96733125456547</v>
      </c>
      <c r="F4" s="33">
        <v>251.91309365983983</v>
      </c>
      <c r="G4" s="33">
        <v>287.90067846838838</v>
      </c>
      <c r="H4" s="33">
        <v>299.89654007123784</v>
      </c>
      <c r="I4" s="33">
        <v>328.68660791807673</v>
      </c>
      <c r="J4" s="19">
        <v>1904.6280526975352</v>
      </c>
      <c r="K4" s="19">
        <v>1794020.9929654447</v>
      </c>
    </row>
    <row r="5" spans="1:11" x14ac:dyDescent="0.25">
      <c r="A5" s="10" t="s">
        <v>36</v>
      </c>
      <c r="B5" s="10" t="s">
        <v>37</v>
      </c>
      <c r="C5" s="33">
        <v>32.692436247965354</v>
      </c>
      <c r="D5" s="33">
        <v>64.494485230555739</v>
      </c>
      <c r="E5" s="33">
        <v>32.602166755782612</v>
      </c>
      <c r="F5" s="33">
        <v>44.331455355524071</v>
      </c>
      <c r="G5" s="33">
        <v>50.664520406313223</v>
      </c>
      <c r="H5" s="33">
        <v>52.775542089909599</v>
      </c>
      <c r="I5" s="33">
        <v>57.841994130540932</v>
      </c>
      <c r="J5" s="19">
        <v>335.40260021659151</v>
      </c>
      <c r="K5" s="19">
        <v>315904.35546039476</v>
      </c>
    </row>
    <row r="6" spans="1:11" x14ac:dyDescent="0.25">
      <c r="A6" s="10" t="s">
        <v>38</v>
      </c>
      <c r="B6" s="10" t="s">
        <v>39</v>
      </c>
      <c r="C6" s="33">
        <v>99.401722253340154</v>
      </c>
      <c r="D6" s="33">
        <v>204.2480861562268</v>
      </c>
      <c r="E6" s="33">
        <v>100.94476982718901</v>
      </c>
      <c r="F6" s="33">
        <v>138.4003387442751</v>
      </c>
      <c r="G6" s="33">
        <v>158.17181570774295</v>
      </c>
      <c r="H6" s="33">
        <v>164.7623080288989</v>
      </c>
      <c r="I6" s="33">
        <v>180.57948959967322</v>
      </c>
      <c r="J6" s="19">
        <v>1046.5085303173462</v>
      </c>
      <c r="K6" s="19">
        <v>942272.665762163</v>
      </c>
    </row>
    <row r="7" spans="1:11" x14ac:dyDescent="0.25">
      <c r="A7" s="10" t="s">
        <v>40</v>
      </c>
      <c r="B7" s="10" t="s">
        <v>41</v>
      </c>
      <c r="C7" s="33">
        <v>86.936759541601674</v>
      </c>
      <c r="D7" s="33">
        <v>171.50577313115227</v>
      </c>
      <c r="E7" s="33">
        <v>86.394766175211487</v>
      </c>
      <c r="F7" s="33">
        <v>117.88760694187492</v>
      </c>
      <c r="G7" s="33">
        <v>134.72869364785706</v>
      </c>
      <c r="H7" s="33">
        <v>140.34238921651774</v>
      </c>
      <c r="I7" s="33">
        <v>153.81525858130348</v>
      </c>
      <c r="J7" s="19">
        <v>891.6112472355187</v>
      </c>
      <c r="K7" s="19">
        <v>839805.58663153695</v>
      </c>
    </row>
    <row r="8" spans="1:11" x14ac:dyDescent="0.25">
      <c r="A8" s="10" t="s">
        <v>42</v>
      </c>
      <c r="B8" s="10" t="s">
        <v>43</v>
      </c>
      <c r="C8" s="33">
        <v>114.44356323222897</v>
      </c>
      <c r="D8" s="33">
        <v>235.15567168451582</v>
      </c>
      <c r="E8" s="33">
        <v>116.45086867320653</v>
      </c>
      <c r="F8" s="33">
        <v>159.34359646278781</v>
      </c>
      <c r="G8" s="33">
        <v>182.10696738604318</v>
      </c>
      <c r="H8" s="33">
        <v>189.69475769379497</v>
      </c>
      <c r="I8" s="33">
        <v>207.90545443239932</v>
      </c>
      <c r="J8" s="19">
        <v>1205.1008795649764</v>
      </c>
      <c r="K8" s="19">
        <v>1085057.5013057478</v>
      </c>
    </row>
    <row r="9" spans="1:11" x14ac:dyDescent="0.25">
      <c r="A9" s="10" t="s">
        <v>44</v>
      </c>
      <c r="B9" s="10" t="s">
        <v>45</v>
      </c>
      <c r="C9" s="33">
        <v>71.628501902082135</v>
      </c>
      <c r="D9" s="33">
        <v>141.30618235275074</v>
      </c>
      <c r="E9" s="33">
        <v>71.068572178434692</v>
      </c>
      <c r="F9" s="33">
        <v>97.129369930417852</v>
      </c>
      <c r="G9" s="33">
        <v>111.00499420619182</v>
      </c>
      <c r="H9" s="33">
        <v>115.63020229811647</v>
      </c>
      <c r="I9" s="33">
        <v>126.73070171873567</v>
      </c>
      <c r="J9" s="19">
        <v>734.49852458672933</v>
      </c>
      <c r="K9" s="19">
        <v>691831.84197922749</v>
      </c>
    </row>
    <row r="10" spans="1:11" x14ac:dyDescent="0.25">
      <c r="A10" s="10" t="s">
        <v>46</v>
      </c>
      <c r="B10" s="10" t="s">
        <v>47</v>
      </c>
      <c r="C10" s="33">
        <v>99.470524331385306</v>
      </c>
      <c r="D10" s="33">
        <v>204.38945888544851</v>
      </c>
      <c r="E10" s="33">
        <v>101.01135863202911</v>
      </c>
      <c r="F10" s="33">
        <v>138.49613417610368</v>
      </c>
      <c r="G10" s="33">
        <v>158.28129620126134</v>
      </c>
      <c r="H10" s="33">
        <v>164.8763502096472</v>
      </c>
      <c r="I10" s="33">
        <v>180.70447982977336</v>
      </c>
      <c r="J10" s="19">
        <v>1047.2296022656485</v>
      </c>
      <c r="K10" s="19">
        <v>942922.0752577869</v>
      </c>
    </row>
    <row r="11" spans="1:11" x14ac:dyDescent="0.25">
      <c r="A11" s="10" t="s">
        <v>48</v>
      </c>
      <c r="B11" s="10" t="s">
        <v>49</v>
      </c>
      <c r="C11" s="33">
        <v>220.91529018807142</v>
      </c>
      <c r="D11" s="33">
        <v>435.19364032757414</v>
      </c>
      <c r="E11" s="33">
        <v>259.78879618683078</v>
      </c>
      <c r="F11" s="33">
        <v>310.51884806290997</v>
      </c>
      <c r="G11" s="33">
        <v>354.87868350046853</v>
      </c>
      <c r="H11" s="33">
        <v>369.66529531298801</v>
      </c>
      <c r="I11" s="33">
        <v>405.15316366303489</v>
      </c>
      <c r="J11" s="19">
        <v>2356.1137172418776</v>
      </c>
      <c r="K11" s="19">
        <v>2267910.0639776951</v>
      </c>
    </row>
    <row r="12" spans="1:11" x14ac:dyDescent="0.25">
      <c r="A12" s="10" t="s">
        <v>50</v>
      </c>
      <c r="B12" s="10" t="s">
        <v>51</v>
      </c>
      <c r="C12" s="33">
        <v>61.628729022423357</v>
      </c>
      <c r="D12" s="33">
        <v>127.04999521545736</v>
      </c>
      <c r="E12" s="33">
        <v>70.161937656297368</v>
      </c>
      <c r="F12" s="33">
        <v>87.697554851210242</v>
      </c>
      <c r="G12" s="33">
        <v>100.2257769728117</v>
      </c>
      <c r="H12" s="33">
        <v>104.40185101334552</v>
      </c>
      <c r="I12" s="33">
        <v>114.4244287106267</v>
      </c>
      <c r="J12" s="19">
        <v>665.59027344217225</v>
      </c>
      <c r="K12" s="19">
        <v>640801.01602421189</v>
      </c>
    </row>
    <row r="13" spans="1:11" x14ac:dyDescent="0.25">
      <c r="A13" s="10" t="s">
        <v>52</v>
      </c>
      <c r="B13" s="10" t="s">
        <v>53</v>
      </c>
      <c r="C13" s="33">
        <v>322.36565950190686</v>
      </c>
      <c r="D13" s="33">
        <v>709.20445090419491</v>
      </c>
      <c r="E13" s="33">
        <v>386.83879140228817</v>
      </c>
      <c r="F13" s="33">
        <v>469.76452458760167</v>
      </c>
      <c r="G13" s="33">
        <v>536.8737423858305</v>
      </c>
      <c r="H13" s="33">
        <v>559.24348165190668</v>
      </c>
      <c r="I13" s="33">
        <v>612.93085589048985</v>
      </c>
      <c r="J13" s="19">
        <v>3597.2215063242188</v>
      </c>
      <c r="K13" s="19">
        <v>3376732.6584969545</v>
      </c>
    </row>
    <row r="14" spans="1:11" x14ac:dyDescent="0.25">
      <c r="A14" s="10" t="s">
        <v>54</v>
      </c>
      <c r="B14" s="10" t="s">
        <v>55</v>
      </c>
      <c r="C14" s="33">
        <v>133.68693526402603</v>
      </c>
      <c r="D14" s="33">
        <v>260.73693047948348</v>
      </c>
      <c r="E14" s="33">
        <v>156.44215828769003</v>
      </c>
      <c r="F14" s="33">
        <v>185.73321507513529</v>
      </c>
      <c r="G14" s="33">
        <v>212.26653151444035</v>
      </c>
      <c r="H14" s="33">
        <v>221.11097032754199</v>
      </c>
      <c r="I14" s="33">
        <v>242.33762347898607</v>
      </c>
      <c r="J14" s="19">
        <v>1412.3143644273032</v>
      </c>
      <c r="K14" s="19">
        <v>1356935.6474367836</v>
      </c>
    </row>
    <row r="15" spans="1:11" x14ac:dyDescent="0.25">
      <c r="A15" s="10" t="s">
        <v>56</v>
      </c>
      <c r="B15" s="10" t="s">
        <v>57</v>
      </c>
      <c r="C15" s="33">
        <v>131.7906666787207</v>
      </c>
      <c r="D15" s="33">
        <v>235.13730457786141</v>
      </c>
      <c r="E15" s="33">
        <v>143.16827819055274</v>
      </c>
      <c r="F15" s="33">
        <v>170.28452958288608</v>
      </c>
      <c r="G15" s="33">
        <v>194.61089095186981</v>
      </c>
      <c r="H15" s="33">
        <v>202.71967807486436</v>
      </c>
      <c r="I15" s="33">
        <v>222.18076717005138</v>
      </c>
      <c r="J15" s="19">
        <v>1299.8921152268065</v>
      </c>
      <c r="K15" s="19">
        <v>1247740.9041201398</v>
      </c>
    </row>
    <row r="16" spans="1:11" x14ac:dyDescent="0.25">
      <c r="A16" s="10" t="s">
        <v>58</v>
      </c>
      <c r="B16" s="10" t="s">
        <v>59</v>
      </c>
      <c r="C16" s="33">
        <v>193.41939570114408</v>
      </c>
      <c r="D16" s="33">
        <v>418.12722305982618</v>
      </c>
      <c r="E16" s="33">
        <v>231.34476740725074</v>
      </c>
      <c r="F16" s="33">
        <v>272.69017170063518</v>
      </c>
      <c r="G16" s="33">
        <v>311.64591051501162</v>
      </c>
      <c r="H16" s="33">
        <v>324.6311567864704</v>
      </c>
      <c r="I16" s="33">
        <v>355.79574783797159</v>
      </c>
      <c r="J16" s="19">
        <v>2107.6543730083099</v>
      </c>
      <c r="K16" s="19">
        <v>2017107.8526271344</v>
      </c>
    </row>
    <row r="17" spans="1:11" x14ac:dyDescent="0.25">
      <c r="A17" s="10" t="s">
        <v>60</v>
      </c>
      <c r="B17" s="10" t="s">
        <v>61</v>
      </c>
      <c r="C17" s="33">
        <v>248.80440794521056</v>
      </c>
      <c r="D17" s="33">
        <v>490.83256114075061</v>
      </c>
      <c r="E17" s="33">
        <v>245.06355515902629</v>
      </c>
      <c r="F17" s="33">
        <v>337.38267223101656</v>
      </c>
      <c r="G17" s="33">
        <v>385.58019683544751</v>
      </c>
      <c r="H17" s="33">
        <v>401.64603837025777</v>
      </c>
      <c r="I17" s="33">
        <v>440.20405805380256</v>
      </c>
      <c r="J17" s="19">
        <v>2549.5134897355119</v>
      </c>
      <c r="K17" s="19">
        <v>2401574.8913211897</v>
      </c>
    </row>
    <row r="18" spans="1:11" x14ac:dyDescent="0.25">
      <c r="A18" s="10" t="s">
        <v>62</v>
      </c>
      <c r="B18" s="10" t="s">
        <v>63</v>
      </c>
      <c r="C18" s="33">
        <v>241.21686213102902</v>
      </c>
      <c r="D18" s="33">
        <v>475.86411835669986</v>
      </c>
      <c r="E18" s="33">
        <v>237.93706243248343</v>
      </c>
      <c r="F18" s="33">
        <v>327.09384132321549</v>
      </c>
      <c r="G18" s="33">
        <v>373.82153294081763</v>
      </c>
      <c r="H18" s="33">
        <v>389.397430146685</v>
      </c>
      <c r="I18" s="33">
        <v>426.77958344076683</v>
      </c>
      <c r="J18" s="19">
        <v>2472.1104307716969</v>
      </c>
      <c r="K18" s="19">
        <v>2328632.0199252968</v>
      </c>
    </row>
    <row r="19" spans="1:11" x14ac:dyDescent="0.25">
      <c r="A19" s="10" t="s">
        <v>64</v>
      </c>
      <c r="B19" s="10" t="s">
        <v>65</v>
      </c>
      <c r="C19" s="33">
        <v>132.61918267010665</v>
      </c>
      <c r="D19" s="33">
        <v>272.50246408142215</v>
      </c>
      <c r="E19" s="33">
        <v>134.0418021156913</v>
      </c>
      <c r="F19" s="33">
        <v>184.65011862422631</v>
      </c>
      <c r="G19" s="33">
        <v>211.02870699911577</v>
      </c>
      <c r="H19" s="33">
        <v>219.8215697907456</v>
      </c>
      <c r="I19" s="33">
        <v>240.92444049065719</v>
      </c>
      <c r="J19" s="19">
        <v>1395.5882847719652</v>
      </c>
      <c r="K19" s="19">
        <v>1256613.6546541571</v>
      </c>
    </row>
    <row r="20" spans="1:11" x14ac:dyDescent="0.25">
      <c r="A20" s="10" t="s">
        <v>66</v>
      </c>
      <c r="B20" s="10" t="s">
        <v>67</v>
      </c>
      <c r="C20" s="33">
        <v>280.65213589774538</v>
      </c>
      <c r="D20" s="33">
        <v>553.66063563732018</v>
      </c>
      <c r="E20" s="33">
        <v>274.97607327344053</v>
      </c>
      <c r="F20" s="33">
        <v>380.56868991394606</v>
      </c>
      <c r="G20" s="33">
        <v>434.93564561593837</v>
      </c>
      <c r="H20" s="33">
        <v>453.05796418326906</v>
      </c>
      <c r="I20" s="33">
        <v>496.55152874486299</v>
      </c>
      <c r="J20" s="19">
        <v>2874.4026732665229</v>
      </c>
      <c r="K20" s="19">
        <v>2707743.0227809278</v>
      </c>
    </row>
    <row r="21" spans="1:11" x14ac:dyDescent="0.25">
      <c r="A21" s="10" t="s">
        <v>68</v>
      </c>
      <c r="B21" s="10" t="s">
        <v>69</v>
      </c>
      <c r="C21" s="33">
        <v>97.657832143224709</v>
      </c>
      <c r="D21" s="33">
        <v>248.41118467499876</v>
      </c>
      <c r="E21" s="33">
        <v>134.63506955667873</v>
      </c>
      <c r="F21" s="33">
        <v>169.67125996854199</v>
      </c>
      <c r="G21" s="33">
        <v>193.9100113926194</v>
      </c>
      <c r="H21" s="33">
        <v>201.9895952006452</v>
      </c>
      <c r="I21" s="33">
        <v>221.38059633990716</v>
      </c>
      <c r="J21" s="19">
        <v>1267.6555492766161</v>
      </c>
      <c r="K21" s="19">
        <v>1238872.2434402232</v>
      </c>
    </row>
    <row r="22" spans="1:11" x14ac:dyDescent="0.25">
      <c r="A22" s="10" t="s">
        <v>70</v>
      </c>
      <c r="B22" s="10" t="s">
        <v>71</v>
      </c>
      <c r="C22" s="33">
        <v>130.84253238606806</v>
      </c>
      <c r="D22" s="33">
        <v>312.88431657538013</v>
      </c>
      <c r="E22" s="33">
        <v>154.54588970238473</v>
      </c>
      <c r="F22" s="33">
        <v>220.77706116388592</v>
      </c>
      <c r="G22" s="33">
        <v>252.31664133015533</v>
      </c>
      <c r="H22" s="33">
        <v>262.8298347189118</v>
      </c>
      <c r="I22" s="33">
        <v>288.06149885192735</v>
      </c>
      <c r="J22" s="19">
        <v>1622.2577747287135</v>
      </c>
      <c r="K22" s="19">
        <v>1633497.6102391109</v>
      </c>
    </row>
    <row r="23" spans="1:11" x14ac:dyDescent="0.25">
      <c r="A23" s="10" t="s">
        <v>72</v>
      </c>
      <c r="B23" s="10" t="s">
        <v>73</v>
      </c>
      <c r="C23" s="33">
        <v>160.24555761149307</v>
      </c>
      <c r="D23" s="33">
        <v>329.26842428109967</v>
      </c>
      <c r="E23" s="33">
        <v>160.77947257099893</v>
      </c>
      <c r="F23" s="33">
        <v>223.11524340767292</v>
      </c>
      <c r="G23" s="33">
        <v>254.98884960876902</v>
      </c>
      <c r="H23" s="33">
        <v>265.61338500913439</v>
      </c>
      <c r="I23" s="33">
        <v>291.11226997001131</v>
      </c>
      <c r="J23" s="19">
        <v>1685.1232024591793</v>
      </c>
      <c r="K23" s="19">
        <v>1517373.6596764962</v>
      </c>
    </row>
    <row r="24" spans="1:11" x14ac:dyDescent="0.25">
      <c r="A24" s="10" t="s">
        <v>74</v>
      </c>
      <c r="B24" s="10" t="s">
        <v>75</v>
      </c>
      <c r="C24" s="33">
        <v>222.81155877337679</v>
      </c>
      <c r="D24" s="33">
        <v>474.06714632633356</v>
      </c>
      <c r="E24" s="33">
        <v>220.91529018807142</v>
      </c>
      <c r="F24" s="33">
        <v>318.28692984460224</v>
      </c>
      <c r="G24" s="33">
        <v>363.75649125097397</v>
      </c>
      <c r="H24" s="33">
        <v>378.91301171976448</v>
      </c>
      <c r="I24" s="33">
        <v>415.28866084486197</v>
      </c>
      <c r="J24" s="19">
        <v>2394.0390889479845</v>
      </c>
      <c r="K24" s="19">
        <v>2390875.4419056494</v>
      </c>
    </row>
    <row r="25" spans="1:11" x14ac:dyDescent="0.25">
      <c r="A25" s="10" t="s">
        <v>76</v>
      </c>
      <c r="B25" s="10" t="s">
        <v>77</v>
      </c>
      <c r="C25" s="33">
        <v>50.109136795301694</v>
      </c>
      <c r="D25" s="33">
        <v>98.853537816766845</v>
      </c>
      <c r="E25" s="33">
        <v>48.960550983127817</v>
      </c>
      <c r="F25" s="33">
        <v>67.948773957860595</v>
      </c>
      <c r="G25" s="33">
        <v>77.655741666126389</v>
      </c>
      <c r="H25" s="33">
        <v>80.891397568881644</v>
      </c>
      <c r="I25" s="33">
        <v>88.656971735494295</v>
      </c>
      <c r="J25" s="19">
        <v>513.07611052355935</v>
      </c>
      <c r="K25" s="19">
        <v>483339.8055094257</v>
      </c>
    </row>
    <row r="26" spans="1:11" x14ac:dyDescent="0.25">
      <c r="A26" s="10" t="s">
        <v>78</v>
      </c>
      <c r="B26" s="10" t="s">
        <v>79</v>
      </c>
      <c r="C26" s="33">
        <v>89.674889671972949</v>
      </c>
      <c r="D26" s="33">
        <v>184.26164231933919</v>
      </c>
      <c r="E26" s="33">
        <v>90.582702483735048</v>
      </c>
      <c r="F26" s="33">
        <v>124.85734478347544</v>
      </c>
      <c r="G26" s="33">
        <v>142.69410832397193</v>
      </c>
      <c r="H26" s="33">
        <v>148.63969617080409</v>
      </c>
      <c r="I26" s="33">
        <v>162.90910700320129</v>
      </c>
      <c r="J26" s="19">
        <v>943.61949075649989</v>
      </c>
      <c r="K26" s="19">
        <v>849655.16557734297</v>
      </c>
    </row>
    <row r="27" spans="1:11" x14ac:dyDescent="0.25">
      <c r="A27" s="10" t="s">
        <v>80</v>
      </c>
      <c r="B27" s="10" t="s">
        <v>81</v>
      </c>
      <c r="C27" s="33">
        <v>130.84320130277763</v>
      </c>
      <c r="D27" s="33">
        <v>268.85322353404433</v>
      </c>
      <c r="E27" s="33">
        <v>132.32295175493434</v>
      </c>
      <c r="F27" s="33">
        <v>182.17736043382584</v>
      </c>
      <c r="G27" s="33">
        <v>208.20269763865809</v>
      </c>
      <c r="H27" s="33">
        <v>216.87781004026883</v>
      </c>
      <c r="I27" s="33">
        <v>237.69807980413466</v>
      </c>
      <c r="J27" s="19">
        <v>1376.9753245086438</v>
      </c>
      <c r="K27" s="19">
        <v>1239850.5103311378</v>
      </c>
    </row>
    <row r="28" spans="1:11" x14ac:dyDescent="0.25">
      <c r="A28" s="10" t="s">
        <v>82</v>
      </c>
      <c r="B28" s="10" t="s">
        <v>83</v>
      </c>
      <c r="C28" s="33">
        <v>61.628729022423357</v>
      </c>
      <c r="D28" s="33">
        <v>117.56865228893072</v>
      </c>
      <c r="E28" s="33">
        <v>46.458580339980685</v>
      </c>
      <c r="F28" s="33">
        <v>86.879862032084745</v>
      </c>
      <c r="G28" s="33">
        <v>99.291270893811117</v>
      </c>
      <c r="H28" s="33">
        <v>103.42840718105325</v>
      </c>
      <c r="I28" s="33">
        <v>113.35753427043437</v>
      </c>
      <c r="J28" s="19">
        <v>628.61303602871828</v>
      </c>
      <c r="K28" s="19">
        <v>626532.05808339128</v>
      </c>
    </row>
    <row r="29" spans="1:11" x14ac:dyDescent="0.25">
      <c r="A29" s="10" t="s">
        <v>84</v>
      </c>
      <c r="B29" s="10" t="s">
        <v>85</v>
      </c>
      <c r="C29" s="33">
        <v>133.19415280191964</v>
      </c>
      <c r="D29" s="33">
        <v>262.76072714569921</v>
      </c>
      <c r="E29" s="33">
        <v>130.78948842814333</v>
      </c>
      <c r="F29" s="33">
        <v>180.6133563668763</v>
      </c>
      <c r="G29" s="33">
        <v>206.41526441928718</v>
      </c>
      <c r="H29" s="33">
        <v>215.01590043675748</v>
      </c>
      <c r="I29" s="33">
        <v>235.65742687868621</v>
      </c>
      <c r="J29" s="19">
        <v>1364.4463164773695</v>
      </c>
      <c r="K29" s="19">
        <v>1285308.8453966335</v>
      </c>
    </row>
    <row r="30" spans="1:11" x14ac:dyDescent="0.25">
      <c r="A30" s="10" t="s">
        <v>86</v>
      </c>
      <c r="B30" s="10" t="s">
        <v>87</v>
      </c>
      <c r="C30" s="33">
        <v>161.82976420079089</v>
      </c>
      <c r="D30" s="33">
        <v>319.25205139038212</v>
      </c>
      <c r="E30" s="33">
        <v>159.58134108659405</v>
      </c>
      <c r="F30" s="33">
        <v>219.44369371703948</v>
      </c>
      <c r="G30" s="33">
        <v>250.79279281947368</v>
      </c>
      <c r="H30" s="33">
        <v>261.24249252028505</v>
      </c>
      <c r="I30" s="33">
        <v>286.32177180223249</v>
      </c>
      <c r="J30" s="19">
        <v>1658.4639075367977</v>
      </c>
      <c r="K30" s="19">
        <v>1562212.9153246433</v>
      </c>
    </row>
    <row r="31" spans="1:11" x14ac:dyDescent="0.25">
      <c r="A31" s="10" t="s">
        <v>88</v>
      </c>
      <c r="B31" s="10" t="s">
        <v>89</v>
      </c>
      <c r="C31" s="33">
        <v>200.05633574971273</v>
      </c>
      <c r="D31" s="33">
        <v>439.93431179083751</v>
      </c>
      <c r="E31" s="33">
        <v>227.5522302366401</v>
      </c>
      <c r="F31" s="33">
        <v>300.27878465049724</v>
      </c>
      <c r="G31" s="33">
        <v>343.17575388628251</v>
      </c>
      <c r="H31" s="33">
        <v>357.47474363154424</v>
      </c>
      <c r="I31" s="33">
        <v>391.79231902017256</v>
      </c>
      <c r="J31" s="19">
        <v>2260.264478965687</v>
      </c>
      <c r="K31" s="19">
        <v>2061729.158819868</v>
      </c>
    </row>
    <row r="32" spans="1:11" x14ac:dyDescent="0.25">
      <c r="A32" s="10"/>
      <c r="B32" s="10" t="s">
        <v>90</v>
      </c>
      <c r="C32" s="20">
        <v>4246.839971316077</v>
      </c>
      <c r="D32" s="20">
        <v>8718.9127169133226</v>
      </c>
      <c r="E32" s="20">
        <v>4488.2657407703919</v>
      </c>
      <c r="F32" s="20">
        <v>5972.0144796046779</v>
      </c>
      <c r="G32" s="20">
        <v>6825.1594052624887</v>
      </c>
      <c r="H32" s="20">
        <v>7109.5410471484283</v>
      </c>
      <c r="I32" s="20">
        <v>7792.0569876746767</v>
      </c>
      <c r="J32" s="21">
        <v>45152.790348690061</v>
      </c>
      <c r="K32" s="21">
        <v>42556139.119284384</v>
      </c>
    </row>
    <row r="33" spans="1:11" x14ac:dyDescent="0.25">
      <c r="A33" s="10"/>
      <c r="B33" s="10" t="s">
        <v>91</v>
      </c>
      <c r="C33" s="22">
        <v>9.4054873209829942E-2</v>
      </c>
      <c r="D33" s="22">
        <v>0.19309798241884887</v>
      </c>
      <c r="E33" s="22">
        <v>9.9401735886309447E-2</v>
      </c>
      <c r="F33" s="263">
        <v>0.61344540848501183</v>
      </c>
      <c r="G33" s="263"/>
      <c r="H33" s="264"/>
      <c r="I33" s="264"/>
      <c r="J33" s="23">
        <v>1</v>
      </c>
      <c r="K33" s="24"/>
    </row>
    <row r="34" spans="1:11" x14ac:dyDescent="0.25">
      <c r="K34" s="4">
        <f>K32/J32</f>
        <v>942.49189896453413</v>
      </c>
    </row>
  </sheetData>
  <mergeCells count="8">
    <mergeCell ref="J1:J2"/>
    <mergeCell ref="K1:K2"/>
    <mergeCell ref="F33:I33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Prepočet ČD a sadzieb</vt:lpstr>
      <vt:lpstr>Prehľad</vt:lpstr>
      <vt:lpstr>Sadzby</vt:lpstr>
      <vt:lpstr>Hárok2</vt:lpstr>
      <vt:lpstr>AP_výpočet</vt:lpstr>
      <vt:lpstr>AP</vt:lpstr>
      <vt:lpstr>Sumár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2019-03-28T06:59:11Z</cp:lastPrinted>
  <dcterms:created xsi:type="dcterms:W3CDTF">2018-09-12T06:31:54Z</dcterms:created>
  <dcterms:modified xsi:type="dcterms:W3CDTF">2019-03-28T07:04:23Z</dcterms:modified>
</cp:coreProperties>
</file>