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gabriela.porembova\Desktop\Stavby BPMK\MŠ Čordákova 17 upravená PD\zadanie\"/>
    </mc:Choice>
  </mc:AlternateContent>
  <xr:revisionPtr revIDLastSave="0" documentId="13_ncr:1_{1ED1906E-85C2-4B7A-BFEB-C2273B5BA3E4}" xr6:coauthVersionLast="46" xr6:coauthVersionMax="46" xr10:uidLastSave="{00000000-0000-0000-0000-000000000000}"/>
  <bookViews>
    <workbookView xWindow="45" yWindow="0" windowWidth="25155" windowHeight="15150" firstSheet="1" activeTab="4" xr2:uid="{00000000-000D-0000-FFFF-FFFF00000000}"/>
  </bookViews>
  <sheets>
    <sheet name="Rekapitulácia stavby" sheetId="1" r:id="rId1"/>
    <sheet name="01- MŠ Čordáková 1..." sheetId="2" r:id="rId2"/>
    <sheet name="02 ZTI - Rekonštrukcia čas..." sheetId="3" r:id="rId3"/>
    <sheet name="03 ELI MŠ Čordákova" sheetId="4" r:id="rId4"/>
    <sheet name="04 - Obvodový plášť..." sheetId="5" r:id="rId5"/>
    <sheet name="05 Ležatá kanalizácia" sheetId="6" r:id="rId6"/>
    <sheet name="Hárok1" sheetId="7" r:id="rId7"/>
  </sheets>
  <externalReferences>
    <externalReference r:id="rId8"/>
    <externalReference r:id="rId9"/>
    <externalReference r:id="rId10"/>
  </externalReferences>
  <definedNames>
    <definedName name="_xlnm._FilterDatabase" localSheetId="1" hidden="1">'01- MŠ Čordáková 1...'!$C$128:$K$363</definedName>
    <definedName name="_xlnm._FilterDatabase" localSheetId="2" hidden="1">'02 ZTI - Rekonštrukcia čas...'!$C$120:$K$189</definedName>
    <definedName name="_xlnm._FilterDatabase" localSheetId="3" hidden="1">'03 ELI MŠ Čordákova'!$C$123:$K$189</definedName>
    <definedName name="_xlnm._FilterDatabase" localSheetId="4" hidden="1">'04 - Obvodový plášť...'!$C$124:$K$220</definedName>
    <definedName name="_xlnm._FilterDatabase" localSheetId="5" hidden="1">'05 Ležatá kanalizácia'!$C$124:$K$184</definedName>
    <definedName name="_xlnm.Print_Titles" localSheetId="1">'01- MŠ Čordáková 1...'!$128:$128</definedName>
    <definedName name="_xlnm.Print_Titles" localSheetId="2">'02 ZTI - Rekonštrukcia čas...'!$120:$120</definedName>
    <definedName name="_xlnm.Print_Titles" localSheetId="3">'03 ELI MŠ Čordákova'!$123:$123</definedName>
    <definedName name="_xlnm.Print_Titles" localSheetId="4">'04 - Obvodový plášť...'!$124:$124</definedName>
    <definedName name="_xlnm.Print_Titles" localSheetId="5">'05 Ležatá kanalizácia'!$124:$124</definedName>
    <definedName name="_xlnm.Print_Titles" localSheetId="0">'Rekapitulácia stavby'!$92:$92</definedName>
    <definedName name="_xlnm.Print_Area" localSheetId="1">'01- MŠ Čordáková 1...'!$C$4:$J$76,'01- MŠ Čordáková 1...'!$C$82:$J$112,'01- MŠ Čordáková 1...'!$C$118:$K$363</definedName>
    <definedName name="_xlnm.Print_Area" localSheetId="2">'02 ZTI - Rekonštrukcia čas...'!$C$4:$J$76,'02 ZTI - Rekonštrukcia čas...'!$C$82:$J$104,'02 ZTI - Rekonštrukcia čas...'!$C$110:$K$189</definedName>
    <definedName name="_xlnm.Print_Area" localSheetId="3">'03 ELI MŠ Čordákova'!$C$4:$J$76,'03 ELI MŠ Čordákova'!$C$82:$J$105,'03 ELI MŠ Čordákova'!$C$111:$K$189</definedName>
    <definedName name="_xlnm.Print_Area" localSheetId="4">'04 - Obvodový plášť...'!$C$4:$J$76,'04 - Obvodový plášť...'!$C$82:$J$106,'04 - Obvodový plášť...'!$C$112:$K$220</definedName>
    <definedName name="_xlnm.Print_Area" localSheetId="5">'05 Ležatá kanalizácia'!$C$4:$J$76,'05 Ležatá kanalizácia'!$C$82:$J$108,'05 Ležatá kanalizácia'!$C$114:$K$184</definedName>
    <definedName name="_xlnm.Print_Area" localSheetId="0">'Rekapitulácia stavby'!$D$4:$AO$76,'Rekapitulácia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8" i="2" l="1"/>
  <c r="BK167" i="2"/>
  <c r="BI167" i="2"/>
  <c r="BH167" i="2"/>
  <c r="BG167" i="2"/>
  <c r="BE167" i="2"/>
  <c r="T167" i="2"/>
  <c r="R167" i="2"/>
  <c r="P167" i="2"/>
  <c r="J167" i="2"/>
  <c r="BF167" i="2" s="1"/>
  <c r="BK169" i="2" l="1"/>
  <c r="BI169" i="2"/>
  <c r="BH169" i="2"/>
  <c r="BG169" i="2"/>
  <c r="BE169" i="2"/>
  <c r="T169" i="2"/>
  <c r="R169" i="2"/>
  <c r="P169" i="2"/>
  <c r="J169" i="2"/>
  <c r="BF169" i="2" s="1"/>
  <c r="H241" i="2" l="1"/>
  <c r="H146" i="2"/>
  <c r="H142" i="2"/>
  <c r="H137" i="2"/>
  <c r="BD99" i="1"/>
  <c r="BC99" i="1"/>
  <c r="BB99" i="1"/>
  <c r="AX99" i="1"/>
  <c r="BE172" i="6"/>
  <c r="BF172" i="6"/>
  <c r="BG172" i="6"/>
  <c r="BH172" i="6"/>
  <c r="BI172" i="6"/>
  <c r="BK171" i="6"/>
  <c r="BI171" i="6"/>
  <c r="BH171" i="6"/>
  <c r="BG171" i="6"/>
  <c r="BF171" i="6"/>
  <c r="BE171" i="6"/>
  <c r="T171" i="6"/>
  <c r="R171" i="6"/>
  <c r="P171" i="6"/>
  <c r="J171" i="6"/>
  <c r="BK170" i="6"/>
  <c r="BI170" i="6"/>
  <c r="BH170" i="6"/>
  <c r="BG170" i="6"/>
  <c r="BF170" i="6"/>
  <c r="BE170" i="6"/>
  <c r="T170" i="6"/>
  <c r="R170" i="6"/>
  <c r="P170" i="6"/>
  <c r="J170" i="6"/>
  <c r="BK169" i="6"/>
  <c r="BI169" i="6"/>
  <c r="BH169" i="6"/>
  <c r="BG169" i="6"/>
  <c r="BF169" i="6"/>
  <c r="BE169" i="6"/>
  <c r="T169" i="6"/>
  <c r="R169" i="6"/>
  <c r="P169" i="6"/>
  <c r="J169" i="6"/>
  <c r="BK168" i="6"/>
  <c r="BI168" i="6"/>
  <c r="BH168" i="6"/>
  <c r="BG168" i="6"/>
  <c r="BF168" i="6"/>
  <c r="BE168" i="6"/>
  <c r="T168" i="6"/>
  <c r="R168" i="6"/>
  <c r="P168" i="6"/>
  <c r="J168" i="6"/>
  <c r="BK167" i="6"/>
  <c r="BI167" i="6"/>
  <c r="BH167" i="6"/>
  <c r="BG167" i="6"/>
  <c r="BF167" i="6"/>
  <c r="BE167" i="6"/>
  <c r="T167" i="6"/>
  <c r="R167" i="6"/>
  <c r="P167" i="6"/>
  <c r="J167" i="6"/>
  <c r="BK166" i="6"/>
  <c r="BI166" i="6"/>
  <c r="BH166" i="6"/>
  <c r="BG166" i="6"/>
  <c r="BF166" i="6"/>
  <c r="BE166" i="6"/>
  <c r="T166" i="6"/>
  <c r="R166" i="6"/>
  <c r="P166" i="6"/>
  <c r="J166" i="6"/>
  <c r="BK165" i="6"/>
  <c r="BI165" i="6"/>
  <c r="BH165" i="6"/>
  <c r="BG165" i="6"/>
  <c r="BF165" i="6"/>
  <c r="BE165" i="6"/>
  <c r="T165" i="6"/>
  <c r="R165" i="6"/>
  <c r="P165" i="6"/>
  <c r="J165" i="6"/>
  <c r="BK164" i="6"/>
  <c r="BI164" i="6"/>
  <c r="BH164" i="6"/>
  <c r="BG164" i="6"/>
  <c r="BF164" i="6"/>
  <c r="BE164" i="6"/>
  <c r="T164" i="6"/>
  <c r="R164" i="6"/>
  <c r="P164" i="6"/>
  <c r="J164" i="6"/>
  <c r="BI163" i="6"/>
  <c r="BH163" i="6"/>
  <c r="BG163" i="6"/>
  <c r="BF163" i="6"/>
  <c r="BE163" i="6"/>
  <c r="BK162" i="6"/>
  <c r="BI162" i="6"/>
  <c r="BH162" i="6"/>
  <c r="BG162" i="6"/>
  <c r="BF162" i="6"/>
  <c r="BE162" i="6"/>
  <c r="T162" i="6"/>
  <c r="R162" i="6"/>
  <c r="P162" i="6"/>
  <c r="J162" i="6"/>
  <c r="BK161" i="6"/>
  <c r="BI161" i="6"/>
  <c r="BH161" i="6"/>
  <c r="BG161" i="6"/>
  <c r="BF161" i="6"/>
  <c r="BE161" i="6"/>
  <c r="T161" i="6"/>
  <c r="R161" i="6"/>
  <c r="P161" i="6"/>
  <c r="J161" i="6"/>
  <c r="BK160" i="6"/>
  <c r="BI160" i="6"/>
  <c r="BH160" i="6"/>
  <c r="BG160" i="6"/>
  <c r="BF160" i="6"/>
  <c r="BE160" i="6"/>
  <c r="T160" i="6"/>
  <c r="R160" i="6"/>
  <c r="P160" i="6"/>
  <c r="J160" i="6"/>
  <c r="BK159" i="6"/>
  <c r="BI159" i="6"/>
  <c r="BH159" i="6"/>
  <c r="BG159" i="6"/>
  <c r="BF159" i="6"/>
  <c r="BE159" i="6"/>
  <c r="T159" i="6"/>
  <c r="R159" i="6"/>
  <c r="P159" i="6"/>
  <c r="J159" i="6"/>
  <c r="BK158" i="6"/>
  <c r="BI158" i="6"/>
  <c r="BH158" i="6"/>
  <c r="BG158" i="6"/>
  <c r="BF158" i="6"/>
  <c r="BE158" i="6"/>
  <c r="T158" i="6"/>
  <c r="R158" i="6"/>
  <c r="P158" i="6"/>
  <c r="J158" i="6"/>
  <c r="BK157" i="6"/>
  <c r="BI157" i="6"/>
  <c r="BH157" i="6"/>
  <c r="BG157" i="6"/>
  <c r="BF157" i="6"/>
  <c r="BE157" i="6"/>
  <c r="T157" i="6"/>
  <c r="R157" i="6"/>
  <c r="P157" i="6"/>
  <c r="J157" i="6"/>
  <c r="BK156" i="6"/>
  <c r="BI156" i="6"/>
  <c r="BH156" i="6"/>
  <c r="BG156" i="6"/>
  <c r="BF156" i="6"/>
  <c r="BE156" i="6"/>
  <c r="T156" i="6"/>
  <c r="R156" i="6"/>
  <c r="P156" i="6"/>
  <c r="J156" i="6"/>
  <c r="J155" i="6"/>
  <c r="BK155" i="6"/>
  <c r="BI155" i="6"/>
  <c r="BH155" i="6"/>
  <c r="BG155" i="6"/>
  <c r="BF155" i="6"/>
  <c r="BE155" i="6"/>
  <c r="T155" i="6"/>
  <c r="R155" i="6"/>
  <c r="P155" i="6"/>
  <c r="BI154" i="6"/>
  <c r="BH154" i="6"/>
  <c r="BG154" i="6"/>
  <c r="BF154" i="6"/>
  <c r="BE154" i="6"/>
  <c r="BK153" i="6"/>
  <c r="BI153" i="6"/>
  <c r="BH153" i="6"/>
  <c r="BG153" i="6"/>
  <c r="BF153" i="6"/>
  <c r="BE153" i="6"/>
  <c r="T153" i="6"/>
  <c r="R153" i="6"/>
  <c r="P153" i="6"/>
  <c r="J153" i="6"/>
  <c r="BK152" i="6"/>
  <c r="BI152" i="6"/>
  <c r="BH152" i="6"/>
  <c r="BG152" i="6"/>
  <c r="BF152" i="6"/>
  <c r="BE152" i="6"/>
  <c r="T152" i="6"/>
  <c r="R152" i="6"/>
  <c r="P152" i="6"/>
  <c r="J152" i="6"/>
  <c r="BI151" i="6"/>
  <c r="BH151" i="6"/>
  <c r="BG151" i="6"/>
  <c r="BF151" i="6"/>
  <c r="BE151" i="6"/>
  <c r="BE146" i="6"/>
  <c r="BF146" i="6"/>
  <c r="BG146" i="6"/>
  <c r="BH146" i="6"/>
  <c r="BI146" i="6"/>
  <c r="BK150" i="6"/>
  <c r="BI150" i="6"/>
  <c r="BH150" i="6"/>
  <c r="BG150" i="6"/>
  <c r="BF150" i="6"/>
  <c r="BE150" i="6"/>
  <c r="T150" i="6"/>
  <c r="R150" i="6"/>
  <c r="P150" i="6"/>
  <c r="J150" i="6"/>
  <c r="BK149" i="6"/>
  <c r="BI149" i="6"/>
  <c r="BH149" i="6"/>
  <c r="BG149" i="6"/>
  <c r="BF149" i="6"/>
  <c r="BE149" i="6"/>
  <c r="T149" i="6"/>
  <c r="R149" i="6"/>
  <c r="P149" i="6"/>
  <c r="J149" i="6"/>
  <c r="BK148" i="6"/>
  <c r="BI148" i="6"/>
  <c r="BH148" i="6"/>
  <c r="BG148" i="6"/>
  <c r="BF148" i="6"/>
  <c r="BE148" i="6"/>
  <c r="T148" i="6"/>
  <c r="R148" i="6"/>
  <c r="P148" i="6"/>
  <c r="J148" i="6"/>
  <c r="BK147" i="6"/>
  <c r="BI147" i="6"/>
  <c r="BH147" i="6"/>
  <c r="BG147" i="6"/>
  <c r="BF147" i="6"/>
  <c r="BE147" i="6"/>
  <c r="T147" i="6"/>
  <c r="R147" i="6"/>
  <c r="P147" i="6"/>
  <c r="J147" i="6"/>
  <c r="BK145" i="6"/>
  <c r="BI145" i="6"/>
  <c r="BH145" i="6"/>
  <c r="BG145" i="6"/>
  <c r="BF145" i="6"/>
  <c r="BE145" i="6"/>
  <c r="T145" i="6"/>
  <c r="R145" i="6"/>
  <c r="P145" i="6"/>
  <c r="J145" i="6"/>
  <c r="BK144" i="6"/>
  <c r="BI144" i="6"/>
  <c r="BH144" i="6"/>
  <c r="BG144" i="6"/>
  <c r="BF144" i="6"/>
  <c r="BE144" i="6"/>
  <c r="T144" i="6"/>
  <c r="R144" i="6"/>
  <c r="P144" i="6"/>
  <c r="J144" i="6"/>
  <c r="BK143" i="6"/>
  <c r="BI143" i="6"/>
  <c r="BH143" i="6"/>
  <c r="BG143" i="6"/>
  <c r="BF143" i="6"/>
  <c r="BE143" i="6"/>
  <c r="T143" i="6"/>
  <c r="R143" i="6"/>
  <c r="P143" i="6"/>
  <c r="J143" i="6"/>
  <c r="BK142" i="6"/>
  <c r="BI142" i="6"/>
  <c r="BH142" i="6"/>
  <c r="BG142" i="6"/>
  <c r="BF142" i="6"/>
  <c r="BE142" i="6"/>
  <c r="T142" i="6"/>
  <c r="R142" i="6"/>
  <c r="P142" i="6"/>
  <c r="J142" i="6"/>
  <c r="BK141" i="6"/>
  <c r="BI141" i="6"/>
  <c r="BH141" i="6"/>
  <c r="BG141" i="6"/>
  <c r="BF141" i="6"/>
  <c r="BE141" i="6"/>
  <c r="T141" i="6"/>
  <c r="R141" i="6"/>
  <c r="P141" i="6"/>
  <c r="J141" i="6"/>
  <c r="BK140" i="6"/>
  <c r="BI140" i="6"/>
  <c r="BH140" i="6"/>
  <c r="BG140" i="6"/>
  <c r="BF140" i="6"/>
  <c r="BE140" i="6"/>
  <c r="T140" i="6"/>
  <c r="R140" i="6"/>
  <c r="P140" i="6"/>
  <c r="J140" i="6"/>
  <c r="BK139" i="6"/>
  <c r="BI139" i="6"/>
  <c r="BH139" i="6"/>
  <c r="BG139" i="6"/>
  <c r="BF139" i="6"/>
  <c r="BE139" i="6"/>
  <c r="T139" i="6"/>
  <c r="R139" i="6"/>
  <c r="P139" i="6"/>
  <c r="J139" i="6"/>
  <c r="BK138" i="6"/>
  <c r="BI138" i="6"/>
  <c r="BH138" i="6"/>
  <c r="BG138" i="6"/>
  <c r="BF138" i="6"/>
  <c r="BE138" i="6"/>
  <c r="T138" i="6"/>
  <c r="R138" i="6"/>
  <c r="P138" i="6"/>
  <c r="J138" i="6"/>
  <c r="BK137" i="6"/>
  <c r="BI137" i="6"/>
  <c r="BH137" i="6"/>
  <c r="BG137" i="6"/>
  <c r="BF137" i="6"/>
  <c r="BE137" i="6"/>
  <c r="T137" i="6"/>
  <c r="R137" i="6"/>
  <c r="P137" i="6"/>
  <c r="J137" i="6"/>
  <c r="BK136" i="6"/>
  <c r="BI136" i="6"/>
  <c r="BH136" i="6"/>
  <c r="BG136" i="6"/>
  <c r="BF136" i="6"/>
  <c r="BE136" i="6"/>
  <c r="T136" i="6"/>
  <c r="R136" i="6"/>
  <c r="P136" i="6"/>
  <c r="J136" i="6"/>
  <c r="BK135" i="6"/>
  <c r="BI135" i="6"/>
  <c r="BH135" i="6"/>
  <c r="BG135" i="6"/>
  <c r="BF135" i="6"/>
  <c r="BE135" i="6"/>
  <c r="T135" i="6"/>
  <c r="R135" i="6"/>
  <c r="P135" i="6"/>
  <c r="J135" i="6"/>
  <c r="BK134" i="6"/>
  <c r="BI134" i="6"/>
  <c r="BH134" i="6"/>
  <c r="BG134" i="6"/>
  <c r="BF134" i="6"/>
  <c r="BE134" i="6"/>
  <c r="T134" i="6"/>
  <c r="R134" i="6"/>
  <c r="P134" i="6"/>
  <c r="J134" i="6"/>
  <c r="BK133" i="6"/>
  <c r="BI133" i="6"/>
  <c r="BH133" i="6"/>
  <c r="BG133" i="6"/>
  <c r="BF133" i="6"/>
  <c r="BE133" i="6"/>
  <c r="T133" i="6"/>
  <c r="R133" i="6"/>
  <c r="P133" i="6"/>
  <c r="J133" i="6"/>
  <c r="BK132" i="6"/>
  <c r="BI132" i="6"/>
  <c r="BH132" i="6"/>
  <c r="BG132" i="6"/>
  <c r="BF132" i="6"/>
  <c r="BE132" i="6"/>
  <c r="T132" i="6"/>
  <c r="R132" i="6"/>
  <c r="P132" i="6"/>
  <c r="J132" i="6"/>
  <c r="BK131" i="6"/>
  <c r="BI131" i="6"/>
  <c r="BH131" i="6"/>
  <c r="BG131" i="6"/>
  <c r="BF131" i="6"/>
  <c r="BE131" i="6"/>
  <c r="T131" i="6"/>
  <c r="R131" i="6"/>
  <c r="P131" i="6"/>
  <c r="J131" i="6"/>
  <c r="BK130" i="6"/>
  <c r="BI130" i="6"/>
  <c r="BH130" i="6"/>
  <c r="BG130" i="6"/>
  <c r="BF130" i="6"/>
  <c r="BE130" i="6"/>
  <c r="T130" i="6"/>
  <c r="R130" i="6"/>
  <c r="P130" i="6"/>
  <c r="J130" i="6"/>
  <c r="BK129" i="6"/>
  <c r="BI129" i="6"/>
  <c r="BH129" i="6"/>
  <c r="BG129" i="6"/>
  <c r="BF129" i="6"/>
  <c r="BE129" i="6"/>
  <c r="T129" i="6"/>
  <c r="R129" i="6"/>
  <c r="P129" i="6"/>
  <c r="J129" i="6"/>
  <c r="BK128" i="6"/>
  <c r="BI128" i="6"/>
  <c r="BH128" i="6"/>
  <c r="BG128" i="6"/>
  <c r="BF128" i="6"/>
  <c r="BE128" i="6"/>
  <c r="T128" i="6"/>
  <c r="R128" i="6"/>
  <c r="P128" i="6"/>
  <c r="J128" i="6"/>
  <c r="BK126" i="6"/>
  <c r="T126" i="6"/>
  <c r="BK184" i="6"/>
  <c r="BI184" i="6"/>
  <c r="BH184" i="6"/>
  <c r="BG184" i="6"/>
  <c r="BF184" i="6"/>
  <c r="BE184" i="6"/>
  <c r="T184" i="6"/>
  <c r="R184" i="6"/>
  <c r="P184" i="6"/>
  <c r="J184" i="6"/>
  <c r="BK182" i="6"/>
  <c r="BI182" i="6"/>
  <c r="BH182" i="6"/>
  <c r="BG182" i="6"/>
  <c r="BF182" i="6"/>
  <c r="BE182" i="6"/>
  <c r="T182" i="6"/>
  <c r="R182" i="6"/>
  <c r="P182" i="6"/>
  <c r="J182" i="6"/>
  <c r="BK181" i="6"/>
  <c r="BI181" i="6"/>
  <c r="BH181" i="6"/>
  <c r="BG181" i="6"/>
  <c r="BF181" i="6"/>
  <c r="BE181" i="6"/>
  <c r="T181" i="6"/>
  <c r="R181" i="6"/>
  <c r="P181" i="6"/>
  <c r="J181" i="6"/>
  <c r="BK180" i="6"/>
  <c r="BI180" i="6"/>
  <c r="BH180" i="6"/>
  <c r="BG180" i="6"/>
  <c r="BF180" i="6"/>
  <c r="BE180" i="6"/>
  <c r="T180" i="6"/>
  <c r="R180" i="6"/>
  <c r="P180" i="6"/>
  <c r="J180" i="6"/>
  <c r="BK179" i="6"/>
  <c r="BI179" i="6"/>
  <c r="BH179" i="6"/>
  <c r="BG179" i="6"/>
  <c r="BF179" i="6"/>
  <c r="BE179" i="6"/>
  <c r="T179" i="6"/>
  <c r="R179" i="6"/>
  <c r="P179" i="6"/>
  <c r="J179" i="6"/>
  <c r="BK178" i="6"/>
  <c r="BI178" i="6"/>
  <c r="BH178" i="6"/>
  <c r="BG178" i="6"/>
  <c r="BF178" i="6"/>
  <c r="BE178" i="6"/>
  <c r="T178" i="6"/>
  <c r="R178" i="6"/>
  <c r="P178" i="6"/>
  <c r="J178" i="6"/>
  <c r="BK177" i="6"/>
  <c r="BI177" i="6"/>
  <c r="BH177" i="6"/>
  <c r="BG177" i="6"/>
  <c r="BF177" i="6"/>
  <c r="BE177" i="6"/>
  <c r="T177" i="6"/>
  <c r="R177" i="6"/>
  <c r="P177" i="6"/>
  <c r="J177" i="6"/>
  <c r="BK176" i="6"/>
  <c r="BI176" i="6"/>
  <c r="BH176" i="6"/>
  <c r="BG176" i="6"/>
  <c r="BF176" i="6"/>
  <c r="BE176" i="6"/>
  <c r="T176" i="6"/>
  <c r="R176" i="6"/>
  <c r="P176" i="6"/>
  <c r="J176" i="6"/>
  <c r="BK175" i="6"/>
  <c r="BI175" i="6"/>
  <c r="BH175" i="6"/>
  <c r="BG175" i="6"/>
  <c r="BF175" i="6"/>
  <c r="BE175" i="6"/>
  <c r="T175" i="6"/>
  <c r="R175" i="6"/>
  <c r="P175" i="6"/>
  <c r="J175" i="6"/>
  <c r="BK174" i="6"/>
  <c r="BI174" i="6"/>
  <c r="BH174" i="6"/>
  <c r="BG174" i="6"/>
  <c r="BF174" i="6"/>
  <c r="BE174" i="6"/>
  <c r="T174" i="6"/>
  <c r="R174" i="6"/>
  <c r="P174" i="6"/>
  <c r="J174" i="6"/>
  <c r="R126" i="6"/>
  <c r="P126" i="6"/>
  <c r="J119" i="6"/>
  <c r="F119" i="6"/>
  <c r="E117" i="6"/>
  <c r="F87" i="6"/>
  <c r="E85" i="6"/>
  <c r="J37" i="6"/>
  <c r="J36" i="6"/>
  <c r="J35" i="6"/>
  <c r="J29" i="6"/>
  <c r="J22" i="6"/>
  <c r="E22" i="6"/>
  <c r="J122" i="6" s="1"/>
  <c r="J21" i="6"/>
  <c r="J19" i="6"/>
  <c r="E19" i="6"/>
  <c r="J121" i="6" s="1"/>
  <c r="J18" i="6"/>
  <c r="J16" i="6"/>
  <c r="E16" i="6"/>
  <c r="F122" i="6" s="1"/>
  <c r="J15" i="6"/>
  <c r="J87" i="6"/>
  <c r="BK306" i="2"/>
  <c r="BI306" i="2"/>
  <c r="BH306" i="2"/>
  <c r="BG306" i="2"/>
  <c r="BE306" i="2"/>
  <c r="T306" i="2"/>
  <c r="R306" i="2"/>
  <c r="P306" i="2"/>
  <c r="J306" i="2"/>
  <c r="BF306" i="2" s="1"/>
  <c r="BK304" i="2"/>
  <c r="BI304" i="2"/>
  <c r="BH304" i="2"/>
  <c r="BG304" i="2"/>
  <c r="BE304" i="2"/>
  <c r="T304" i="2"/>
  <c r="R304" i="2"/>
  <c r="P304" i="2"/>
  <c r="J304" i="2"/>
  <c r="BF304" i="2" s="1"/>
  <c r="J127" i="6" l="1"/>
  <c r="J96" i="6" s="1"/>
  <c r="J151" i="6"/>
  <c r="J98" i="6" s="1"/>
  <c r="J163" i="6"/>
  <c r="J100" i="6" s="1"/>
  <c r="J154" i="6"/>
  <c r="J99" i="6" s="1"/>
  <c r="J146" i="6"/>
  <c r="J97" i="6" s="1"/>
  <c r="BK173" i="6"/>
  <c r="J173" i="6" s="1"/>
  <c r="P183" i="6"/>
  <c r="J89" i="6"/>
  <c r="F37" i="6"/>
  <c r="J34" i="6"/>
  <c r="R183" i="6"/>
  <c r="R173" i="6"/>
  <c r="J90" i="6"/>
  <c r="F35" i="6"/>
  <c r="T173" i="6"/>
  <c r="T183" i="6"/>
  <c r="BK183" i="6"/>
  <c r="J183" i="6" s="1"/>
  <c r="J103" i="6" s="1"/>
  <c r="F90" i="6"/>
  <c r="F34" i="6"/>
  <c r="F36" i="6"/>
  <c r="P173" i="6"/>
  <c r="BD98" i="1"/>
  <c r="BC98" i="1"/>
  <c r="AY98" i="1"/>
  <c r="BK224" i="5"/>
  <c r="BI224" i="5"/>
  <c r="BH224" i="5"/>
  <c r="BG224" i="5"/>
  <c r="BE224" i="5"/>
  <c r="J224" i="5"/>
  <c r="BF224" i="5" s="1"/>
  <c r="BK223" i="5"/>
  <c r="BI223" i="5"/>
  <c r="BH223" i="5"/>
  <c r="BG223" i="5"/>
  <c r="BE223" i="5"/>
  <c r="J223" i="5"/>
  <c r="BF223" i="5" s="1"/>
  <c r="BI222" i="5"/>
  <c r="BH222" i="5"/>
  <c r="BG222" i="5"/>
  <c r="BE222" i="5"/>
  <c r="H222" i="5"/>
  <c r="T221" i="5" s="1"/>
  <c r="BK220" i="5"/>
  <c r="T220" i="5"/>
  <c r="R220" i="5"/>
  <c r="P220" i="5"/>
  <c r="BK219" i="5"/>
  <c r="BI219" i="5"/>
  <c r="BH219" i="5"/>
  <c r="BG219" i="5"/>
  <c r="BE219" i="5"/>
  <c r="J219" i="5"/>
  <c r="BF219" i="5" s="1"/>
  <c r="BK218" i="5"/>
  <c r="BK217" i="5"/>
  <c r="BI217" i="5"/>
  <c r="BH217" i="5"/>
  <c r="BG217" i="5"/>
  <c r="BE217" i="5"/>
  <c r="J217" i="5"/>
  <c r="BF217" i="5" s="1"/>
  <c r="BK216" i="5"/>
  <c r="BI216" i="5"/>
  <c r="BH216" i="5"/>
  <c r="BG216" i="5"/>
  <c r="BE216" i="5"/>
  <c r="J216" i="5"/>
  <c r="BF216" i="5" s="1"/>
  <c r="BK215" i="5"/>
  <c r="BI215" i="5"/>
  <c r="BH215" i="5"/>
  <c r="BG215" i="5"/>
  <c r="BE215" i="5"/>
  <c r="J215" i="5"/>
  <c r="BF215" i="5" s="1"/>
  <c r="H214" i="5"/>
  <c r="BK213" i="5"/>
  <c r="BI213" i="5"/>
  <c r="BH213" i="5"/>
  <c r="BG213" i="5"/>
  <c r="BE213" i="5"/>
  <c r="J213" i="5"/>
  <c r="BF213" i="5" s="1"/>
  <c r="BK212" i="5"/>
  <c r="BI212" i="5"/>
  <c r="BH212" i="5"/>
  <c r="BG212" i="5"/>
  <c r="BE212" i="5"/>
  <c r="J212" i="5"/>
  <c r="BF212" i="5" s="1"/>
  <c r="BK210" i="5"/>
  <c r="BI210" i="5"/>
  <c r="BH210" i="5"/>
  <c r="BG210" i="5"/>
  <c r="BE210" i="5"/>
  <c r="J210" i="5"/>
  <c r="BF210" i="5" s="1"/>
  <c r="BI209" i="5"/>
  <c r="BH209" i="5"/>
  <c r="BG209" i="5"/>
  <c r="BE209" i="5"/>
  <c r="H209" i="5"/>
  <c r="J209" i="5" s="1"/>
  <c r="BF209" i="5" s="1"/>
  <c r="BK208" i="5"/>
  <c r="BI208" i="5"/>
  <c r="BH208" i="5"/>
  <c r="BG208" i="5"/>
  <c r="BE208" i="5"/>
  <c r="J208" i="5"/>
  <c r="BF208" i="5" s="1"/>
  <c r="BI207" i="5"/>
  <c r="BH207" i="5"/>
  <c r="BG207" i="5"/>
  <c r="BE207" i="5"/>
  <c r="J207" i="5"/>
  <c r="BF207" i="5" s="1"/>
  <c r="H207" i="5"/>
  <c r="BK207" i="5" s="1"/>
  <c r="H202" i="5"/>
  <c r="H206" i="5" s="1"/>
  <c r="BK200" i="5"/>
  <c r="BI200" i="5"/>
  <c r="BH200" i="5"/>
  <c r="BG200" i="5"/>
  <c r="BF200" i="5"/>
  <c r="BE200" i="5"/>
  <c r="J200" i="5"/>
  <c r="H198" i="5"/>
  <c r="H196" i="5"/>
  <c r="H195" i="5"/>
  <c r="H194" i="5"/>
  <c r="H193" i="5"/>
  <c r="BK191" i="5"/>
  <c r="BI191" i="5"/>
  <c r="BH191" i="5"/>
  <c r="BG191" i="5"/>
  <c r="BE191" i="5"/>
  <c r="J191" i="5"/>
  <c r="BF191" i="5" s="1"/>
  <c r="H189" i="5"/>
  <c r="H188" i="5"/>
  <c r="H187" i="5"/>
  <c r="H186" i="5"/>
  <c r="H190" i="5" s="1"/>
  <c r="BK184" i="5"/>
  <c r="BI184" i="5"/>
  <c r="BH184" i="5"/>
  <c r="BG184" i="5"/>
  <c r="BE184" i="5"/>
  <c r="J184" i="5"/>
  <c r="BF184" i="5" s="1"/>
  <c r="BI183" i="5"/>
  <c r="BH183" i="5"/>
  <c r="BG183" i="5"/>
  <c r="BE183" i="5"/>
  <c r="H183" i="5"/>
  <c r="BK181" i="5"/>
  <c r="BI181" i="5"/>
  <c r="BH181" i="5"/>
  <c r="BG181" i="5"/>
  <c r="BF181" i="5"/>
  <c r="BE181" i="5"/>
  <c r="J181" i="5"/>
  <c r="BK179" i="5"/>
  <c r="BI179" i="5"/>
  <c r="BH179" i="5"/>
  <c r="BG179" i="5"/>
  <c r="BE179" i="5"/>
  <c r="J179" i="5"/>
  <c r="BF179" i="5" s="1"/>
  <c r="H178" i="5"/>
  <c r="BK177" i="5"/>
  <c r="BI177" i="5"/>
  <c r="BH177" i="5"/>
  <c r="BG177" i="5"/>
  <c r="BE177" i="5"/>
  <c r="J177" i="5"/>
  <c r="H175" i="5"/>
  <c r="BK172" i="5"/>
  <c r="BI172" i="5"/>
  <c r="BH172" i="5"/>
  <c r="BG172" i="5"/>
  <c r="BE172" i="5"/>
  <c r="J172" i="5"/>
  <c r="BF172" i="5" s="1"/>
  <c r="BK170" i="5"/>
  <c r="BI170" i="5"/>
  <c r="BH170" i="5"/>
  <c r="BG170" i="5"/>
  <c r="BE170" i="5"/>
  <c r="J170" i="5"/>
  <c r="BF170" i="5" s="1"/>
  <c r="H169" i="5"/>
  <c r="BK166" i="5"/>
  <c r="BI166" i="5"/>
  <c r="BH166" i="5"/>
  <c r="BG166" i="5"/>
  <c r="BE166" i="5"/>
  <c r="J166" i="5"/>
  <c r="BF166" i="5" s="1"/>
  <c r="H164" i="5"/>
  <c r="H165" i="5" s="1"/>
  <c r="H162" i="5"/>
  <c r="BK160" i="5"/>
  <c r="BI160" i="5"/>
  <c r="BH160" i="5"/>
  <c r="BG160" i="5"/>
  <c r="BE160" i="5"/>
  <c r="J160" i="5"/>
  <c r="BF160" i="5" s="1"/>
  <c r="H158" i="5"/>
  <c r="H157" i="5"/>
  <c r="H155" i="5"/>
  <c r="H154" i="5"/>
  <c r="H159" i="5" s="1"/>
  <c r="BK152" i="5"/>
  <c r="BI152" i="5"/>
  <c r="BH152" i="5"/>
  <c r="BG152" i="5"/>
  <c r="BE152" i="5"/>
  <c r="J152" i="5"/>
  <c r="BF152" i="5" s="1"/>
  <c r="H150" i="5"/>
  <c r="H149" i="5"/>
  <c r="H148" i="5"/>
  <c r="H147" i="5"/>
  <c r="H151" i="5" s="1"/>
  <c r="BK145" i="5"/>
  <c r="BI145" i="5"/>
  <c r="BH145" i="5"/>
  <c r="BG145" i="5"/>
  <c r="BE145" i="5"/>
  <c r="J145" i="5"/>
  <c r="BF145" i="5" s="1"/>
  <c r="BK143" i="5"/>
  <c r="BI143" i="5"/>
  <c r="BH143" i="5"/>
  <c r="BG143" i="5"/>
  <c r="BE143" i="5"/>
  <c r="J143" i="5"/>
  <c r="BF143" i="5" s="1"/>
  <c r="BK142" i="5"/>
  <c r="BI142" i="5"/>
  <c r="BH142" i="5"/>
  <c r="BG142" i="5"/>
  <c r="BE142" i="5"/>
  <c r="J142" i="5"/>
  <c r="BF142" i="5" s="1"/>
  <c r="H141" i="5"/>
  <c r="BK140" i="5"/>
  <c r="BI140" i="5"/>
  <c r="BH140" i="5"/>
  <c r="BG140" i="5"/>
  <c r="BF140" i="5"/>
  <c r="BE140" i="5"/>
  <c r="J140" i="5"/>
  <c r="H139" i="5"/>
  <c r="BK138" i="5"/>
  <c r="BI138" i="5"/>
  <c r="BH138" i="5"/>
  <c r="BG138" i="5"/>
  <c r="BE138" i="5"/>
  <c r="J138" i="5"/>
  <c r="BF138" i="5" s="1"/>
  <c r="H136" i="5"/>
  <c r="H135" i="5"/>
  <c r="H134" i="5"/>
  <c r="H133" i="5"/>
  <c r="BK132" i="5"/>
  <c r="BI132" i="5"/>
  <c r="BH132" i="5"/>
  <c r="BG132" i="5"/>
  <c r="BE132" i="5"/>
  <c r="J132" i="5"/>
  <c r="BF132" i="5" s="1"/>
  <c r="H131" i="5"/>
  <c r="H130" i="5"/>
  <c r="H129" i="5"/>
  <c r="BK128" i="5"/>
  <c r="BI128" i="5"/>
  <c r="BH128" i="5"/>
  <c r="BG128" i="5"/>
  <c r="BE128" i="5"/>
  <c r="J128" i="5"/>
  <c r="BF128" i="5" s="1"/>
  <c r="J119" i="5"/>
  <c r="F119" i="5"/>
  <c r="E117" i="5"/>
  <c r="J89" i="5"/>
  <c r="F89" i="5"/>
  <c r="E87" i="5"/>
  <c r="J39" i="5"/>
  <c r="J38" i="5"/>
  <c r="J37" i="5"/>
  <c r="J31" i="5"/>
  <c r="J18" i="5"/>
  <c r="E18" i="5"/>
  <c r="F122" i="5" s="1"/>
  <c r="J17" i="5"/>
  <c r="J15" i="5"/>
  <c r="E15" i="5"/>
  <c r="J14" i="5"/>
  <c r="E115" i="5"/>
  <c r="F38" i="5" l="1"/>
  <c r="F39" i="5"/>
  <c r="J95" i="6"/>
  <c r="J126" i="6"/>
  <c r="J102" i="6"/>
  <c r="J172" i="6"/>
  <c r="P172" i="6"/>
  <c r="P163" i="6" s="1"/>
  <c r="R172" i="6"/>
  <c r="R163" i="6" s="1"/>
  <c r="BK172" i="6"/>
  <c r="BK163" i="6" s="1"/>
  <c r="T172" i="6"/>
  <c r="T163" i="6" s="1"/>
  <c r="J183" i="5"/>
  <c r="BF183" i="5" s="1"/>
  <c r="H137" i="5"/>
  <c r="F37" i="5"/>
  <c r="J218" i="5"/>
  <c r="J100" i="5" s="1"/>
  <c r="P221" i="5"/>
  <c r="BK127" i="5"/>
  <c r="F35" i="5"/>
  <c r="BK183" i="5"/>
  <c r="R221" i="5"/>
  <c r="BF177" i="5"/>
  <c r="H199" i="5"/>
  <c r="J35" i="5"/>
  <c r="F92" i="5"/>
  <c r="J127" i="5"/>
  <c r="BK222" i="5"/>
  <c r="BK221" i="5" s="1"/>
  <c r="BK209" i="5"/>
  <c r="BK176" i="5" s="1"/>
  <c r="J222" i="5"/>
  <c r="E85" i="5"/>
  <c r="J176" i="5" l="1"/>
  <c r="J99" i="5" s="1"/>
  <c r="J125" i="6"/>
  <c r="BK154" i="6"/>
  <c r="BK151" i="6" s="1"/>
  <c r="BK146" i="6" s="1"/>
  <c r="P154" i="6"/>
  <c r="P151" i="6" s="1"/>
  <c r="P146" i="6" s="1"/>
  <c r="P127" i="6" s="1"/>
  <c r="R154" i="6"/>
  <c r="R151" i="6" s="1"/>
  <c r="R146" i="6" s="1"/>
  <c r="R127" i="6" s="1"/>
  <c r="T154" i="6"/>
  <c r="T151" i="6" s="1"/>
  <c r="T146" i="6" s="1"/>
  <c r="T127" i="6" s="1"/>
  <c r="R125" i="6"/>
  <c r="P125" i="6"/>
  <c r="T125" i="6"/>
  <c r="BK125" i="6"/>
  <c r="BK126" i="5"/>
  <c r="BK125" i="5" s="1"/>
  <c r="J221" i="5"/>
  <c r="BF222" i="5"/>
  <c r="J126" i="5"/>
  <c r="J98" i="5"/>
  <c r="J97" i="5" s="1"/>
  <c r="J94" i="6" l="1"/>
  <c r="J28" i="6" s="1"/>
  <c r="J30" i="6" s="1"/>
  <c r="J101" i="6"/>
  <c r="BK127" i="6"/>
  <c r="J220" i="5"/>
  <c r="J125" i="5" s="1"/>
  <c r="J102" i="5"/>
  <c r="J101" i="5" s="1"/>
  <c r="J96" i="5" s="1"/>
  <c r="J39" i="6" l="1"/>
  <c r="F33" i="6"/>
  <c r="J33" i="6" s="1"/>
  <c r="J108" i="6"/>
  <c r="AG99" i="1" s="1"/>
  <c r="AN99" i="1" s="1"/>
  <c r="J106" i="5"/>
  <c r="J30" i="5"/>
  <c r="J32" i="5" l="1"/>
  <c r="F36" i="5"/>
  <c r="J36" i="5" s="1"/>
  <c r="J41" i="5" l="1"/>
  <c r="AG98" i="1"/>
  <c r="AN98" i="1" s="1"/>
  <c r="J33" i="3"/>
  <c r="T153" i="3"/>
  <c r="R153" i="3"/>
  <c r="P153" i="3"/>
  <c r="BK189" i="4"/>
  <c r="BI189" i="4"/>
  <c r="BH189" i="4"/>
  <c r="BG189" i="4"/>
  <c r="BE189" i="4"/>
  <c r="T189" i="4"/>
  <c r="R189" i="4"/>
  <c r="P189" i="4"/>
  <c r="J189" i="4"/>
  <c r="BF189" i="4" s="1"/>
  <c r="BK188" i="4"/>
  <c r="BI188" i="4"/>
  <c r="BH188" i="4"/>
  <c r="BG188" i="4"/>
  <c r="BE188" i="4"/>
  <c r="T188" i="4"/>
  <c r="R188" i="4"/>
  <c r="P188" i="4"/>
  <c r="J188" i="4"/>
  <c r="BF188" i="4" s="1"/>
  <c r="J187" i="4"/>
  <c r="BF187" i="4" s="1"/>
  <c r="BK187" i="4"/>
  <c r="BI187" i="4"/>
  <c r="BH187" i="4"/>
  <c r="BG187" i="4"/>
  <c r="BE187" i="4"/>
  <c r="T187" i="4"/>
  <c r="R187" i="4"/>
  <c r="P187" i="4"/>
  <c r="BK185" i="4"/>
  <c r="BI185" i="4"/>
  <c r="BH185" i="4"/>
  <c r="BG185" i="4"/>
  <c r="BE185" i="4"/>
  <c r="T185" i="4"/>
  <c r="R185" i="4"/>
  <c r="P185" i="4"/>
  <c r="J185" i="4"/>
  <c r="BF185" i="4" s="1"/>
  <c r="BK184" i="4"/>
  <c r="BI184" i="4"/>
  <c r="BH184" i="4"/>
  <c r="BG184" i="4"/>
  <c r="BE184" i="4"/>
  <c r="T184" i="4"/>
  <c r="R184" i="4"/>
  <c r="P184" i="4"/>
  <c r="J184" i="4"/>
  <c r="BF184" i="4" s="1"/>
  <c r="BK183" i="4"/>
  <c r="BI183" i="4"/>
  <c r="BH183" i="4"/>
  <c r="BG183" i="4"/>
  <c r="BE183" i="4"/>
  <c r="T183" i="4"/>
  <c r="R183" i="4"/>
  <c r="P183" i="4"/>
  <c r="J183" i="4"/>
  <c r="BF183" i="4" s="1"/>
  <c r="BK182" i="4"/>
  <c r="BI182" i="4"/>
  <c r="BH182" i="4"/>
  <c r="BG182" i="4"/>
  <c r="BE182" i="4"/>
  <c r="T182" i="4"/>
  <c r="R182" i="4"/>
  <c r="P182" i="4"/>
  <c r="J182" i="4"/>
  <c r="BF182" i="4" s="1"/>
  <c r="BK181" i="4"/>
  <c r="BI181" i="4"/>
  <c r="BH181" i="4"/>
  <c r="BG181" i="4"/>
  <c r="BE181" i="4"/>
  <c r="T181" i="4"/>
  <c r="R181" i="4"/>
  <c r="P181" i="4"/>
  <c r="J181" i="4"/>
  <c r="BF181" i="4" s="1"/>
  <c r="BK180" i="4"/>
  <c r="BI180" i="4"/>
  <c r="BH180" i="4"/>
  <c r="BG180" i="4"/>
  <c r="BE180" i="4"/>
  <c r="T180" i="4"/>
  <c r="R180" i="4"/>
  <c r="P180" i="4"/>
  <c r="J180" i="4"/>
  <c r="BF180" i="4" s="1"/>
  <c r="BK179" i="4"/>
  <c r="BI179" i="4"/>
  <c r="BH179" i="4"/>
  <c r="BG179" i="4"/>
  <c r="BE179" i="4"/>
  <c r="T179" i="4"/>
  <c r="R179" i="4"/>
  <c r="P179" i="4"/>
  <c r="J179" i="4"/>
  <c r="BF179" i="4" s="1"/>
  <c r="BK178" i="4"/>
  <c r="BI178" i="4"/>
  <c r="BH178" i="4"/>
  <c r="BG178" i="4"/>
  <c r="BE178" i="4"/>
  <c r="T178" i="4"/>
  <c r="R178" i="4"/>
  <c r="P178" i="4"/>
  <c r="J178" i="4"/>
  <c r="BF178" i="4" s="1"/>
  <c r="BK177" i="4"/>
  <c r="BI177" i="4"/>
  <c r="BH177" i="4"/>
  <c r="BG177" i="4"/>
  <c r="BE177" i="4"/>
  <c r="T177" i="4"/>
  <c r="R177" i="4"/>
  <c r="P177" i="4"/>
  <c r="J177" i="4"/>
  <c r="BF177" i="4" s="1"/>
  <c r="BK176" i="4"/>
  <c r="BI176" i="4"/>
  <c r="BH176" i="4"/>
  <c r="BG176" i="4"/>
  <c r="BF176" i="4"/>
  <c r="BE176" i="4"/>
  <c r="T176" i="4"/>
  <c r="R176" i="4"/>
  <c r="P176" i="4"/>
  <c r="J176" i="4"/>
  <c r="BK174" i="4"/>
  <c r="BI174" i="4"/>
  <c r="BH174" i="4"/>
  <c r="BG174" i="4"/>
  <c r="BE174" i="4"/>
  <c r="T174" i="4"/>
  <c r="R174" i="4"/>
  <c r="P174" i="4"/>
  <c r="J174" i="4"/>
  <c r="BF174" i="4" s="1"/>
  <c r="BK173" i="4"/>
  <c r="BI173" i="4"/>
  <c r="BH173" i="4"/>
  <c r="BG173" i="4"/>
  <c r="BE173" i="4"/>
  <c r="T173" i="4"/>
  <c r="R173" i="4"/>
  <c r="P173" i="4"/>
  <c r="J173" i="4"/>
  <c r="BF173" i="4" s="1"/>
  <c r="BK172" i="4"/>
  <c r="BI172" i="4"/>
  <c r="BH172" i="4"/>
  <c r="BG172" i="4"/>
  <c r="BE172" i="4"/>
  <c r="T172" i="4"/>
  <c r="R172" i="4"/>
  <c r="P172" i="4"/>
  <c r="J172" i="4"/>
  <c r="BF172" i="4" s="1"/>
  <c r="BK170" i="4"/>
  <c r="BI170" i="4"/>
  <c r="BH170" i="4"/>
  <c r="BG170" i="4"/>
  <c r="BE170" i="4"/>
  <c r="T170" i="4"/>
  <c r="R170" i="4"/>
  <c r="P170" i="4"/>
  <c r="J170" i="4"/>
  <c r="BF170" i="4" s="1"/>
  <c r="BK169" i="4"/>
  <c r="BI169" i="4"/>
  <c r="BH169" i="4"/>
  <c r="BG169" i="4"/>
  <c r="BE169" i="4"/>
  <c r="T169" i="4"/>
  <c r="R169" i="4"/>
  <c r="P169" i="4"/>
  <c r="J169" i="4"/>
  <c r="BF169" i="4" s="1"/>
  <c r="BK168" i="4"/>
  <c r="BI168" i="4"/>
  <c r="BH168" i="4"/>
  <c r="BG168" i="4"/>
  <c r="BE168" i="4"/>
  <c r="T168" i="4"/>
  <c r="R168" i="4"/>
  <c r="P168" i="4"/>
  <c r="J168" i="4"/>
  <c r="BF168" i="4" s="1"/>
  <c r="BK167" i="4"/>
  <c r="BI167" i="4"/>
  <c r="BH167" i="4"/>
  <c r="BG167" i="4"/>
  <c r="BE167" i="4"/>
  <c r="T167" i="4"/>
  <c r="R167" i="4"/>
  <c r="P167" i="4"/>
  <c r="J167" i="4"/>
  <c r="BF167" i="4" s="1"/>
  <c r="BK166" i="4"/>
  <c r="BI166" i="4"/>
  <c r="BH166" i="4"/>
  <c r="BG166" i="4"/>
  <c r="BE166" i="4"/>
  <c r="T166" i="4"/>
  <c r="R166" i="4"/>
  <c r="P166" i="4"/>
  <c r="J166" i="4"/>
  <c r="BF166" i="4" s="1"/>
  <c r="BK165" i="4"/>
  <c r="BI165" i="4"/>
  <c r="BH165" i="4"/>
  <c r="BG165" i="4"/>
  <c r="BE165" i="4"/>
  <c r="T165" i="4"/>
  <c r="R165" i="4"/>
  <c r="P165" i="4"/>
  <c r="J165" i="4"/>
  <c r="BF165" i="4" s="1"/>
  <c r="BK164" i="4"/>
  <c r="BI164" i="4"/>
  <c r="BH164" i="4"/>
  <c r="BG164" i="4"/>
  <c r="BE164" i="4"/>
  <c r="T164" i="4"/>
  <c r="R164" i="4"/>
  <c r="P164" i="4"/>
  <c r="J164" i="4"/>
  <c r="BF164" i="4" s="1"/>
  <c r="BK163" i="4"/>
  <c r="BI163" i="4"/>
  <c r="BH163" i="4"/>
  <c r="BG163" i="4"/>
  <c r="BE163" i="4"/>
  <c r="T163" i="4"/>
  <c r="R163" i="4"/>
  <c r="P163" i="4"/>
  <c r="J163" i="4"/>
  <c r="BF163" i="4" s="1"/>
  <c r="BK162" i="4"/>
  <c r="BI162" i="4"/>
  <c r="BH162" i="4"/>
  <c r="BG162" i="4"/>
  <c r="BE162" i="4"/>
  <c r="T162" i="4"/>
  <c r="R162" i="4"/>
  <c r="P162" i="4"/>
  <c r="J162" i="4"/>
  <c r="BF162" i="4" s="1"/>
  <c r="BK160" i="4"/>
  <c r="BI160" i="4"/>
  <c r="BH160" i="4"/>
  <c r="BG160" i="4"/>
  <c r="BE160" i="4"/>
  <c r="T160" i="4"/>
  <c r="R160" i="4"/>
  <c r="P160" i="4"/>
  <c r="J160" i="4"/>
  <c r="BF160" i="4" s="1"/>
  <c r="BK159" i="4"/>
  <c r="BI159" i="4"/>
  <c r="BH159" i="4"/>
  <c r="BG159" i="4"/>
  <c r="BE159" i="4"/>
  <c r="T159" i="4"/>
  <c r="R159" i="4"/>
  <c r="P159" i="4"/>
  <c r="J159" i="4"/>
  <c r="BF159" i="4" s="1"/>
  <c r="BK156" i="4"/>
  <c r="BI156" i="4"/>
  <c r="BH156" i="4"/>
  <c r="BG156" i="4"/>
  <c r="BE156" i="4"/>
  <c r="T156" i="4"/>
  <c r="R156" i="4"/>
  <c r="P156" i="4"/>
  <c r="J156" i="4"/>
  <c r="BF156" i="4" s="1"/>
  <c r="BK155" i="4"/>
  <c r="BI155" i="4"/>
  <c r="BH155" i="4"/>
  <c r="BG155" i="4"/>
  <c r="BE155" i="4"/>
  <c r="T155" i="4"/>
  <c r="R155" i="4"/>
  <c r="P155" i="4"/>
  <c r="J155" i="4"/>
  <c r="BF155" i="4" s="1"/>
  <c r="BK154" i="4"/>
  <c r="BI154" i="4"/>
  <c r="BH154" i="4"/>
  <c r="BG154" i="4"/>
  <c r="BE154" i="4"/>
  <c r="T154" i="4"/>
  <c r="R154" i="4"/>
  <c r="P154" i="4"/>
  <c r="J154" i="4"/>
  <c r="BF154" i="4" s="1"/>
  <c r="BK153" i="4"/>
  <c r="BI153" i="4"/>
  <c r="BH153" i="4"/>
  <c r="BG153" i="4"/>
  <c r="BE153" i="4"/>
  <c r="T153" i="4"/>
  <c r="R153" i="4"/>
  <c r="P153" i="4"/>
  <c r="J153" i="4"/>
  <c r="BF153" i="4" s="1"/>
  <c r="J186" i="4" l="1"/>
  <c r="J175" i="4"/>
  <c r="BK149" i="4"/>
  <c r="BI149" i="4"/>
  <c r="BH149" i="4"/>
  <c r="BG149" i="4"/>
  <c r="BE149" i="4"/>
  <c r="T149" i="4"/>
  <c r="R149" i="4"/>
  <c r="P149" i="4"/>
  <c r="J149" i="4"/>
  <c r="BF149" i="4" s="1"/>
  <c r="BK148" i="4"/>
  <c r="BI148" i="4"/>
  <c r="BH148" i="4"/>
  <c r="BG148" i="4"/>
  <c r="BE148" i="4"/>
  <c r="T148" i="4"/>
  <c r="R148" i="4"/>
  <c r="P148" i="4"/>
  <c r="J148" i="4"/>
  <c r="BF148" i="4" s="1"/>
  <c r="BK147" i="4"/>
  <c r="BI147" i="4"/>
  <c r="BH147" i="4"/>
  <c r="BG147" i="4"/>
  <c r="BE147" i="4"/>
  <c r="T147" i="4"/>
  <c r="R147" i="4"/>
  <c r="P147" i="4"/>
  <c r="J147" i="4"/>
  <c r="BF147" i="4" s="1"/>
  <c r="BK146" i="4"/>
  <c r="BI146" i="4"/>
  <c r="BH146" i="4"/>
  <c r="BG146" i="4"/>
  <c r="BE146" i="4"/>
  <c r="T146" i="4"/>
  <c r="R146" i="4"/>
  <c r="P146" i="4"/>
  <c r="J146" i="4"/>
  <c r="BK145" i="4"/>
  <c r="BI145" i="4"/>
  <c r="BH145" i="4"/>
  <c r="BG145" i="4"/>
  <c r="BE145" i="4"/>
  <c r="T145" i="4"/>
  <c r="R145" i="4"/>
  <c r="P145" i="4"/>
  <c r="J145" i="4"/>
  <c r="BF145" i="4" s="1"/>
  <c r="BK144" i="4"/>
  <c r="BI144" i="4"/>
  <c r="BH144" i="4"/>
  <c r="BG144" i="4"/>
  <c r="BE144" i="4"/>
  <c r="T144" i="4"/>
  <c r="R144" i="4"/>
  <c r="P144" i="4"/>
  <c r="J144" i="4"/>
  <c r="BF144" i="4" s="1"/>
  <c r="BK143" i="4"/>
  <c r="BI143" i="4"/>
  <c r="BH143" i="4"/>
  <c r="BG143" i="4"/>
  <c r="BE143" i="4"/>
  <c r="T143" i="4"/>
  <c r="R143" i="4"/>
  <c r="P143" i="4"/>
  <c r="J143" i="4"/>
  <c r="BF143" i="4" s="1"/>
  <c r="BK142" i="4"/>
  <c r="BI142" i="4"/>
  <c r="BH142" i="4"/>
  <c r="BG142" i="4"/>
  <c r="BE142" i="4"/>
  <c r="T142" i="4"/>
  <c r="R142" i="4"/>
  <c r="P142" i="4"/>
  <c r="J142" i="4"/>
  <c r="BF142" i="4" s="1"/>
  <c r="J141" i="4"/>
  <c r="BF141" i="4" s="1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E139" i="4"/>
  <c r="T139" i="4"/>
  <c r="R139" i="4"/>
  <c r="P139" i="4"/>
  <c r="J139" i="4"/>
  <c r="BF139" i="4" s="1"/>
  <c r="BK138" i="4"/>
  <c r="BI138" i="4"/>
  <c r="BH138" i="4"/>
  <c r="BG138" i="4"/>
  <c r="BE138" i="4"/>
  <c r="T138" i="4"/>
  <c r="R138" i="4"/>
  <c r="P138" i="4"/>
  <c r="J138" i="4"/>
  <c r="BF138" i="4" s="1"/>
  <c r="BK136" i="4"/>
  <c r="BI136" i="4"/>
  <c r="BH136" i="4"/>
  <c r="BG136" i="4"/>
  <c r="BE136" i="4"/>
  <c r="T136" i="4"/>
  <c r="R136" i="4"/>
  <c r="P136" i="4"/>
  <c r="J136" i="4"/>
  <c r="BF136" i="4" s="1"/>
  <c r="BK135" i="4"/>
  <c r="BI135" i="4"/>
  <c r="BH135" i="4"/>
  <c r="BG135" i="4"/>
  <c r="BE135" i="4"/>
  <c r="T135" i="4"/>
  <c r="R135" i="4"/>
  <c r="P135" i="4"/>
  <c r="J135" i="4"/>
  <c r="BF135" i="4" s="1"/>
  <c r="BK134" i="4"/>
  <c r="BI134" i="4"/>
  <c r="BH134" i="4"/>
  <c r="BG134" i="4"/>
  <c r="BE134" i="4"/>
  <c r="T134" i="4"/>
  <c r="R134" i="4"/>
  <c r="P134" i="4"/>
  <c r="J134" i="4"/>
  <c r="BF134" i="4" s="1"/>
  <c r="BK127" i="4"/>
  <c r="BI127" i="4"/>
  <c r="BH127" i="4"/>
  <c r="BG127" i="4"/>
  <c r="BE127" i="4"/>
  <c r="T127" i="4"/>
  <c r="R127" i="4"/>
  <c r="P127" i="4"/>
  <c r="J127" i="4"/>
  <c r="BF127" i="4" s="1"/>
  <c r="J14" i="4"/>
  <c r="E15" i="4"/>
  <c r="J15" i="4"/>
  <c r="J17" i="4"/>
  <c r="E18" i="4"/>
  <c r="F121" i="4" s="1"/>
  <c r="J18" i="4"/>
  <c r="J31" i="4"/>
  <c r="J37" i="4"/>
  <c r="J38" i="4"/>
  <c r="J39" i="4"/>
  <c r="E85" i="4"/>
  <c r="E87" i="4"/>
  <c r="F89" i="4"/>
  <c r="J89" i="4"/>
  <c r="J91" i="4"/>
  <c r="E114" i="4"/>
  <c r="E116" i="4"/>
  <c r="F118" i="4"/>
  <c r="J118" i="4"/>
  <c r="J120" i="4"/>
  <c r="J126" i="4"/>
  <c r="BF126" i="4" s="1"/>
  <c r="P126" i="4"/>
  <c r="R126" i="4"/>
  <c r="T126" i="4"/>
  <c r="BE126" i="4"/>
  <c r="BG126" i="4"/>
  <c r="BH126" i="4"/>
  <c r="BI126" i="4"/>
  <c r="BK126" i="4"/>
  <c r="J128" i="4"/>
  <c r="BF128" i="4" s="1"/>
  <c r="P128" i="4"/>
  <c r="R128" i="4"/>
  <c r="T128" i="4"/>
  <c r="BE128" i="4"/>
  <c r="BG128" i="4"/>
  <c r="BH128" i="4"/>
  <c r="BI128" i="4"/>
  <c r="BK128" i="4"/>
  <c r="J129" i="4"/>
  <c r="BF129" i="4" s="1"/>
  <c r="P129" i="4"/>
  <c r="R129" i="4"/>
  <c r="T129" i="4"/>
  <c r="BE129" i="4"/>
  <c r="BG129" i="4"/>
  <c r="BH129" i="4"/>
  <c r="BI129" i="4"/>
  <c r="BK129" i="4"/>
  <c r="J130" i="4"/>
  <c r="BF130" i="4" s="1"/>
  <c r="P130" i="4"/>
  <c r="R130" i="4"/>
  <c r="T130" i="4"/>
  <c r="BE130" i="4"/>
  <c r="BG130" i="4"/>
  <c r="BH130" i="4"/>
  <c r="BI130" i="4"/>
  <c r="BK130" i="4"/>
  <c r="J131" i="4"/>
  <c r="BF131" i="4" s="1"/>
  <c r="P131" i="4"/>
  <c r="R131" i="4"/>
  <c r="T131" i="4"/>
  <c r="BE131" i="4"/>
  <c r="BG131" i="4"/>
  <c r="BH131" i="4"/>
  <c r="BI131" i="4"/>
  <c r="BK131" i="4"/>
  <c r="J132" i="4"/>
  <c r="BF132" i="4" s="1"/>
  <c r="P132" i="4"/>
  <c r="R132" i="4"/>
  <c r="T132" i="4"/>
  <c r="BE132" i="4"/>
  <c r="BG132" i="4"/>
  <c r="BH132" i="4"/>
  <c r="BI132" i="4"/>
  <c r="BK132" i="4"/>
  <c r="J133" i="4"/>
  <c r="BF133" i="4" s="1"/>
  <c r="P133" i="4"/>
  <c r="R133" i="4"/>
  <c r="T133" i="4"/>
  <c r="BE133" i="4"/>
  <c r="BG133" i="4"/>
  <c r="BH133" i="4"/>
  <c r="BI133" i="4"/>
  <c r="BK133" i="4"/>
  <c r="J137" i="4"/>
  <c r="BF137" i="4" s="1"/>
  <c r="P137" i="4"/>
  <c r="R137" i="4"/>
  <c r="T137" i="4"/>
  <c r="BE137" i="4"/>
  <c r="BG137" i="4"/>
  <c r="BH137" i="4"/>
  <c r="BI137" i="4"/>
  <c r="BK137" i="4"/>
  <c r="P141" i="4"/>
  <c r="R141" i="4"/>
  <c r="T141" i="4"/>
  <c r="BE141" i="4"/>
  <c r="BG141" i="4"/>
  <c r="BH141" i="4"/>
  <c r="BI141" i="4"/>
  <c r="BK141" i="4"/>
  <c r="J150" i="4"/>
  <c r="BF150" i="4" s="1"/>
  <c r="P150" i="4"/>
  <c r="R150" i="4"/>
  <c r="T150" i="4"/>
  <c r="BE150" i="4"/>
  <c r="BG150" i="4"/>
  <c r="BH150" i="4"/>
  <c r="BI150" i="4"/>
  <c r="BK150" i="4"/>
  <c r="J151" i="4"/>
  <c r="BF151" i="4" s="1"/>
  <c r="P151" i="4"/>
  <c r="R151" i="4"/>
  <c r="T151" i="4"/>
  <c r="BE151" i="4"/>
  <c r="BG151" i="4"/>
  <c r="BH151" i="4"/>
  <c r="BI151" i="4"/>
  <c r="BK151" i="4"/>
  <c r="J152" i="4"/>
  <c r="BF152" i="4" s="1"/>
  <c r="P152" i="4"/>
  <c r="R152" i="4"/>
  <c r="T152" i="4"/>
  <c r="BE152" i="4"/>
  <c r="BG152" i="4"/>
  <c r="BH152" i="4"/>
  <c r="BI152" i="4"/>
  <c r="BK152" i="4"/>
  <c r="J157" i="4"/>
  <c r="BF157" i="4" s="1"/>
  <c r="P157" i="4"/>
  <c r="R157" i="4"/>
  <c r="T157" i="4"/>
  <c r="BE157" i="4"/>
  <c r="BG157" i="4"/>
  <c r="BH157" i="4"/>
  <c r="BI157" i="4"/>
  <c r="BK157" i="4"/>
  <c r="J158" i="4"/>
  <c r="BF158" i="4" s="1"/>
  <c r="P158" i="4"/>
  <c r="R158" i="4"/>
  <c r="T158" i="4"/>
  <c r="BE158" i="4"/>
  <c r="BG158" i="4"/>
  <c r="BH158" i="4"/>
  <c r="BI158" i="4"/>
  <c r="BK158" i="4"/>
  <c r="J161" i="4"/>
  <c r="BF161" i="4" s="1"/>
  <c r="P161" i="4"/>
  <c r="R161" i="4"/>
  <c r="T161" i="4"/>
  <c r="BE161" i="4"/>
  <c r="BG161" i="4"/>
  <c r="BH161" i="4"/>
  <c r="BI161" i="4"/>
  <c r="BK161" i="4"/>
  <c r="P175" i="4"/>
  <c r="BK175" i="4"/>
  <c r="J99" i="4" s="1"/>
  <c r="BF146" i="4" l="1"/>
  <c r="J36" i="4" s="1"/>
  <c r="J125" i="4"/>
  <c r="R175" i="4"/>
  <c r="T175" i="4"/>
  <c r="P186" i="4"/>
  <c r="BK186" i="4"/>
  <c r="J100" i="4" s="1"/>
  <c r="T171" i="4"/>
  <c r="BK171" i="4"/>
  <c r="J171" i="4" s="1"/>
  <c r="J98" i="4" s="1"/>
  <c r="P171" i="4"/>
  <c r="R171" i="4"/>
  <c r="R186" i="4"/>
  <c r="T186" i="4"/>
  <c r="F92" i="4"/>
  <c r="F37" i="4"/>
  <c r="F39" i="4"/>
  <c r="J35" i="4"/>
  <c r="F38" i="4"/>
  <c r="F35" i="4"/>
  <c r="J124" i="4" l="1"/>
  <c r="F36" i="4"/>
  <c r="BK124" i="4"/>
  <c r="J97" i="4"/>
  <c r="T124" i="4"/>
  <c r="P124" i="4"/>
  <c r="R124" i="4"/>
  <c r="J96" i="4" l="1"/>
  <c r="J105" i="4" s="1"/>
  <c r="BK189" i="3"/>
  <c r="BI189" i="3"/>
  <c r="BH189" i="3"/>
  <c r="BG189" i="3"/>
  <c r="BE189" i="3"/>
  <c r="T189" i="3"/>
  <c r="R189" i="3"/>
  <c r="P189" i="3"/>
  <c r="J189" i="3"/>
  <c r="BF189" i="3" s="1"/>
  <c r="BK188" i="3"/>
  <c r="BI188" i="3"/>
  <c r="BH188" i="3"/>
  <c r="BG188" i="3"/>
  <c r="BF188" i="3"/>
  <c r="BE188" i="3"/>
  <c r="T188" i="3"/>
  <c r="R188" i="3"/>
  <c r="P188" i="3"/>
  <c r="J188" i="3"/>
  <c r="BK187" i="3"/>
  <c r="BI187" i="3"/>
  <c r="BH187" i="3"/>
  <c r="BG187" i="3"/>
  <c r="BE187" i="3"/>
  <c r="T187" i="3"/>
  <c r="R187" i="3"/>
  <c r="P187" i="3"/>
  <c r="J187" i="3"/>
  <c r="BF187" i="3" s="1"/>
  <c r="BK186" i="3"/>
  <c r="BI186" i="3"/>
  <c r="BH186" i="3"/>
  <c r="BG186" i="3"/>
  <c r="BF186" i="3"/>
  <c r="BE186" i="3"/>
  <c r="T186" i="3"/>
  <c r="R186" i="3"/>
  <c r="P186" i="3"/>
  <c r="J186" i="3"/>
  <c r="BK185" i="3"/>
  <c r="BI185" i="3"/>
  <c r="BH185" i="3"/>
  <c r="BG185" i="3"/>
  <c r="BE185" i="3"/>
  <c r="T185" i="3"/>
  <c r="R185" i="3"/>
  <c r="P185" i="3"/>
  <c r="J185" i="3"/>
  <c r="BF185" i="3" s="1"/>
  <c r="BK184" i="3"/>
  <c r="BI184" i="3"/>
  <c r="BH184" i="3"/>
  <c r="BG184" i="3"/>
  <c r="BF184" i="3"/>
  <c r="BE184" i="3"/>
  <c r="T184" i="3"/>
  <c r="R184" i="3"/>
  <c r="P184" i="3"/>
  <c r="J184" i="3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F182" i="3"/>
  <c r="BE182" i="3"/>
  <c r="T182" i="3"/>
  <c r="R182" i="3"/>
  <c r="P182" i="3"/>
  <c r="J182" i="3"/>
  <c r="BK181" i="3"/>
  <c r="BI181" i="3"/>
  <c r="BH181" i="3"/>
  <c r="BG181" i="3"/>
  <c r="BE181" i="3"/>
  <c r="T181" i="3"/>
  <c r="R181" i="3"/>
  <c r="P181" i="3"/>
  <c r="J181" i="3"/>
  <c r="BF181" i="3" s="1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E179" i="3"/>
  <c r="T179" i="3"/>
  <c r="R179" i="3"/>
  <c r="P179" i="3"/>
  <c r="J179" i="3"/>
  <c r="BF179" i="3" s="1"/>
  <c r="BK178" i="3"/>
  <c r="BI178" i="3"/>
  <c r="BH178" i="3"/>
  <c r="BG178" i="3"/>
  <c r="BF178" i="3"/>
  <c r="BE178" i="3"/>
  <c r="T178" i="3"/>
  <c r="R178" i="3"/>
  <c r="P178" i="3"/>
  <c r="J178" i="3"/>
  <c r="BK177" i="3"/>
  <c r="BI177" i="3"/>
  <c r="BH177" i="3"/>
  <c r="BG177" i="3"/>
  <c r="BE177" i="3"/>
  <c r="T177" i="3"/>
  <c r="R177" i="3"/>
  <c r="P177" i="3"/>
  <c r="J177" i="3"/>
  <c r="BF177" i="3" s="1"/>
  <c r="BK176" i="3"/>
  <c r="BI176" i="3"/>
  <c r="BH176" i="3"/>
  <c r="BG176" i="3"/>
  <c r="BF176" i="3"/>
  <c r="BE176" i="3"/>
  <c r="T176" i="3"/>
  <c r="R176" i="3"/>
  <c r="P176" i="3"/>
  <c r="J176" i="3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F172" i="3"/>
  <c r="BE172" i="3"/>
  <c r="T172" i="3"/>
  <c r="R172" i="3"/>
  <c r="P172" i="3"/>
  <c r="J172" i="3"/>
  <c r="BK171" i="3"/>
  <c r="BI171" i="3"/>
  <c r="BH171" i="3"/>
  <c r="BG171" i="3"/>
  <c r="BF171" i="3"/>
  <c r="BE171" i="3"/>
  <c r="T171" i="3"/>
  <c r="R171" i="3"/>
  <c r="P171" i="3"/>
  <c r="J171" i="3"/>
  <c r="BK170" i="3"/>
  <c r="BI170" i="3"/>
  <c r="BH170" i="3"/>
  <c r="BG170" i="3"/>
  <c r="BF170" i="3"/>
  <c r="BE170" i="3"/>
  <c r="T170" i="3"/>
  <c r="R170" i="3"/>
  <c r="P170" i="3"/>
  <c r="J170" i="3"/>
  <c r="BK169" i="3"/>
  <c r="BI169" i="3"/>
  <c r="BH169" i="3"/>
  <c r="BG169" i="3"/>
  <c r="BF169" i="3"/>
  <c r="BE169" i="3"/>
  <c r="T169" i="3"/>
  <c r="R169" i="3"/>
  <c r="P169" i="3"/>
  <c r="J169" i="3"/>
  <c r="BK168" i="3"/>
  <c r="BI168" i="3"/>
  <c r="BH168" i="3"/>
  <c r="BG168" i="3"/>
  <c r="BF168" i="3"/>
  <c r="BE168" i="3"/>
  <c r="T168" i="3"/>
  <c r="R168" i="3"/>
  <c r="P168" i="3"/>
  <c r="J168" i="3"/>
  <c r="BK167" i="3"/>
  <c r="BI167" i="3"/>
  <c r="BH167" i="3"/>
  <c r="BG167" i="3"/>
  <c r="BE167" i="3"/>
  <c r="T167" i="3"/>
  <c r="R167" i="3"/>
  <c r="P167" i="3"/>
  <c r="J167" i="3"/>
  <c r="BF167" i="3" s="1"/>
  <c r="BK166" i="3"/>
  <c r="BI166" i="3"/>
  <c r="BH166" i="3"/>
  <c r="BG166" i="3"/>
  <c r="BF166" i="3"/>
  <c r="BE166" i="3"/>
  <c r="T166" i="3"/>
  <c r="T165" i="3" s="1"/>
  <c r="R166" i="3"/>
  <c r="P166" i="3"/>
  <c r="J166" i="3"/>
  <c r="BK164" i="3"/>
  <c r="BI164" i="3"/>
  <c r="BH164" i="3"/>
  <c r="BG164" i="3"/>
  <c r="BF164" i="3"/>
  <c r="BE164" i="3"/>
  <c r="T164" i="3"/>
  <c r="R164" i="3"/>
  <c r="P164" i="3"/>
  <c r="J164" i="3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F160" i="3"/>
  <c r="BE160" i="3"/>
  <c r="T160" i="3"/>
  <c r="R160" i="3"/>
  <c r="P160" i="3"/>
  <c r="J160" i="3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J153" i="3"/>
  <c r="BF153" i="3" s="1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F150" i="3"/>
  <c r="BE150" i="3"/>
  <c r="T150" i="3"/>
  <c r="R150" i="3"/>
  <c r="P150" i="3"/>
  <c r="J150" i="3"/>
  <c r="BK149" i="3"/>
  <c r="BI149" i="3"/>
  <c r="BH149" i="3"/>
  <c r="BG149" i="3"/>
  <c r="BE149" i="3"/>
  <c r="T149" i="3"/>
  <c r="R149" i="3"/>
  <c r="P149" i="3"/>
  <c r="J149" i="3"/>
  <c r="BF149" i="3" s="1"/>
  <c r="BK148" i="3"/>
  <c r="BI148" i="3"/>
  <c r="BH148" i="3"/>
  <c r="BG148" i="3"/>
  <c r="BF148" i="3"/>
  <c r="BE148" i="3"/>
  <c r="T148" i="3"/>
  <c r="R148" i="3"/>
  <c r="P148" i="3"/>
  <c r="J148" i="3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F146" i="3"/>
  <c r="BE146" i="3"/>
  <c r="T146" i="3"/>
  <c r="R146" i="3"/>
  <c r="R143" i="3" s="1"/>
  <c r="P146" i="3"/>
  <c r="J146" i="3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F144" i="3"/>
  <c r="BE144" i="3"/>
  <c r="T144" i="3"/>
  <c r="R144" i="3"/>
  <c r="P144" i="3"/>
  <c r="J144" i="3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F141" i="3"/>
  <c r="BE141" i="3"/>
  <c r="T141" i="3"/>
  <c r="R141" i="3"/>
  <c r="P141" i="3"/>
  <c r="J141" i="3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F139" i="3"/>
  <c r="BE139" i="3"/>
  <c r="T139" i="3"/>
  <c r="R139" i="3"/>
  <c r="P139" i="3"/>
  <c r="J139" i="3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F137" i="3"/>
  <c r="BE137" i="3"/>
  <c r="T137" i="3"/>
  <c r="R137" i="3"/>
  <c r="P137" i="3"/>
  <c r="J137" i="3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F135" i="3"/>
  <c r="BE135" i="3"/>
  <c r="T135" i="3"/>
  <c r="R135" i="3"/>
  <c r="P135" i="3"/>
  <c r="J135" i="3"/>
  <c r="BK134" i="3"/>
  <c r="BI134" i="3"/>
  <c r="BH134" i="3"/>
  <c r="BG134" i="3"/>
  <c r="BE134" i="3"/>
  <c r="T134" i="3"/>
  <c r="R134" i="3"/>
  <c r="P134" i="3"/>
  <c r="J134" i="3"/>
  <c r="BF134" i="3" s="1"/>
  <c r="BK133" i="3"/>
  <c r="BI133" i="3"/>
  <c r="BH133" i="3"/>
  <c r="BG133" i="3"/>
  <c r="BF133" i="3"/>
  <c r="BE133" i="3"/>
  <c r="T133" i="3"/>
  <c r="R133" i="3"/>
  <c r="P133" i="3"/>
  <c r="J133" i="3"/>
  <c r="BK132" i="3"/>
  <c r="BI132" i="3"/>
  <c r="BH132" i="3"/>
  <c r="BG132" i="3"/>
  <c r="BE132" i="3"/>
  <c r="T132" i="3"/>
  <c r="R132" i="3"/>
  <c r="P132" i="3"/>
  <c r="J132" i="3"/>
  <c r="BF132" i="3" s="1"/>
  <c r="BK131" i="3"/>
  <c r="BI131" i="3"/>
  <c r="BH131" i="3"/>
  <c r="BG131" i="3"/>
  <c r="BF131" i="3"/>
  <c r="BE131" i="3"/>
  <c r="T131" i="3"/>
  <c r="R131" i="3"/>
  <c r="P131" i="3"/>
  <c r="J131" i="3"/>
  <c r="BK130" i="3"/>
  <c r="BI130" i="3"/>
  <c r="BH130" i="3"/>
  <c r="BG130" i="3"/>
  <c r="BE130" i="3"/>
  <c r="T130" i="3"/>
  <c r="R130" i="3"/>
  <c r="P130" i="3"/>
  <c r="P127" i="3" s="1"/>
  <c r="J130" i="3"/>
  <c r="BF130" i="3" s="1"/>
  <c r="BK129" i="3"/>
  <c r="BI129" i="3"/>
  <c r="BH129" i="3"/>
  <c r="BG129" i="3"/>
  <c r="BF129" i="3"/>
  <c r="BE129" i="3"/>
  <c r="T129" i="3"/>
  <c r="R129" i="3"/>
  <c r="P129" i="3"/>
  <c r="J129" i="3"/>
  <c r="BK128" i="3"/>
  <c r="BI128" i="3"/>
  <c r="BH128" i="3"/>
  <c r="BG128" i="3"/>
  <c r="BE128" i="3"/>
  <c r="T128" i="3"/>
  <c r="R128" i="3"/>
  <c r="P128" i="3"/>
  <c r="J128" i="3"/>
  <c r="BF128" i="3" s="1"/>
  <c r="BK126" i="3"/>
  <c r="BI126" i="3"/>
  <c r="BH126" i="3"/>
  <c r="BG126" i="3"/>
  <c r="BE126" i="3"/>
  <c r="T126" i="3"/>
  <c r="R126" i="3"/>
  <c r="P126" i="3"/>
  <c r="J126" i="3"/>
  <c r="BF126" i="3" s="1"/>
  <c r="BK125" i="3"/>
  <c r="BI125" i="3"/>
  <c r="BH125" i="3"/>
  <c r="BG125" i="3"/>
  <c r="BF125" i="3"/>
  <c r="BE125" i="3"/>
  <c r="T125" i="3"/>
  <c r="R125" i="3"/>
  <c r="P125" i="3"/>
  <c r="J125" i="3"/>
  <c r="BK124" i="3"/>
  <c r="BI124" i="3"/>
  <c r="BH124" i="3"/>
  <c r="BG124" i="3"/>
  <c r="BE124" i="3"/>
  <c r="T124" i="3"/>
  <c r="T123" i="3" s="1"/>
  <c r="R124" i="3"/>
  <c r="R123" i="3" s="1"/>
  <c r="P124" i="3"/>
  <c r="J124" i="3"/>
  <c r="BF124" i="3" s="1"/>
  <c r="F115" i="3"/>
  <c r="E113" i="3"/>
  <c r="F87" i="3"/>
  <c r="E85" i="3"/>
  <c r="J37" i="3"/>
  <c r="J36" i="3"/>
  <c r="J35" i="3"/>
  <c r="J29" i="3"/>
  <c r="J22" i="3"/>
  <c r="E22" i="3"/>
  <c r="J90" i="3" s="1"/>
  <c r="J21" i="3"/>
  <c r="J19" i="3"/>
  <c r="E19" i="3"/>
  <c r="J117" i="3" s="1"/>
  <c r="J18" i="3"/>
  <c r="J16" i="3"/>
  <c r="E16" i="3"/>
  <c r="F90" i="3" s="1"/>
  <c r="J15" i="3"/>
  <c r="J87" i="3"/>
  <c r="BD97" i="1"/>
  <c r="J311" i="2"/>
  <c r="BF311" i="2" s="1"/>
  <c r="BK311" i="2"/>
  <c r="BI311" i="2"/>
  <c r="BH311" i="2"/>
  <c r="BG311" i="2"/>
  <c r="BE311" i="2"/>
  <c r="T311" i="2"/>
  <c r="R311" i="2"/>
  <c r="P311" i="2"/>
  <c r="BK314" i="2"/>
  <c r="BI314" i="2"/>
  <c r="BH314" i="2"/>
  <c r="BG314" i="2"/>
  <c r="BE314" i="2"/>
  <c r="T314" i="2"/>
  <c r="R314" i="2"/>
  <c r="P314" i="2"/>
  <c r="J314" i="2"/>
  <c r="BF314" i="2" s="1"/>
  <c r="BK313" i="2"/>
  <c r="BI313" i="2"/>
  <c r="BH313" i="2"/>
  <c r="BG313" i="2"/>
  <c r="BE313" i="2"/>
  <c r="T313" i="2"/>
  <c r="R313" i="2"/>
  <c r="P313" i="2"/>
  <c r="J313" i="2"/>
  <c r="BF313" i="2" s="1"/>
  <c r="BK303" i="2"/>
  <c r="BI303" i="2"/>
  <c r="BH303" i="2"/>
  <c r="BG303" i="2"/>
  <c r="BE303" i="2"/>
  <c r="T303" i="2"/>
  <c r="R303" i="2"/>
  <c r="P303" i="2"/>
  <c r="J303" i="2"/>
  <c r="J89" i="3" l="1"/>
  <c r="R165" i="3"/>
  <c r="P123" i="3"/>
  <c r="R127" i="3"/>
  <c r="BF303" i="2"/>
  <c r="T127" i="3"/>
  <c r="F118" i="3"/>
  <c r="P143" i="3"/>
  <c r="T143" i="3"/>
  <c r="P165" i="3"/>
  <c r="P122" i="3" s="1"/>
  <c r="P121" i="3" s="1"/>
  <c r="BK165" i="3"/>
  <c r="J165" i="3" s="1"/>
  <c r="J99" i="3" s="1"/>
  <c r="BK143" i="3"/>
  <c r="J143" i="3" s="1"/>
  <c r="J98" i="3" s="1"/>
  <c r="BK127" i="3"/>
  <c r="J127" i="3" s="1"/>
  <c r="J97" i="3" s="1"/>
  <c r="F35" i="3"/>
  <c r="F36" i="3"/>
  <c r="BK123" i="3"/>
  <c r="F37" i="3"/>
  <c r="J30" i="4"/>
  <c r="J32" i="4" s="1"/>
  <c r="F34" i="3"/>
  <c r="J34" i="3"/>
  <c r="T122" i="3"/>
  <c r="T121" i="3" s="1"/>
  <c r="R122" i="3"/>
  <c r="R121" i="3" s="1"/>
  <c r="J115" i="3"/>
  <c r="J118" i="3"/>
  <c r="J312" i="2"/>
  <c r="J108" i="2" s="1"/>
  <c r="H310" i="2"/>
  <c r="BK307" i="2"/>
  <c r="BI307" i="2"/>
  <c r="BH307" i="2"/>
  <c r="BG307" i="2"/>
  <c r="BE307" i="2"/>
  <c r="T307" i="2"/>
  <c r="R307" i="2"/>
  <c r="P307" i="2"/>
  <c r="J307" i="2"/>
  <c r="J302" i="2" s="1"/>
  <c r="BK154" i="2"/>
  <c r="BI154" i="2"/>
  <c r="BH154" i="2"/>
  <c r="BG154" i="2"/>
  <c r="BE154" i="2"/>
  <c r="T154" i="2"/>
  <c r="R154" i="2"/>
  <c r="P154" i="2"/>
  <c r="J154" i="2"/>
  <c r="BF154" i="2" s="1"/>
  <c r="J107" i="2" l="1"/>
  <c r="J41" i="4"/>
  <c r="AG97" i="1"/>
  <c r="AN97" i="1" s="1"/>
  <c r="BK122" i="3"/>
  <c r="J122" i="3" s="1"/>
  <c r="J95" i="3" s="1"/>
  <c r="J123" i="3"/>
  <c r="J96" i="3" s="1"/>
  <c r="BF307" i="2"/>
  <c r="BK356" i="2"/>
  <c r="BI356" i="2"/>
  <c r="BH356" i="2"/>
  <c r="BG356" i="2"/>
  <c r="BE356" i="2"/>
  <c r="T356" i="2"/>
  <c r="R356" i="2"/>
  <c r="P356" i="2"/>
  <c r="J356" i="2"/>
  <c r="BF356" i="2" s="1"/>
  <c r="BK355" i="2"/>
  <c r="BI355" i="2"/>
  <c r="BH355" i="2"/>
  <c r="BG355" i="2"/>
  <c r="BE355" i="2"/>
  <c r="T355" i="2"/>
  <c r="R355" i="2"/>
  <c r="P355" i="2"/>
  <c r="J355" i="2"/>
  <c r="BF355" i="2" s="1"/>
  <c r="BK354" i="2"/>
  <c r="BI354" i="2"/>
  <c r="BH354" i="2"/>
  <c r="BG354" i="2"/>
  <c r="BE354" i="2"/>
  <c r="T354" i="2"/>
  <c r="R354" i="2"/>
  <c r="P354" i="2"/>
  <c r="J354" i="2"/>
  <c r="BF354" i="2" s="1"/>
  <c r="BK121" i="3" l="1"/>
  <c r="J121" i="3" s="1"/>
  <c r="J94" i="3" s="1"/>
  <c r="J28" i="3" s="1"/>
  <c r="J30" i="3" s="1"/>
  <c r="J39" i="3" s="1"/>
  <c r="J353" i="2"/>
  <c r="J104" i="3" l="1"/>
  <c r="AG96" i="1"/>
  <c r="H202" i="2"/>
  <c r="H187" i="2"/>
  <c r="H164" i="2"/>
  <c r="H335" i="2"/>
  <c r="H206" i="2"/>
  <c r="H319" i="2"/>
  <c r="H296" i="2"/>
  <c r="BK279" i="2"/>
  <c r="BI279" i="2"/>
  <c r="BH279" i="2"/>
  <c r="BG279" i="2"/>
  <c r="BE279" i="2"/>
  <c r="T279" i="2"/>
  <c r="R279" i="2"/>
  <c r="P279" i="2"/>
  <c r="J279" i="2"/>
  <c r="BF279" i="2" s="1"/>
  <c r="BK276" i="2"/>
  <c r="BI276" i="2"/>
  <c r="BH276" i="2"/>
  <c r="BG276" i="2"/>
  <c r="BE276" i="2"/>
  <c r="T276" i="2"/>
  <c r="R276" i="2"/>
  <c r="P276" i="2"/>
  <c r="J276" i="2"/>
  <c r="BF276" i="2" s="1"/>
  <c r="H268" i="2"/>
  <c r="BK270" i="2"/>
  <c r="BI270" i="2"/>
  <c r="BH270" i="2"/>
  <c r="BG270" i="2"/>
  <c r="BE270" i="2"/>
  <c r="T270" i="2"/>
  <c r="R270" i="2"/>
  <c r="P270" i="2"/>
  <c r="J270" i="2"/>
  <c r="BF270" i="2" s="1"/>
  <c r="BK263" i="2"/>
  <c r="BI263" i="2"/>
  <c r="BH263" i="2"/>
  <c r="BG263" i="2"/>
  <c r="BE263" i="2"/>
  <c r="T263" i="2"/>
  <c r="R263" i="2"/>
  <c r="P263" i="2"/>
  <c r="J263" i="2"/>
  <c r="BF263" i="2" s="1"/>
  <c r="H260" i="2"/>
  <c r="H248" i="2"/>
  <c r="H231" i="2"/>
  <c r="J35" i="2"/>
  <c r="AW99" i="1" s="1"/>
  <c r="J34" i="2"/>
  <c r="AV99" i="1" s="1"/>
  <c r="J33" i="2"/>
  <c r="BI363" i="2"/>
  <c r="BH363" i="2"/>
  <c r="BG363" i="2"/>
  <c r="BE363" i="2"/>
  <c r="T363" i="2"/>
  <c r="R363" i="2"/>
  <c r="P363" i="2"/>
  <c r="BK363" i="2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 s="1"/>
  <c r="BI351" i="2"/>
  <c r="BH351" i="2"/>
  <c r="BG351" i="2"/>
  <c r="BE351" i="2"/>
  <c r="T351" i="2"/>
  <c r="R351" i="2"/>
  <c r="P351" i="2"/>
  <c r="BK351" i="2"/>
  <c r="J351" i="2"/>
  <c r="BF351" i="2" s="1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4" i="2"/>
  <c r="BH344" i="2"/>
  <c r="BG344" i="2"/>
  <c r="BE344" i="2"/>
  <c r="T344" i="2"/>
  <c r="R344" i="2"/>
  <c r="P344" i="2"/>
  <c r="BK344" i="2"/>
  <c r="J344" i="2"/>
  <c r="BF344" i="2" s="1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 s="1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6" i="2"/>
  <c r="BH336" i="2"/>
  <c r="BG336" i="2"/>
  <c r="BE336" i="2"/>
  <c r="T336" i="2"/>
  <c r="R336" i="2"/>
  <c r="P336" i="2"/>
  <c r="BK336" i="2"/>
  <c r="J336" i="2"/>
  <c r="BF336" i="2" s="1"/>
  <c r="BI332" i="2"/>
  <c r="BH332" i="2"/>
  <c r="BG332" i="2"/>
  <c r="BE332" i="2"/>
  <c r="T332" i="2"/>
  <c r="R332" i="2"/>
  <c r="P332" i="2"/>
  <c r="BK332" i="2"/>
  <c r="J332" i="2"/>
  <c r="BF332" i="2" s="1"/>
  <c r="BI329" i="2"/>
  <c r="BH329" i="2"/>
  <c r="BG329" i="2"/>
  <c r="BE329" i="2"/>
  <c r="T329" i="2"/>
  <c r="R329" i="2"/>
  <c r="P329" i="2"/>
  <c r="BK329" i="2"/>
  <c r="J329" i="2"/>
  <c r="BF329" i="2" s="1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2" i="2"/>
  <c r="BH322" i="2"/>
  <c r="BG322" i="2"/>
  <c r="BE322" i="2"/>
  <c r="T322" i="2"/>
  <c r="R322" i="2"/>
  <c r="P322" i="2"/>
  <c r="BK322" i="2"/>
  <c r="J322" i="2"/>
  <c r="BF322" i="2" s="1"/>
  <c r="BI320" i="2"/>
  <c r="BH320" i="2"/>
  <c r="BG320" i="2"/>
  <c r="BE320" i="2"/>
  <c r="T320" i="2"/>
  <c r="R320" i="2"/>
  <c r="P320" i="2"/>
  <c r="BK320" i="2"/>
  <c r="J320" i="2"/>
  <c r="BF320" i="2" s="1"/>
  <c r="BI316" i="2"/>
  <c r="BH316" i="2"/>
  <c r="BG316" i="2"/>
  <c r="BE316" i="2"/>
  <c r="T316" i="2"/>
  <c r="R316" i="2"/>
  <c r="P316" i="2"/>
  <c r="BK316" i="2"/>
  <c r="J316" i="2"/>
  <c r="BF316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BK288" i="2"/>
  <c r="J288" i="2"/>
  <c r="BF288" i="2" s="1"/>
  <c r="BI286" i="2"/>
  <c r="BH286" i="2"/>
  <c r="BG286" i="2"/>
  <c r="BE286" i="2"/>
  <c r="T286" i="2"/>
  <c r="R286" i="2"/>
  <c r="P286" i="2"/>
  <c r="BK286" i="2"/>
  <c r="J286" i="2"/>
  <c r="BF286" i="2" s="1"/>
  <c r="BI280" i="2"/>
  <c r="BH280" i="2"/>
  <c r="BG280" i="2"/>
  <c r="BE280" i="2"/>
  <c r="T280" i="2"/>
  <c r="R280" i="2"/>
  <c r="P280" i="2"/>
  <c r="BK280" i="2"/>
  <c r="J280" i="2"/>
  <c r="BF280" i="2" s="1"/>
  <c r="BI278" i="2"/>
  <c r="BH278" i="2"/>
  <c r="BG278" i="2"/>
  <c r="BE278" i="2"/>
  <c r="T278" i="2"/>
  <c r="R278" i="2"/>
  <c r="P278" i="2"/>
  <c r="BK278" i="2"/>
  <c r="J278" i="2"/>
  <c r="BF278" i="2" s="1"/>
  <c r="BI277" i="2"/>
  <c r="BH277" i="2"/>
  <c r="BG277" i="2"/>
  <c r="BE277" i="2"/>
  <c r="T277" i="2"/>
  <c r="R277" i="2"/>
  <c r="P277" i="2"/>
  <c r="BK277" i="2"/>
  <c r="J277" i="2"/>
  <c r="BF277" i="2" s="1"/>
  <c r="BI271" i="2"/>
  <c r="BH271" i="2"/>
  <c r="BG271" i="2"/>
  <c r="BE271" i="2"/>
  <c r="T271" i="2"/>
  <c r="R271" i="2"/>
  <c r="P271" i="2"/>
  <c r="BK271" i="2"/>
  <c r="J271" i="2"/>
  <c r="BF271" i="2" s="1"/>
  <c r="BI269" i="2"/>
  <c r="BH269" i="2"/>
  <c r="BG269" i="2"/>
  <c r="BE269" i="2"/>
  <c r="T269" i="2"/>
  <c r="R269" i="2"/>
  <c r="P269" i="2"/>
  <c r="BK269" i="2"/>
  <c r="J269" i="2"/>
  <c r="BF269" i="2" s="1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55" i="2"/>
  <c r="BH255" i="2"/>
  <c r="BG255" i="2"/>
  <c r="BE255" i="2"/>
  <c r="T255" i="2"/>
  <c r="R255" i="2"/>
  <c r="P255" i="2"/>
  <c r="BK255" i="2"/>
  <c r="J255" i="2"/>
  <c r="BF255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5" i="2"/>
  <c r="BH245" i="2"/>
  <c r="BG245" i="2"/>
  <c r="BE245" i="2"/>
  <c r="T245" i="2"/>
  <c r="R245" i="2"/>
  <c r="P245" i="2"/>
  <c r="BK245" i="2"/>
  <c r="J245" i="2"/>
  <c r="BF245" i="2" s="1"/>
  <c r="BI242" i="2"/>
  <c r="BH242" i="2"/>
  <c r="BG242" i="2"/>
  <c r="BE242" i="2"/>
  <c r="T242" i="2"/>
  <c r="R242" i="2"/>
  <c r="P242" i="2"/>
  <c r="BK242" i="2"/>
  <c r="J242" i="2"/>
  <c r="BF242" i="2" s="1"/>
  <c r="BI238" i="2"/>
  <c r="BH238" i="2"/>
  <c r="BG238" i="2"/>
  <c r="BE238" i="2"/>
  <c r="T238" i="2"/>
  <c r="R238" i="2"/>
  <c r="P238" i="2"/>
  <c r="BK238" i="2"/>
  <c r="J238" i="2"/>
  <c r="BF238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2" i="2"/>
  <c r="BH232" i="2"/>
  <c r="BG232" i="2"/>
  <c r="BE232" i="2"/>
  <c r="T232" i="2"/>
  <c r="R232" i="2"/>
  <c r="P232" i="2"/>
  <c r="BK232" i="2"/>
  <c r="J232" i="2"/>
  <c r="BF232" i="2" s="1"/>
  <c r="BI226" i="2"/>
  <c r="BH226" i="2"/>
  <c r="BG226" i="2"/>
  <c r="BE226" i="2"/>
  <c r="T226" i="2"/>
  <c r="R226" i="2"/>
  <c r="P226" i="2"/>
  <c r="BK226" i="2"/>
  <c r="J226" i="2"/>
  <c r="BF226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3" i="2"/>
  <c r="BH203" i="2"/>
  <c r="BG203" i="2"/>
  <c r="BE203" i="2"/>
  <c r="T203" i="2"/>
  <c r="R203" i="2"/>
  <c r="P203" i="2"/>
  <c r="BK203" i="2"/>
  <c r="J203" i="2"/>
  <c r="BF203" i="2" s="1"/>
  <c r="BI196" i="2"/>
  <c r="BH196" i="2"/>
  <c r="BG196" i="2"/>
  <c r="BE196" i="2"/>
  <c r="T196" i="2"/>
  <c r="R196" i="2"/>
  <c r="P196" i="2"/>
  <c r="BK196" i="2"/>
  <c r="J196" i="2"/>
  <c r="BF196" i="2" s="1"/>
  <c r="BI192" i="2"/>
  <c r="BH192" i="2"/>
  <c r="BG192" i="2"/>
  <c r="BE192" i="2"/>
  <c r="T192" i="2"/>
  <c r="R192" i="2"/>
  <c r="P192" i="2"/>
  <c r="BK192" i="2"/>
  <c r="J192" i="2"/>
  <c r="BF192" i="2" s="1"/>
  <c r="BI188" i="2"/>
  <c r="BH188" i="2"/>
  <c r="BG188" i="2"/>
  <c r="BE188" i="2"/>
  <c r="T188" i="2"/>
  <c r="R188" i="2"/>
  <c r="P188" i="2"/>
  <c r="BK188" i="2"/>
  <c r="J188" i="2"/>
  <c r="BF188" i="2" s="1"/>
  <c r="BI182" i="2"/>
  <c r="BH182" i="2"/>
  <c r="BG182" i="2"/>
  <c r="BE182" i="2"/>
  <c r="T182" i="2"/>
  <c r="R182" i="2"/>
  <c r="P182" i="2"/>
  <c r="BK182" i="2"/>
  <c r="J182" i="2"/>
  <c r="BF182" i="2" s="1"/>
  <c r="BI180" i="2"/>
  <c r="BH180" i="2"/>
  <c r="BG180" i="2"/>
  <c r="BE180" i="2"/>
  <c r="T180" i="2"/>
  <c r="R180" i="2"/>
  <c r="P180" i="2"/>
  <c r="BK180" i="2"/>
  <c r="J180" i="2"/>
  <c r="BF180" i="2" s="1"/>
  <c r="BI178" i="2"/>
  <c r="BH178" i="2"/>
  <c r="BG178" i="2"/>
  <c r="BE178" i="2"/>
  <c r="T178" i="2"/>
  <c r="R178" i="2"/>
  <c r="P178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 s="1"/>
  <c r="BI174" i="2"/>
  <c r="BH174" i="2"/>
  <c r="BG174" i="2"/>
  <c r="BE174" i="2"/>
  <c r="T174" i="2"/>
  <c r="R174" i="2"/>
  <c r="P174" i="2"/>
  <c r="BK174" i="2"/>
  <c r="J174" i="2"/>
  <c r="BF174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 s="1"/>
  <c r="BI161" i="2"/>
  <c r="BH161" i="2"/>
  <c r="BG161" i="2"/>
  <c r="BE161" i="2"/>
  <c r="T161" i="2"/>
  <c r="R161" i="2"/>
  <c r="P161" i="2"/>
  <c r="BK161" i="2"/>
  <c r="J161" i="2"/>
  <c r="BI156" i="2"/>
  <c r="BH156" i="2"/>
  <c r="BG156" i="2"/>
  <c r="BE156" i="2"/>
  <c r="T156" i="2"/>
  <c r="R156" i="2"/>
  <c r="P156" i="2"/>
  <c r="BK156" i="2"/>
  <c r="J156" i="2"/>
  <c r="BF156" i="2" s="1"/>
  <c r="BI153" i="2"/>
  <c r="BH153" i="2"/>
  <c r="BG153" i="2"/>
  <c r="BE153" i="2"/>
  <c r="T153" i="2"/>
  <c r="R153" i="2"/>
  <c r="P153" i="2"/>
  <c r="BK153" i="2"/>
  <c r="J153" i="2"/>
  <c r="BF153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7" i="2"/>
  <c r="BH147" i="2"/>
  <c r="BG147" i="2"/>
  <c r="BE147" i="2"/>
  <c r="T147" i="2"/>
  <c r="R147" i="2"/>
  <c r="P147" i="2"/>
  <c r="BK147" i="2"/>
  <c r="J147" i="2"/>
  <c r="BF147" i="2" s="1"/>
  <c r="BI143" i="2"/>
  <c r="BH143" i="2"/>
  <c r="BG143" i="2"/>
  <c r="BE143" i="2"/>
  <c r="T143" i="2"/>
  <c r="R143" i="2"/>
  <c r="P143" i="2"/>
  <c r="BK143" i="2"/>
  <c r="J143" i="2"/>
  <c r="BF143" i="2" s="1"/>
  <c r="BI139" i="2"/>
  <c r="BH139" i="2"/>
  <c r="BG139" i="2"/>
  <c r="BE139" i="2"/>
  <c r="T139" i="2"/>
  <c r="R139" i="2"/>
  <c r="P139" i="2"/>
  <c r="BK139" i="2"/>
  <c r="J139" i="2"/>
  <c r="BF139" i="2" s="1"/>
  <c r="BI134" i="2"/>
  <c r="BH134" i="2"/>
  <c r="BG134" i="2"/>
  <c r="BE134" i="2"/>
  <c r="T134" i="2"/>
  <c r="R134" i="2"/>
  <c r="P134" i="2"/>
  <c r="BK134" i="2"/>
  <c r="J134" i="2"/>
  <c r="BF134" i="2" s="1"/>
  <c r="BI132" i="2"/>
  <c r="BH132" i="2"/>
  <c r="BG132" i="2"/>
  <c r="BE132" i="2"/>
  <c r="T132" i="2"/>
  <c r="R132" i="2"/>
  <c r="P132" i="2"/>
  <c r="AU99" i="1" s="1"/>
  <c r="BK132" i="2"/>
  <c r="J132" i="2"/>
  <c r="BF132" i="2" s="1"/>
  <c r="J125" i="2"/>
  <c r="F123" i="2"/>
  <c r="E121" i="2"/>
  <c r="J89" i="2"/>
  <c r="F87" i="2"/>
  <c r="E85" i="2"/>
  <c r="J16" i="2"/>
  <c r="E16" i="2"/>
  <c r="F90" i="2" s="1"/>
  <c r="J15" i="2"/>
  <c r="J13" i="2"/>
  <c r="E13" i="2"/>
  <c r="J12" i="2"/>
  <c r="J87" i="2"/>
  <c r="AS94" i="1"/>
  <c r="L90" i="1"/>
  <c r="AM90" i="1"/>
  <c r="AM89" i="1"/>
  <c r="AM87" i="1"/>
  <c r="L87" i="1"/>
  <c r="L85" i="1"/>
  <c r="BF161" i="2" l="1"/>
  <c r="J160" i="2"/>
  <c r="AT99" i="1"/>
  <c r="AX95" i="1"/>
  <c r="AV98" i="1"/>
  <c r="AX96" i="1"/>
  <c r="AW97" i="1"/>
  <c r="AY95" i="1"/>
  <c r="AW98" i="1"/>
  <c r="AX97" i="1"/>
  <c r="AY96" i="1"/>
  <c r="AX98" i="1"/>
  <c r="AY97" i="1"/>
  <c r="AN96" i="1"/>
  <c r="P160" i="2"/>
  <c r="T173" i="2"/>
  <c r="R138" i="2"/>
  <c r="P138" i="2"/>
  <c r="T315" i="2"/>
  <c r="T219" i="2"/>
  <c r="P237" i="2"/>
  <c r="R331" i="2"/>
  <c r="R131" i="2"/>
  <c r="T149" i="2"/>
  <c r="R149" i="2"/>
  <c r="T138" i="2"/>
  <c r="P131" i="2"/>
  <c r="AU98" i="1" s="1"/>
  <c r="BK219" i="2"/>
  <c r="J219" i="2" s="1"/>
  <c r="J101" i="2" s="1"/>
  <c r="T331" i="2"/>
  <c r="P254" i="2"/>
  <c r="P244" i="2"/>
  <c r="T131" i="2"/>
  <c r="T160" i="2"/>
  <c r="R254" i="2"/>
  <c r="R315" i="2"/>
  <c r="T358" i="2"/>
  <c r="T353" i="2" s="1"/>
  <c r="P149" i="2"/>
  <c r="P173" i="2"/>
  <c r="R173" i="2"/>
  <c r="P219" i="2"/>
  <c r="R219" i="2"/>
  <c r="T237" i="2"/>
  <c r="T254" i="2"/>
  <c r="P331" i="2"/>
  <c r="P225" i="2"/>
  <c r="T225" i="2"/>
  <c r="T244" i="2"/>
  <c r="R244" i="2"/>
  <c r="P315" i="2"/>
  <c r="J123" i="2"/>
  <c r="BK358" i="2"/>
  <c r="BK331" i="2"/>
  <c r="J331" i="2" s="1"/>
  <c r="J110" i="2" s="1"/>
  <c r="BK315" i="2"/>
  <c r="BK237" i="2"/>
  <c r="J237" i="2" s="1"/>
  <c r="J104" i="2" s="1"/>
  <c r="F33" i="2"/>
  <c r="BK149" i="2"/>
  <c r="J149" i="2" s="1"/>
  <c r="J98" i="2" s="1"/>
  <c r="F35" i="2"/>
  <c r="BA99" i="1" s="1"/>
  <c r="BK138" i="2"/>
  <c r="J138" i="2" s="1"/>
  <c r="J97" i="2" s="1"/>
  <c r="BK131" i="2"/>
  <c r="J131" i="2" s="1"/>
  <c r="J96" i="2" s="1"/>
  <c r="F31" i="2"/>
  <c r="BK160" i="2"/>
  <c r="BK244" i="2"/>
  <c r="J244" i="2" s="1"/>
  <c r="J105" i="2" s="1"/>
  <c r="P358" i="2"/>
  <c r="P353" i="2" s="1"/>
  <c r="R358" i="2"/>
  <c r="R353" i="2" s="1"/>
  <c r="F34" i="2"/>
  <c r="AZ99" i="1" s="1"/>
  <c r="BK173" i="2"/>
  <c r="J173" i="2" s="1"/>
  <c r="J100" i="2" s="1"/>
  <c r="BK225" i="2"/>
  <c r="J225" i="2" s="1"/>
  <c r="R237" i="2"/>
  <c r="BK254" i="2"/>
  <c r="J254" i="2" s="1"/>
  <c r="J106" i="2" s="1"/>
  <c r="R160" i="2"/>
  <c r="R225" i="2"/>
  <c r="F126" i="2"/>
  <c r="J31" i="2"/>
  <c r="J99" i="2" l="1"/>
  <c r="J95" i="2" s="1"/>
  <c r="AT98" i="1"/>
  <c r="R312" i="2"/>
  <c r="R302" i="2" s="1"/>
  <c r="AV95" i="1"/>
  <c r="AV96" i="1"/>
  <c r="BB95" i="1"/>
  <c r="BB94" i="1" s="1"/>
  <c r="W31" i="1" s="1"/>
  <c r="AZ98" i="1"/>
  <c r="BB96" i="1"/>
  <c r="BA97" i="1"/>
  <c r="BD95" i="1"/>
  <c r="BD94" i="1" s="1"/>
  <c r="W33" i="1" s="1"/>
  <c r="BB98" i="1"/>
  <c r="BD96" i="1"/>
  <c r="BC97" i="1"/>
  <c r="AZ95" i="1"/>
  <c r="AZ94" i="1" s="1"/>
  <c r="AV94" i="1" s="1"/>
  <c r="AK29" i="1" s="1"/>
  <c r="AZ96" i="1"/>
  <c r="BC95" i="1"/>
  <c r="BC94" i="1" s="1"/>
  <c r="W32" i="1" s="1"/>
  <c r="BA98" i="1"/>
  <c r="BB97" i="1"/>
  <c r="BC96" i="1"/>
  <c r="T312" i="2"/>
  <c r="T302" i="2" s="1"/>
  <c r="J103" i="2"/>
  <c r="P312" i="2"/>
  <c r="P302" i="2" s="1"/>
  <c r="J315" i="2"/>
  <c r="J109" i="2" s="1"/>
  <c r="BK312" i="2"/>
  <c r="BK302" i="2" s="1"/>
  <c r="J358" i="2"/>
  <c r="J111" i="2" s="1"/>
  <c r="BK353" i="2"/>
  <c r="P130" i="2"/>
  <c r="AU97" i="1" s="1"/>
  <c r="P224" i="2"/>
  <c r="T224" i="2"/>
  <c r="R130" i="2"/>
  <c r="T130" i="2"/>
  <c r="R224" i="2"/>
  <c r="BK224" i="2"/>
  <c r="BK130" i="2"/>
  <c r="J130" i="2" s="1"/>
  <c r="AX94" i="1" l="1"/>
  <c r="AY94" i="1"/>
  <c r="W29" i="1"/>
  <c r="J224" i="2"/>
  <c r="J129" i="2" s="1"/>
  <c r="R129" i="2"/>
  <c r="P129" i="2"/>
  <c r="T129" i="2"/>
  <c r="BK129" i="2"/>
  <c r="AU95" i="1" l="1"/>
  <c r="AU94" i="1" s="1"/>
  <c r="AU96" i="1"/>
  <c r="J102" i="2"/>
  <c r="V94" i="2" l="1"/>
  <c r="J94" i="2"/>
  <c r="J28" i="2" s="1"/>
  <c r="F32" i="2" l="1"/>
  <c r="AG95" i="1"/>
  <c r="AG94" i="1" l="1"/>
  <c r="AK26" i="1" s="1"/>
  <c r="W30" i="1" s="1"/>
  <c r="AK30" i="1" s="1"/>
  <c r="AK35" i="1" s="1"/>
  <c r="AN95" i="1"/>
  <c r="AN94" i="1" s="1"/>
  <c r="J32" i="2"/>
  <c r="BA96" i="1"/>
  <c r="AZ97" i="1"/>
  <c r="BA95" i="1"/>
  <c r="BA94" i="1" s="1"/>
  <c r="AW94" i="1" s="1"/>
  <c r="AT94" i="1" s="1"/>
  <c r="AW96" i="1" l="1"/>
  <c r="AT96" i="1" s="1"/>
  <c r="AV97" i="1"/>
  <c r="AT97" i="1" s="1"/>
  <c r="AW95" i="1"/>
  <c r="AT95" i="1" s="1"/>
  <c r="J37" i="2"/>
  <c r="AY99" i="1" s="1"/>
</calcChain>
</file>

<file path=xl/sharedStrings.xml><?xml version="1.0" encoding="utf-8"?>
<sst xmlns="http://schemas.openxmlformats.org/spreadsheetml/2006/main" count="6350" uniqueCount="1139">
  <si>
    <t>Export Komplet</t>
  </si>
  <si>
    <t/>
  </si>
  <si>
    <t>2.0</t>
  </si>
  <si>
    <t>False</t>
  </si>
  <si>
    <t>{2ba7de54-716f-4f64-807b-8e85cd9e8f58}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</si>
  <si>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</si>
  <si>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</si>
  <si>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</si>
  <si>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</si>
  <si>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</si>
  <si>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</si>
  <si>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</si>
  <si>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</si>
  <si>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MŠ Čordáková 17 - Stavebné úpravy časti priestorov</t>
  </si>
  <si>
    <t>JKSO:</t>
  </si>
  <si>
    <t>KS:</t>
  </si>
  <si>
    <t>Miesto:</t>
  </si>
  <si>
    <t>Košice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</si>
  <si>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</si>
  <si>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</si>
  <si>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</si>
  <si>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</si>
  <si>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</si>
  <si>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</si>
  <si>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</si>
  <si>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47221828</t>
  </si>
  <si>
    <t>Ing. Marta Tomková, T.D.LINE s.r.o.</t>
  </si>
  <si>
    <t>SK2023813990</t>
  </si>
  <si>
    <t>True</t>
  </si>
  <si>
    <t>Spracovateľ:</t>
  </si>
  <si>
    <t>Poznámka:</t>
  </si>
  <si>
    <t xml:space="preserve">"Výkaz výmer je vypracovaný v rozsahu projektovej dokumentácie pre stavebné povolenie. Zhotoviteľ stavby pred realizáciou je povinný preveriť koordinačné rozmery stavby a jednotlivé výmery a podľa potreby stav aktualizovať.																																			_x000D_
"																																			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</si>
  <si>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</si>
  <si>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</si>
  <si>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</si>
  <si>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</si>
  <si>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</si>
  <si>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</si>
  <si>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</si>
  <si>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</si>
  <si>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</si>
  <si>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</si>
  <si>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</si>
  <si>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</si>
  <si>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</si>
  <si>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</si>
  <si>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</si>
  <si>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</si>
  <si>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</si>
  <si>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</si>
  <si>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</si>
  <si>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</si>
  <si>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</si>
  <si>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</si>
  <si>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</si>
  <si>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</si>
  <si>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</si>
  <si>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</si>
  <si>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</si>
  <si>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</si>
  <si>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</si>
  <si>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</si>
  <si>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</si>
  <si>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</si>
  <si>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</si>
  <si>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</si>
  <si>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</si>
  <si>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</si>
  <si>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</si>
  <si>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</si>
  <si>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</si>
  <si>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</si>
  <si>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</si>
  <si>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</si>
  <si>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</si>
  <si>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</si>
  <si>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</si>
  <si>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</si>
  <si>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</si>
  <si>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 xml:space="preserve">"Výkaz výmer je vypracovaný v rozsahu projektovej dokumentácie pre stavebné povolenie. Zhotoviteľ stavby pred realizáciou je povinný preveriť koordinačné rozmery stavby a jednotlivé výmery a podľa potreby stav aktualizovať.																																			 "																																			 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</si>
  <si>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</si>
  <si>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</si>
  <si>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</si>
  <si>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</si>
  <si>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</si>
  <si>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</si>
  <si>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</si>
  <si>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</si>
  <si>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</si>
  <si>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</si>
  <si>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</si>
  <si>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</si>
  <si>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</si>
  <si>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</si>
  <si>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</si>
  <si>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</si>
  <si>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</si>
  <si>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</si>
  <si>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</si>
  <si>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784 - Maľby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</si>
  <si>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</si>
  <si>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</si>
  <si>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</si>
  <si>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</si>
  <si>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</si>
  <si>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</si>
  <si>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</si>
  <si>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</si>
  <si>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</si>
  <si>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</si>
  <si>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</si>
  <si>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</si>
  <si>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</si>
  <si>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</si>
  <si>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</si>
  <si>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</si>
  <si>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131211101</t>
  </si>
  <si>
    <t>Hĺbenie jám v  hornine tr.3 súdržných - ručným náradím</t>
  </si>
  <si>
    <t>m3</t>
  </si>
  <si>
    <t>4</t>
  </si>
  <si>
    <t>2</t>
  </si>
  <si>
    <t>-1557093848</t>
  </si>
  <si>
    <t>VV</t>
  </si>
  <si>
    <t>0,68*0,7*0,8</t>
  </si>
  <si>
    <t>171101103</t>
  </si>
  <si>
    <t>Uloženie sypaniny do násypu  súdržnej horniny s mierou zhutnenia nad 96 do 100 % podľa Proctor-Standard</t>
  </si>
  <si>
    <t>-597591017</t>
  </si>
  <si>
    <t>4,4*7,1*0,3</t>
  </si>
  <si>
    <t>Súčet</t>
  </si>
  <si>
    <t>Zakladanie</t>
  </si>
  <si>
    <t>3</t>
  </si>
  <si>
    <t>271533001</t>
  </si>
  <si>
    <t>Násyp pod základové  konštrukcie so zhutnením z  kameniva hrubého drveného fr.32-63 mm</t>
  </si>
  <si>
    <t>-1210958055</t>
  </si>
  <si>
    <t>4,4*7,1*0,10</t>
  </si>
  <si>
    <t>273313612</t>
  </si>
  <si>
    <t>Betón základových dosiek, prostý tr. C 20/25</t>
  </si>
  <si>
    <t>1363300844</t>
  </si>
  <si>
    <t>5</t>
  </si>
  <si>
    <t>275313612</t>
  </si>
  <si>
    <t>Betón základových pätiek, prostý tr. C 20/25</t>
  </si>
  <si>
    <t>662188509</t>
  </si>
  <si>
    <t>Zvislé a kompletné konštrukcie</t>
  </si>
  <si>
    <t>6</t>
  </si>
  <si>
    <t>311208315a</t>
  </si>
  <si>
    <t>Dodatočná hĺbková injektáž zemín - sonda 5ks</t>
  </si>
  <si>
    <t>ks</t>
  </si>
  <si>
    <t>2137705117</t>
  </si>
  <si>
    <t>7</t>
  </si>
  <si>
    <t>311208315</t>
  </si>
  <si>
    <t>Dodatočná hĺbková injektáž zemín</t>
  </si>
  <si>
    <t>m</t>
  </si>
  <si>
    <t>-1241315896</t>
  </si>
  <si>
    <t>2,75*2+4,115+1,62*2</t>
  </si>
  <si>
    <t>8</t>
  </si>
  <si>
    <t>317166101</t>
  </si>
  <si>
    <t>Nosný preklad PORFIX, šírky 100 mm, výšky 250 mm, dĺžky 1200 mm</t>
  </si>
  <si>
    <t>-265811188</t>
  </si>
  <si>
    <t>9</t>
  </si>
  <si>
    <t>342272102</t>
  </si>
  <si>
    <t>Priečky z tvárnic YTONG hr. 100 mm P2-500 hladkých, na MVC a maltu YTONG (100x249x599)</t>
  </si>
  <si>
    <t>m2</t>
  </si>
  <si>
    <t>-306982707</t>
  </si>
  <si>
    <t>(4,4+7,3+2,05+1,55*2)*3</t>
  </si>
  <si>
    <t>-(0,6*1,9*2+0,8*1,97*2+0,9*1,97)</t>
  </si>
  <si>
    <t>Úpravy povrchov, podlahy, osadenie</t>
  </si>
  <si>
    <t>612481119</t>
  </si>
  <si>
    <t>Potiahnutie vnútorných stien sklotextílnou mriežkou s celoplošným prilepením</t>
  </si>
  <si>
    <t>-1698819407</t>
  </si>
  <si>
    <t>43,345*2</t>
  </si>
  <si>
    <t>622462492</t>
  </si>
  <si>
    <t>-1525734542</t>
  </si>
  <si>
    <t>612460251</t>
  </si>
  <si>
    <t>Vnútorná omietka stien vápennocementová štuková (jemná), hr. 3 mm</t>
  </si>
  <si>
    <t>-2084909990</t>
  </si>
  <si>
    <t>632450024</t>
  </si>
  <si>
    <t>Cementový poter PCI Pericem EBF 04 hrubý, triedy CT-C25-F4, hr. 50 mm</t>
  </si>
  <si>
    <t>-2811138</t>
  </si>
  <si>
    <t>632450161</t>
  </si>
  <si>
    <t>Cementová samonivelizačná stierka PCI Pericem 515, triedy CT-C30-F6, hr. 5 mm</t>
  </si>
  <si>
    <t>-653881590</t>
  </si>
  <si>
    <t>Ostatné konštrukcie a práce-búranie</t>
  </si>
  <si>
    <t>941955002</t>
  </si>
  <si>
    <t>Lešenie ľahké pracovné pomocné s výškou lešeňovej podlahy nad 1,20 do 1,90 m</t>
  </si>
  <si>
    <t>1338702362</t>
  </si>
  <si>
    <t>14,6*6,5</t>
  </si>
  <si>
    <t>16</t>
  </si>
  <si>
    <t>968061113</t>
  </si>
  <si>
    <t>Vyvesenie dreveného okenného krídla do suti plochy nad 1,5 m2, -0,01600t</t>
  </si>
  <si>
    <t>1989833405</t>
  </si>
  <si>
    <t>968061115</t>
  </si>
  <si>
    <t>Demontáž okien drevených, 1 bm obvodu - 0,008t</t>
  </si>
  <si>
    <t>-839899765</t>
  </si>
  <si>
    <t>(1,5*2+1,8*2)*8</t>
  </si>
  <si>
    <t>968061125</t>
  </si>
  <si>
    <t>Vyvesenie dreveného dverného krídla do suti plochy do 2 m2, -0,02400t</t>
  </si>
  <si>
    <t>1682260030</t>
  </si>
  <si>
    <t>968061116</t>
  </si>
  <si>
    <t>Demontáž dverí drevených vchodových, 1 bm obvodu - 0,012t</t>
  </si>
  <si>
    <t>-603522520</t>
  </si>
  <si>
    <t>(1,3*2+2,1*2)*1</t>
  </si>
  <si>
    <t>962086111</t>
  </si>
  <si>
    <t>Búranie muriva priečok z pórobetónu hr. do 150 mm,  -0,07500t</t>
  </si>
  <si>
    <t>1190134846</t>
  </si>
  <si>
    <t>971055003</t>
  </si>
  <si>
    <t>Rezanie konštrukcií zo železobetónu hr. panelu 100 mm stenovou pílou -0,01200t</t>
  </si>
  <si>
    <t>1708820064</t>
  </si>
  <si>
    <t>1,5*2+4,75*2</t>
  </si>
  <si>
    <t>965042141</t>
  </si>
  <si>
    <t>Búranie podkladov pod dlažby, liatych dlažieb a mazanín,betón alebo liaty asfalt hr.do 100 mm, plochy nad 4 m2 -2,20000t</t>
  </si>
  <si>
    <t>-1164106159</t>
  </si>
  <si>
    <t>1,5*4,75*0,045</t>
  </si>
  <si>
    <t>1,5*4,75*0,140</t>
  </si>
  <si>
    <t>4,4*7,1*0,05</t>
  </si>
  <si>
    <t>4,4*7,1*0,14</t>
  </si>
  <si>
    <t>965081712</t>
  </si>
  <si>
    <t>Búranie dlažieb, bez podklad. lôžka z xylolit., alebo keramických dlaždíc hr. do 10 mm,  -0,02000t</t>
  </si>
  <si>
    <t>1827133654</t>
  </si>
  <si>
    <t>712300833</t>
  </si>
  <si>
    <t>Odstránenie hydroizolácie trojvrstvovej,  -0,01400t</t>
  </si>
  <si>
    <t>-677152154</t>
  </si>
  <si>
    <t>712300834</t>
  </si>
  <si>
    <t>Odstránenie hydroizolácie každé ďalšie vrstvy,  -0,00600t</t>
  </si>
  <si>
    <t>1605389041</t>
  </si>
  <si>
    <t>975063131</t>
  </si>
  <si>
    <t xml:space="preserve">Podchytenie (podopretie) konštrukcie do výšky 3,50 m </t>
  </si>
  <si>
    <t>-1746831440</t>
  </si>
  <si>
    <t>979011111</t>
  </si>
  <si>
    <t>Zvislá doprava sutiny a vybúraných hmôt za prvé podlažie nad alebo pod základným podlažím</t>
  </si>
  <si>
    <t>t</t>
  </si>
  <si>
    <t>-51808932</t>
  </si>
  <si>
    <t>979081111</t>
  </si>
  <si>
    <t>Odvoz sutiny a vybúraných hmôt na skládku do 1 km</t>
  </si>
  <si>
    <t>1060441544</t>
  </si>
  <si>
    <t>979081121</t>
  </si>
  <si>
    <t>Odvoz sutiny a vybúraných hmôt na skládku za každý ďalší 1 km</t>
  </si>
  <si>
    <t>-662624480</t>
  </si>
  <si>
    <t>32</t>
  </si>
  <si>
    <t>979082111</t>
  </si>
  <si>
    <t>Vnútrostavenisková doprava sutiny a vybúraných hmôt do 10 m</t>
  </si>
  <si>
    <t>-59951882</t>
  </si>
  <si>
    <t>979082121</t>
  </si>
  <si>
    <t>Vnútrostavenisková doprava sutiny a vybúraných hmôt za každých ďalších 5 m</t>
  </si>
  <si>
    <t>-2066589636</t>
  </si>
  <si>
    <t>979089012</t>
  </si>
  <si>
    <t>Poplatok za skladovanie - betón, tehly, dlaždice (17 01) ostatné</t>
  </si>
  <si>
    <t>358544496</t>
  </si>
  <si>
    <t>979089713</t>
  </si>
  <si>
    <t>Prenájom kontajneru 7 m3 / prepočtom na tonu</t>
  </si>
  <si>
    <t>-317971560</t>
  </si>
  <si>
    <t>99</t>
  </si>
  <si>
    <t>Presun hmôt HSV</t>
  </si>
  <si>
    <t>998011001</t>
  </si>
  <si>
    <t>Presun hmôt pre budovy  (801, 803, 812), zvislá konštr. z tehál, tvárnic, z kovu výšky do 6 m</t>
  </si>
  <si>
    <t>-1669398534</t>
  </si>
  <si>
    <t>998011018</t>
  </si>
  <si>
    <t>Príplatok za zväčšený presun (801,803,812) zvislá konštr. z tehál, tvárnic, z kovu nad vymedzenú najväčšiu dopravnú vzdialenosť do 5000 m</t>
  </si>
  <si>
    <t>-79160970</t>
  </si>
  <si>
    <t>998011019</t>
  </si>
  <si>
    <t>Príplatok (801,803,812) zvislá konštr. z tehál, tvárnic, z kovu za každých ďalších aj začatých 5000 m</t>
  </si>
  <si>
    <t>-432608454</t>
  </si>
  <si>
    <t>PSV</t>
  </si>
  <si>
    <t>Práce a dodávky PSV</t>
  </si>
  <si>
    <t>711</t>
  </si>
  <si>
    <t>Izolácie proti vode a vlhkosti</t>
  </si>
  <si>
    <t>711111001</t>
  </si>
  <si>
    <t>Zhotovenie izolácie proti zemnej vlhkosti vodorovná náterom penetračným za studena</t>
  </si>
  <si>
    <t>-902151850</t>
  </si>
  <si>
    <t>M</t>
  </si>
  <si>
    <t>245620000500</t>
  </si>
  <si>
    <t>Náter penetračný živičný PCI Pecimor P, adhézny spojovací mostík pod asfaltové pásy</t>
  </si>
  <si>
    <t>kg</t>
  </si>
  <si>
    <t>2017775516</t>
  </si>
  <si>
    <t>711111211</t>
  </si>
  <si>
    <t>Izolácia proti zemnej vlhkosti, protiradónová, stierka  s napojením na pôvodné hydroizolačné pásy</t>
  </si>
  <si>
    <t>296319985</t>
  </si>
  <si>
    <t>245620000300</t>
  </si>
  <si>
    <t>Stierka hydroizolačná asfaltová PCI Pecimor 2K, 2-zložková, proti vode pre spodnú stavbu</t>
  </si>
  <si>
    <t>1100066212</t>
  </si>
  <si>
    <t>713</t>
  </si>
  <si>
    <t>Izolácie tepelné</t>
  </si>
  <si>
    <t>713122111</t>
  </si>
  <si>
    <t>Montáž tepelnej izolácie podláh polystyrénom, kladeným voľne v jednej vrstve</t>
  </si>
  <si>
    <t>1864549938</t>
  </si>
  <si>
    <t>283750000700</t>
  </si>
  <si>
    <t>Doska XPS STYRODUR 2800 C hr. 50 mm, zateplenie soklov, suterénov, podláh, ISOVER</t>
  </si>
  <si>
    <t>370050407</t>
  </si>
  <si>
    <t>764</t>
  </si>
  <si>
    <t>Konštrukcie klampiarske</t>
  </si>
  <si>
    <t>764410850</t>
  </si>
  <si>
    <t>Demontáž oplechovania parapetov rš od 100 do 330 mm,  -0,00135t</t>
  </si>
  <si>
    <t>1217529571</t>
  </si>
  <si>
    <t>1,5*7</t>
  </si>
  <si>
    <t>1,2*1</t>
  </si>
  <si>
    <t>764410350</t>
  </si>
  <si>
    <t>Oplechovanie parapetov z hliníkového Al plechu, vrátane rohov r.š. 330 mm</t>
  </si>
  <si>
    <t>39851411</t>
  </si>
  <si>
    <t>998764101</t>
  </si>
  <si>
    <t>Presun hmôt pre konštrukcie klampiarske v objektoch výšky do 6 m</t>
  </si>
  <si>
    <t>522674343</t>
  </si>
  <si>
    <t>998764194</t>
  </si>
  <si>
    <t>Konštrukcie klampiarske, prípl.za presun nad vymedz. najväč. dopr. vzdial. do 1000m</t>
  </si>
  <si>
    <t>1737955214</t>
  </si>
  <si>
    <t>998764199</t>
  </si>
  <si>
    <t>Konštrukcie klampiarske, prípl.za presun za každých ďalších i začatých 1000 m nad 10</t>
  </si>
  <si>
    <t>-410638562</t>
  </si>
  <si>
    <t>0,01*15 'Přepočítané koeficientom množstva</t>
  </si>
  <si>
    <t>766</t>
  </si>
  <si>
    <t>Konštrukcie stolárske</t>
  </si>
  <si>
    <t>766621081</t>
  </si>
  <si>
    <t>Montáž okna plastového na PUR penu</t>
  </si>
  <si>
    <t>-530240419</t>
  </si>
  <si>
    <t>611410008200</t>
  </si>
  <si>
    <t>1042861181</t>
  </si>
  <si>
    <t>611410008200a</t>
  </si>
  <si>
    <t>-1191534207</t>
  </si>
  <si>
    <t>611410008000</t>
  </si>
  <si>
    <t>-1140649810</t>
  </si>
  <si>
    <t>766641161</t>
  </si>
  <si>
    <t>Montáž dverí plastových, vchodových, 1 m obvodu dverí</t>
  </si>
  <si>
    <t>-1962255382</t>
  </si>
  <si>
    <t>611420000100</t>
  </si>
  <si>
    <t>-1611191270</t>
  </si>
  <si>
    <t>766662112</t>
  </si>
  <si>
    <t>Montáž dverového krídla otočného jednokrídlového poldrážkového, do existujúcej zárubne, vrátane kovania</t>
  </si>
  <si>
    <t>489143170</t>
  </si>
  <si>
    <t>"4d" 1</t>
  </si>
  <si>
    <t>549150000600</t>
  </si>
  <si>
    <t>Kľučka dverová 2x, 2x rozeta BB, FAB, nehrdzavejúca oceľ, povrch nerez brúsený, SAPELI</t>
  </si>
  <si>
    <t>1956586369</t>
  </si>
  <si>
    <t>611610000400</t>
  </si>
  <si>
    <t>Dvere vnútorné jednokrídlové, šírka 600-900 mm, typ dverí podľa špecifikácie v PD</t>
  </si>
  <si>
    <t>-628687867</t>
  </si>
  <si>
    <t>766694142</t>
  </si>
  <si>
    <t>Montáž parapetnej dosky plastovej šírky do 300 mm, dĺžky 1000-1600 mm</t>
  </si>
  <si>
    <t>373547088</t>
  </si>
  <si>
    <t>611560000400</t>
  </si>
  <si>
    <t>Parapetná doska plastová, šírka 300 mm, komôrková vnútorná, zlatý dub, mramor, mahagon, svetlý buk, orech, WINK TRADE</t>
  </si>
  <si>
    <t>429160565</t>
  </si>
  <si>
    <t>611560000800</t>
  </si>
  <si>
    <t>Plastové krytky k vnútorným parapetom plastovým, pár, vo farbe biela, mramor, zlatý dub, buk, mahagón, orech, WINK TRADE</t>
  </si>
  <si>
    <t>969687492</t>
  </si>
  <si>
    <t>766694981</t>
  </si>
  <si>
    <t>Demontáž parapetnej dosky drevenej šírky do 300 mm, dĺžky nad 1600 mm, -0,006t</t>
  </si>
  <si>
    <t>-970844152</t>
  </si>
  <si>
    <t>766702111</t>
  </si>
  <si>
    <t>Montáž zárubní obložkových pre dvere jednokrídlové</t>
  </si>
  <si>
    <t>-930341560</t>
  </si>
  <si>
    <t>611810000700</t>
  </si>
  <si>
    <t>Zárubňa vnútorná obložková PRAKTIK, šírka 600-900 mm, výška1970 mm, DTD doska, povrch fólia, pre stenu hrúbky 60-170 mm, pre jednokrídlové dvere, SAPELI</t>
  </si>
  <si>
    <t>-184160876</t>
  </si>
  <si>
    <t>998766101</t>
  </si>
  <si>
    <t>Presun hmot pre konštrukcie stolárske v objektoch výšky do 6 m</t>
  </si>
  <si>
    <t>1623309203</t>
  </si>
  <si>
    <t>998766194</t>
  </si>
  <si>
    <t>Konštrukcie stolárske, prípl.za presun nad najvačšiu dopravnú vzdialenosť do 1000 m</t>
  </si>
  <si>
    <t>-1868753350</t>
  </si>
  <si>
    <t>998766199</t>
  </si>
  <si>
    <t>Konštrukcie stolárske, prípl.za presun za každých ďalších i začatých 100 m nad 1</t>
  </si>
  <si>
    <t>-787576025</t>
  </si>
  <si>
    <t>"2d" 1,3*2+2,1*2</t>
  </si>
  <si>
    <t>771</t>
  </si>
  <si>
    <t>Podlahy z dlaždíc</t>
  </si>
  <si>
    <t>771541215</t>
  </si>
  <si>
    <t>Montáž podláh z dlaždíc gres kladených do tmelu flexibil. mrazuvzdorného veľ. 300 x 300 mm vrátane soklíka</t>
  </si>
  <si>
    <t>-1957166662</t>
  </si>
  <si>
    <t>597740001910</t>
  </si>
  <si>
    <t>Dlaždice keramické TAURUS COLOR, lxvxhr 298x298x9 mm, svetlo sivá, RAKO</t>
  </si>
  <si>
    <t>-1202856420</t>
  </si>
  <si>
    <t>585820002100</t>
  </si>
  <si>
    <t>Flexibilné cementové lepidlo PCI Pericol Flex S1, na obklady a dlažby, trieda C2TE S1</t>
  </si>
  <si>
    <t>-77095151</t>
  </si>
  <si>
    <t>585860001100</t>
  </si>
  <si>
    <t>Univerzálna flexibilná škárovacia hmota PCI Nanofug Premium (všetky odtiene), najmä na škárovanie obkladov/dlažieb z kameniny</t>
  </si>
  <si>
    <t>-1635323416</t>
  </si>
  <si>
    <t>585860001200</t>
  </si>
  <si>
    <t>Tmel silikónový PCI Silcofug E acetátový, transparentný, farebný</t>
  </si>
  <si>
    <t>l</t>
  </si>
  <si>
    <t>2045577445</t>
  </si>
  <si>
    <t>998771101</t>
  </si>
  <si>
    <t>Presun hmôt pre podlahy z dlaždíc v objektoch výšky do 6m</t>
  </si>
  <si>
    <t>-444089275</t>
  </si>
  <si>
    <t>998771194</t>
  </si>
  <si>
    <t>Podlahy z dlaždíc, prípl.za presun nad vymedz. najväčšiu dopravnú vzdialenosť do 1000 m</t>
  </si>
  <si>
    <t>-546068151</t>
  </si>
  <si>
    <t>998771199</t>
  </si>
  <si>
    <t>Podlahy z dlaždíc, prípl.za presun za každých ďalších i začatých 1000 m nad 1000 m</t>
  </si>
  <si>
    <t>947611487</t>
  </si>
  <si>
    <t>776</t>
  </si>
  <si>
    <t>Podlahy povlakové</t>
  </si>
  <si>
    <t>776511820</t>
  </si>
  <si>
    <t>Odstránenie povlakových podláh z nášľapnej plochy lepených s podložkou,  -0,00100t</t>
  </si>
  <si>
    <t>-1961914724</t>
  </si>
  <si>
    <t>776401800</t>
  </si>
  <si>
    <t>Demontáž soklíkov alebo líšt</t>
  </si>
  <si>
    <t>-307605960</t>
  </si>
  <si>
    <t>776990100</t>
  </si>
  <si>
    <t>Zametanie podkladu pred kladením povlakovýck podláh</t>
  </si>
  <si>
    <t>2146891820</t>
  </si>
  <si>
    <t>776990105</t>
  </si>
  <si>
    <t>Vysávanie podkladu pred kladením povlakovýck podláh</t>
  </si>
  <si>
    <t>1059332261</t>
  </si>
  <si>
    <t>776990110</t>
  </si>
  <si>
    <t>Penetrovanie podkladu pred kladením povlakových podláh</t>
  </si>
  <si>
    <t>-1083329668</t>
  </si>
  <si>
    <t>776992200</t>
  </si>
  <si>
    <t>Príprava podkladu prebrúsením strojne brúskou na betón</t>
  </si>
  <si>
    <t>-706980056</t>
  </si>
  <si>
    <t>776411000</t>
  </si>
  <si>
    <t>Lepenie podlahových líšt soklových</t>
  </si>
  <si>
    <t>-1779427852</t>
  </si>
  <si>
    <t>283410017900</t>
  </si>
  <si>
    <t>Soklová PVC lišta DSL 60, ochranný lem 5 mm, BRENO</t>
  </si>
  <si>
    <t>-1569566480</t>
  </si>
  <si>
    <t>776541100</t>
  </si>
  <si>
    <t>Lepenie povlakových podláh PVC heterogénnych v pásoch</t>
  </si>
  <si>
    <t>-575041508</t>
  </si>
  <si>
    <t>284110000100</t>
  </si>
  <si>
    <t>1720658846</t>
  </si>
  <si>
    <t>998776101</t>
  </si>
  <si>
    <t>Presun hmôt pre podlahy povlakové v objektoch výšky do 6 m</t>
  </si>
  <si>
    <t>-530568416</t>
  </si>
  <si>
    <t>998776194</t>
  </si>
  <si>
    <t>Podlahy povlakové, prípl.za presun nad vymedz. najväčšiu dopr. vzdial. do 1000 m</t>
  </si>
  <si>
    <t>-907189869</t>
  </si>
  <si>
    <t>998776199</t>
  </si>
  <si>
    <t>Podlahy povlakové, prípl.za každých ďalších i začatých 1000 m nad 1000 m</t>
  </si>
  <si>
    <t>978644433</t>
  </si>
  <si>
    <t>784</t>
  </si>
  <si>
    <t>Maľby</t>
  </si>
  <si>
    <t>784410500</t>
  </si>
  <si>
    <t>Prebrúsenie a oprášenie jemnozrnných povrchov výšky do 3,80 m</t>
  </si>
  <si>
    <t>442978643</t>
  </si>
  <si>
    <t>784418012</t>
  </si>
  <si>
    <t>Zakrývanie podláh a zariadení papierom v miestnostiach alebo na schodisku</t>
  </si>
  <si>
    <t>-1921046165</t>
  </si>
  <si>
    <t>784430010</t>
  </si>
  <si>
    <t>Maľby akrylátové základné dvojnásobné, ručne nanášané na jemnozrnný podklad výšky do 3,80 m</t>
  </si>
  <si>
    <t>659819599</t>
  </si>
  <si>
    <t>784430050</t>
  </si>
  <si>
    <t>Maľby akrylátové tónované dvojnásobné, ručne nanášané s bielym stropom na jemnozrnný podklad výšky do 3,80 m</t>
  </si>
  <si>
    <t>169487006</t>
  </si>
  <si>
    <t>26,79- P2</t>
  </si>
  <si>
    <t>27,74- P3</t>
  </si>
  <si>
    <t>10,42-P4</t>
  </si>
  <si>
    <t>"1" (1,35*2+1,8*2)*3</t>
  </si>
  <si>
    <t>"2" (1,35*2+1,8*2)*3</t>
  </si>
  <si>
    <t>"3" (1,0*2+1,8*2)*2</t>
  </si>
  <si>
    <t>"4" (1,0*2+1,8*2)*1</t>
  </si>
  <si>
    <t>Plastové okno jednokrídlové O, vxš 1800x1000 mm, izolačné trojsklo, systém GEALAN 9000, 6 komorový profil</t>
  </si>
  <si>
    <t>Plastové okno jednokrídlové OS, vxš 1800x1000 mm, izolačné trojsklo, systém GEALAN 9000, 6 komorový profil</t>
  </si>
  <si>
    <t>611420000200</t>
  </si>
  <si>
    <t>611410008000a</t>
  </si>
  <si>
    <t>11,1*1,05 'Přepočítané koeficientom množstva</t>
  </si>
  <si>
    <t>Plastové okno jednokrídlové O, vxš 1800x1350 mm, izolačné trojsklo, systém GEALAN 9000, 6 komorový profil, jedno sklo mliečné</t>
  </si>
  <si>
    <t>Plastové okno jednokrídlové OS, vxš 1800x1350 mm, izolačné trojsklo, systém GEALAN 9000, 6 komorový profiljedno sklo mliečné</t>
  </si>
  <si>
    <t>"3d" 5</t>
  </si>
  <si>
    <t>"5d" 4</t>
  </si>
  <si>
    <t>Montáž dverového krídla otočného dvojkrídlového poldrážkového, do existujúcej zárubne, vrátane kovania</t>
  </si>
  <si>
    <t>766662113</t>
  </si>
  <si>
    <t>611610000500</t>
  </si>
  <si>
    <t>Dvere vnútorné dvojkrídlové, šírka 1200-1500 mm, typ dverí podľa špecifikácie v PD</t>
  </si>
  <si>
    <t>1,958*15 'Přepočítané koeficientom množstva</t>
  </si>
  <si>
    <t>41,35*1,02 'Přepočítané koeficientom množstva</t>
  </si>
  <si>
    <t>41,35*4,5 'Přepočítané koeficientom množstva</t>
  </si>
  <si>
    <t>41,35*0,05 'Přepočítané koeficientom množstva</t>
  </si>
  <si>
    <t>1,168*15 'Přepočítané koeficientom množstva</t>
  </si>
  <si>
    <t>44,3*1,01 'Přepočítané koeficientom množstva</t>
  </si>
  <si>
    <t>Podlaha PVC heterogénna Acczent Excellence 80, hrúbka 2 mm, trieda záťaže 34/43, TARKETT+ sokel</t>
  </si>
  <si>
    <t>37,210*1,2 'Přepočítané koeficientom množstva</t>
  </si>
  <si>
    <t>0,167*15 'Přepočítané koeficientom množstva</t>
  </si>
  <si>
    <t>Príprava podkladu stien PCI, základový penetračný náter Gisogrund PGM</t>
  </si>
  <si>
    <t>(1,5*3+2,9*2)*1</t>
  </si>
  <si>
    <t>(1,4*2+2*2)*1</t>
  </si>
  <si>
    <t>(1,2*3+2,9*2)*1</t>
  </si>
  <si>
    <t>Vonkajšie dvojkrídlové balkónové dvere plastové s nadsvetlíkom, otváravé čiastočne presklenné s izolačným trojsklom, vnútorný zatvárač dverí  1500*2300+600 vrátane zárubne</t>
  </si>
  <si>
    <t>"1d" 1,5*2+2,9*2</t>
  </si>
  <si>
    <t>4,5*2+7,1*2</t>
  </si>
  <si>
    <t>27,735*0,045</t>
  </si>
  <si>
    <t>27,446*15 'Přepočítané koeficientom množstva</t>
  </si>
  <si>
    <t>27,446*5 'Přepočítané koeficientom množstva</t>
  </si>
  <si>
    <t>38,784*3 'Přepočítané koeficientom množstva</t>
  </si>
  <si>
    <t>Dokončovacie práce a obklady</t>
  </si>
  <si>
    <t>781445020</t>
  </si>
  <si>
    <t xml:space="preserve">Montáž obkladov stien z obkladačiek hutných keramických do tmelu 300x200 mm  </t>
  </si>
  <si>
    <t>5976583000</t>
  </si>
  <si>
    <t>Obkladačky keramické glazované hladké B 300x200 mm</t>
  </si>
  <si>
    <t>998781201</t>
  </si>
  <si>
    <t>Presun hmôt pre obklady keramické v objektoch výšky do 6 m</t>
  </si>
  <si>
    <t>34023837</t>
  </si>
  <si>
    <t>Zamurovanie otvorov plochy od0,25 do 1,0 m2 tvárnicami Ztong (250x500x250)</t>
  </si>
  <si>
    <t>0,6*1,8</t>
  </si>
  <si>
    <t>Konštrukcie doplnkové kovové</t>
  </si>
  <si>
    <t>767662110</t>
  </si>
  <si>
    <t>Demontáž mreží pevných skrutkovaním</t>
  </si>
  <si>
    <t>1,5*1,5*7</t>
  </si>
  <si>
    <t>1,2*1,5</t>
  </si>
  <si>
    <t>767193803</t>
  </si>
  <si>
    <t>Demontáž vetracej mriežky -0,03000t</t>
  </si>
  <si>
    <t>Montáž vzduchotechnických zariadení</t>
  </si>
  <si>
    <t>7699035021</t>
  </si>
  <si>
    <t>Montáž mriežky s pevnými lamelami</t>
  </si>
  <si>
    <t>429720226000</t>
  </si>
  <si>
    <t>Mriežka hliníková s horizontálnymi pevnými lamelami rozmery 500X600 mm vrátane rámika</t>
  </si>
  <si>
    <t>767996802</t>
  </si>
  <si>
    <t>Demontáž oceľových konštrukcií striech vstupov -0,00100t</t>
  </si>
  <si>
    <t>Vonkajšie dvojkrídlové dvere plastové zateplené, otváravé plné, zatvárač dverí - BRANO s aretáciou 1500*2100 vrátane zárubne</t>
  </si>
  <si>
    <t xml:space="preserve">    769 - Montáž vzduchotechnických zariadení</t>
  </si>
  <si>
    <t>01</t>
  </si>
  <si>
    <t>02</t>
  </si>
  <si>
    <t>MŠ Čordáková 17 - Elektroinštalácia</t>
  </si>
  <si>
    <t>{f7c26ace-e32f-4e92-b2cb-d05174b7621f}</t>
  </si>
  <si>
    <t>Rekonštrukcia časti priestorov MŠ Čordákova 17, Košice</t>
  </si>
  <si>
    <t>Ostatné náklady</t>
  </si>
  <si>
    <t>1) Náklady z rozpočtu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</si>
  <si>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</si>
  <si>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</si>
  <si>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</si>
  <si>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2) Ostatné náklady</t>
  </si>
  <si>
    <t>Celkové náklady za stavbu 1) + 2)</t>
  </si>
  <si>
    <t>713482111</t>
  </si>
  <si>
    <t>Montáž trubíc z PE, hr.do 10 mm,vnút.priemer do 38 mm</t>
  </si>
  <si>
    <t>1474948046</t>
  </si>
  <si>
    <t>283310000300</t>
  </si>
  <si>
    <t>Izolačná PE trubica TUBOLIT DG 18x5 mm (d potrubia x hr. izolácie), nenadrezaná, AZ FLEX</t>
  </si>
  <si>
    <t>1004348096</t>
  </si>
  <si>
    <t>283310000500</t>
  </si>
  <si>
    <t>Izolačná PE trubica TUBOLIT DG 22x5 mm (d potrubia x hr. izolácie), nenadrezaná, AZ FLEX</t>
  </si>
  <si>
    <t>108475804</t>
  </si>
  <si>
    <t>721</t>
  </si>
  <si>
    <t>Zdravotechnika - vnútorná kanalizácia</t>
  </si>
  <si>
    <t>721140802.S</t>
  </si>
  <si>
    <t>Demontáž potrubia z liatinových rúr odpadového alebo dažďového do DN 100,  -0,01492t</t>
  </si>
  <si>
    <t>893475278</t>
  </si>
  <si>
    <t>721140905.S</t>
  </si>
  <si>
    <t>Oprava odpadového potrubia liatinového vsadenie odbočky do potrubia DN 100</t>
  </si>
  <si>
    <t>1182443118</t>
  </si>
  <si>
    <t>721171109.S</t>
  </si>
  <si>
    <t>Potrubie z PVC - U odpadové ležaté hrdlové D 110x2,2 mm</t>
  </si>
  <si>
    <t>-257969595</t>
  </si>
  <si>
    <t>721171803.S</t>
  </si>
  <si>
    <t>Demontáž potrubia z novodurových rúr odpadového alebo pripojovacieho do D75,  -0,00210 t</t>
  </si>
  <si>
    <t>-414569590</t>
  </si>
  <si>
    <t>721171808.S</t>
  </si>
  <si>
    <t>Demontáž potrubia z novodurových rúr odpadového alebo pripojovacieho nad 75 do D114,  -0,00198 t</t>
  </si>
  <si>
    <t>1410536429</t>
  </si>
  <si>
    <t>721172109.S</t>
  </si>
  <si>
    <t>Potrubie z PVC - U odpadové zvislé hrdlové D 110x2,2 mm</t>
  </si>
  <si>
    <t>299881236</t>
  </si>
  <si>
    <t>10</t>
  </si>
  <si>
    <t>721173204.S</t>
  </si>
  <si>
    <t>Potrubie z PVC - U odpadné pripájacie D 40x1,8 mm</t>
  </si>
  <si>
    <t>-2035111960</t>
  </si>
  <si>
    <t>11</t>
  </si>
  <si>
    <t>721173205.S</t>
  </si>
  <si>
    <t>Potrubie z PVC - U odpadné pripájacie D 50x1,8 mm</t>
  </si>
  <si>
    <t>141108343</t>
  </si>
  <si>
    <t>12</t>
  </si>
  <si>
    <t>721210822.S</t>
  </si>
  <si>
    <t>Demontáž strešného vtoku DN 100,  -0,01705t</t>
  </si>
  <si>
    <t>1552305079</t>
  </si>
  <si>
    <t>13</t>
  </si>
  <si>
    <t>721220801.S</t>
  </si>
  <si>
    <t>Demontáž zápachovej uzávierky do DN 70,  -0,00310t</t>
  </si>
  <si>
    <t>-757457552</t>
  </si>
  <si>
    <t>14</t>
  </si>
  <si>
    <t>721230059.S</t>
  </si>
  <si>
    <t>Montáž strešného vtoku "izolovaného boxu" pre asfaltové izolácie DN 125</t>
  </si>
  <si>
    <t>-912454618</t>
  </si>
  <si>
    <t>15</t>
  </si>
  <si>
    <t>286630019800.S</t>
  </si>
  <si>
    <t>Strešný vtok s bituménovou izoláciou, vertikálny odtok DN 125, záchytný kôš D 180 mm, pre zabudovanie do tepelných izolácií 100 - 160 mm</t>
  </si>
  <si>
    <t>-2043180699</t>
  </si>
  <si>
    <t>721274103.S</t>
  </si>
  <si>
    <t>Ventilačná hlavica strešná plastová DN 100</t>
  </si>
  <si>
    <t>-1128394887</t>
  </si>
  <si>
    <t>17</t>
  </si>
  <si>
    <t>721290111.S</t>
  </si>
  <si>
    <t>Ostatné - skúška tesnosti kanalizácie v objektoch vodou do DN 125</t>
  </si>
  <si>
    <t>1764295424</t>
  </si>
  <si>
    <t>18</t>
  </si>
  <si>
    <t>998721201.S</t>
  </si>
  <si>
    <t>Presun hmôt pre vnútornú kanalizáciu v objektoch výšky do 6 m</t>
  </si>
  <si>
    <t>%</t>
  </si>
  <si>
    <t>1461509808</t>
  </si>
  <si>
    <t>722</t>
  </si>
  <si>
    <t>Zdravotechnika - vnútorný vodovod</t>
  </si>
  <si>
    <t>19</t>
  </si>
  <si>
    <t>722130802.S</t>
  </si>
  <si>
    <t>Demontáž potrubia z oceľových rúrok závitových nad 25 do DN 40,  -0,00497t</t>
  </si>
  <si>
    <t>-264950210</t>
  </si>
  <si>
    <t>722131912.S</t>
  </si>
  <si>
    <t>Oprava vodovodného potrubia závitového vsadenie odbočky do potrubia DN 20</t>
  </si>
  <si>
    <t>-2007132936</t>
  </si>
  <si>
    <t>21</t>
  </si>
  <si>
    <t>722172327.S</t>
  </si>
  <si>
    <t>Montáž vodovodného PP-R potrubia polyfúznym zváraním PN 16 D 16</t>
  </si>
  <si>
    <t>-1623056404</t>
  </si>
  <si>
    <t>22</t>
  </si>
  <si>
    <t>286140019600.S</t>
  </si>
  <si>
    <t>Rúra PP-R D 16x2,2 mm dĺ. 4 m PN 16, systém pre rozvod pitnej, studenej a teplej vody</t>
  </si>
  <si>
    <t>1754973550</t>
  </si>
  <si>
    <t>23</t>
  </si>
  <si>
    <t>722172330.S</t>
  </si>
  <si>
    <t>Montáž vodovodného PP-R potrubia polyfúznym zváraním PN 16 D 20</t>
  </si>
  <si>
    <t>1600780846</t>
  </si>
  <si>
    <t>24</t>
  </si>
  <si>
    <t>286140019700.S</t>
  </si>
  <si>
    <t>Rúra PP-R D 20x2,8 mm dĺ. 4 m PN 16, systém pre rozvod pitnej, studenej a teplej vody</t>
  </si>
  <si>
    <t>-103051479</t>
  </si>
  <si>
    <t>25</t>
  </si>
  <si>
    <t>722172500.S</t>
  </si>
  <si>
    <t>Montáž kolena PP-R pre vodu DN 16</t>
  </si>
  <si>
    <t>973079797</t>
  </si>
  <si>
    <t>26</t>
  </si>
  <si>
    <t>286540021100.S</t>
  </si>
  <si>
    <t>Koleno PP-R D 16/90°, systém pre rozvod vody a stlačeného vzduchu</t>
  </si>
  <si>
    <t>-1568464008</t>
  </si>
  <si>
    <t>27</t>
  </si>
  <si>
    <t>722172503.S</t>
  </si>
  <si>
    <t>Montáž kolena PP-R pre vodu DN 20</t>
  </si>
  <si>
    <t>-1271082044</t>
  </si>
  <si>
    <t>28</t>
  </si>
  <si>
    <t>286540021200.S</t>
  </si>
  <si>
    <t>Koleno PP-R D 20/90°, systém pre rozvod vody a stlačeného vzduchu</t>
  </si>
  <si>
    <t>1151055931</t>
  </si>
  <si>
    <t>29</t>
  </si>
  <si>
    <t>722172533.S</t>
  </si>
  <si>
    <t>Montáž T-kusu PP-R pre vodu DN 20</t>
  </si>
  <si>
    <t>502552264</t>
  </si>
  <si>
    <t>30</t>
  </si>
  <si>
    <t>286540025600.S</t>
  </si>
  <si>
    <t>T-kus jednoznačný PP-R D 20 mm, systém pre rozvod vody a stlačeného vzduchu</t>
  </si>
  <si>
    <t>563770372</t>
  </si>
  <si>
    <t>31</t>
  </si>
  <si>
    <t>722172748.S</t>
  </si>
  <si>
    <t>Montáž prechodu PP-R plast/kov pre vodu DN 20</t>
  </si>
  <si>
    <t>2082088863</t>
  </si>
  <si>
    <t>286540034800.S</t>
  </si>
  <si>
    <t>Prechodka PP-R D 20x1/2" kovový vonkajší závit, systém pre rozvod vody a stlačeného vzduchu</t>
  </si>
  <si>
    <t>-1733589888</t>
  </si>
  <si>
    <t>33</t>
  </si>
  <si>
    <t>722172772.S</t>
  </si>
  <si>
    <t>Montáž nástenky PP-R pre vodu DN 16</t>
  </si>
  <si>
    <t>-1622423716</t>
  </si>
  <si>
    <t>34</t>
  </si>
  <si>
    <t>286540045000.S</t>
  </si>
  <si>
    <t>Nástenka PP-R D 16x1/2" vnútorný závit, systém pre rozvod vody a stlačeného vzduchu</t>
  </si>
  <si>
    <t>1821954165</t>
  </si>
  <si>
    <t>35</t>
  </si>
  <si>
    <t>722190401.S</t>
  </si>
  <si>
    <t>Vyvedenie a upevnenie výpustky DN 15</t>
  </si>
  <si>
    <t>-1832288756</t>
  </si>
  <si>
    <t>36</t>
  </si>
  <si>
    <t>722221015.S</t>
  </si>
  <si>
    <t>Montáž guľového kohúta závitového priameho pre vodu G 3/4</t>
  </si>
  <si>
    <t>-284551205</t>
  </si>
  <si>
    <t>37</t>
  </si>
  <si>
    <t>551110015100</t>
  </si>
  <si>
    <t>Guľový uzáver pre vodu Perfecta, 3/4" MF, páčka, niklovaná mosadz, FIV.8364</t>
  </si>
  <si>
    <t>-494287170</t>
  </si>
  <si>
    <t>38</t>
  </si>
  <si>
    <t>722290226.S</t>
  </si>
  <si>
    <t>Tlaková skúška vodovodného potrubia závitového do DN 50</t>
  </si>
  <si>
    <t>1883492436</t>
  </si>
  <si>
    <t>39</t>
  </si>
  <si>
    <t>998722201.S</t>
  </si>
  <si>
    <t>Presun hmôt pre vnútorný vodovod v objektoch výšky do 6 m</t>
  </si>
  <si>
    <t>1072993655</t>
  </si>
  <si>
    <t>725</t>
  </si>
  <si>
    <t>Zdravotechnika - zariaďovacie predmety</t>
  </si>
  <si>
    <t>40</t>
  </si>
  <si>
    <t>725110811.S</t>
  </si>
  <si>
    <t>Demontáž záchoda splachovacieho s nádržou alebo s tlakovým splachovačom,  -0,01933t</t>
  </si>
  <si>
    <t>súb.</t>
  </si>
  <si>
    <t>1919946510</t>
  </si>
  <si>
    <t>41</t>
  </si>
  <si>
    <t>725119307.S</t>
  </si>
  <si>
    <t>Montáž záchodovej misy keramickej kombinovanej s rovným odpadom</t>
  </si>
  <si>
    <t>-1355306298</t>
  </si>
  <si>
    <t>42</t>
  </si>
  <si>
    <t>642340000600.S</t>
  </si>
  <si>
    <t>Misa záchodová keramická kombinovaná s vodorovným odpadom</t>
  </si>
  <si>
    <t>37346605</t>
  </si>
  <si>
    <t>43</t>
  </si>
  <si>
    <t>725210821.S</t>
  </si>
  <si>
    <t>Demontáž umývadiel alebo umývadielok bez výtokovej armatúry,  -0,01946t</t>
  </si>
  <si>
    <t>-1707229224</t>
  </si>
  <si>
    <t>44</t>
  </si>
  <si>
    <t>725219201.S</t>
  </si>
  <si>
    <t>Montáž umývadla keramického na konzoly, bez výtokovej armatúry</t>
  </si>
  <si>
    <t>1328386318</t>
  </si>
  <si>
    <t>45</t>
  </si>
  <si>
    <t>642110004300.S</t>
  </si>
  <si>
    <t>Umývadlo keramické bežný typ</t>
  </si>
  <si>
    <t>-183958581</t>
  </si>
  <si>
    <t>46</t>
  </si>
  <si>
    <t>725240811.S</t>
  </si>
  <si>
    <t>Demontáž sprchovej kabíny a misy bez výtokových armatúr kabín,  -0,08800t</t>
  </si>
  <si>
    <t>712108017</t>
  </si>
  <si>
    <t>47</t>
  </si>
  <si>
    <t>725240812.S</t>
  </si>
  <si>
    <t>Demontáž sprchovej kabíny a misy bez výtokových armatúr mís,  -0,02450t</t>
  </si>
  <si>
    <t>-1372794907</t>
  </si>
  <si>
    <t>48</t>
  </si>
  <si>
    <t>725241112.S</t>
  </si>
  <si>
    <t>Montáž sprchovej vaničky akrylátovej štvorcovej 900x900 mm</t>
  </si>
  <si>
    <t>141247794</t>
  </si>
  <si>
    <t>49</t>
  </si>
  <si>
    <t>554230002100.S</t>
  </si>
  <si>
    <t>Sprchová vanička štvorcová akrylátová s nožičkami rozmer 900x900 mm</t>
  </si>
  <si>
    <t>623830415</t>
  </si>
  <si>
    <t>50</t>
  </si>
  <si>
    <t>725245103.S</t>
  </si>
  <si>
    <t>Montáž sprchovych dveri do výšky 2000 mm a šírky 900 mm</t>
  </si>
  <si>
    <t>2100468044</t>
  </si>
  <si>
    <t>51</t>
  </si>
  <si>
    <t>552260001500.S</t>
  </si>
  <si>
    <t>Sprchové dvere jednodielne rozmer 900x1950 mm, 6 mm bezpečnostné sklo</t>
  </si>
  <si>
    <t>53609190</t>
  </si>
  <si>
    <t>52</t>
  </si>
  <si>
    <t>725291112.S</t>
  </si>
  <si>
    <t>Montáž záchodového sedadla s poklopom</t>
  </si>
  <si>
    <t>-183310415</t>
  </si>
  <si>
    <t>53</t>
  </si>
  <si>
    <t>554330000300.S</t>
  </si>
  <si>
    <t>Záchodové sedadlo plastové s poklopom</t>
  </si>
  <si>
    <t>1965418978</t>
  </si>
  <si>
    <t>54</t>
  </si>
  <si>
    <t>725820810.S</t>
  </si>
  <si>
    <t>Demontáž batérie drezovej, umývadlovej nástennej,  -0,0026t</t>
  </si>
  <si>
    <t>-2068262204</t>
  </si>
  <si>
    <t>55</t>
  </si>
  <si>
    <t>725829206.S</t>
  </si>
  <si>
    <t>Montáž batérie umývadlovej a drezovej stojankovej s mechanickým ovládaním odpadového ventilu</t>
  </si>
  <si>
    <t>1862699232</t>
  </si>
  <si>
    <t>56</t>
  </si>
  <si>
    <t>551450003800.S</t>
  </si>
  <si>
    <t>Batéria umývadlová stojanková páková</t>
  </si>
  <si>
    <t>-1855060011</t>
  </si>
  <si>
    <t>57</t>
  </si>
  <si>
    <t>725849201.S</t>
  </si>
  <si>
    <t>Montáž batérie sprchovej nástennej pákovej, klasickej</t>
  </si>
  <si>
    <t>1029131543</t>
  </si>
  <si>
    <t>58</t>
  </si>
  <si>
    <t>551450002600.S</t>
  </si>
  <si>
    <t>Batéria sprchová nástenná páková</t>
  </si>
  <si>
    <t>505140057</t>
  </si>
  <si>
    <t>59</t>
  </si>
  <si>
    <t>725869301.S</t>
  </si>
  <si>
    <t>Montáž zápachovej uzávierky pre zariaďovacie predmety, umývadlovej do D 40</t>
  </si>
  <si>
    <t>1433595282</t>
  </si>
  <si>
    <t>60</t>
  </si>
  <si>
    <t>551620006400.S</t>
  </si>
  <si>
    <t>Zápachová uzávierka - sifón pre umývadlá DN 40</t>
  </si>
  <si>
    <t>-2115393547</t>
  </si>
  <si>
    <t>61</t>
  </si>
  <si>
    <t>725869340.S</t>
  </si>
  <si>
    <t>Montáž zápachovej uzávierky pre zariaďovacie predmety, sprchovej do D 50</t>
  </si>
  <si>
    <t>505513661</t>
  </si>
  <si>
    <t>62</t>
  </si>
  <si>
    <t>551620003400.S</t>
  </si>
  <si>
    <t>Zápachová uzávierka sprchových vaničiek DN 40/50</t>
  </si>
  <si>
    <t>1037884458</t>
  </si>
  <si>
    <t>63</t>
  </si>
  <si>
    <t>998725201.S</t>
  </si>
  <si>
    <t>Presun hmôt pre zariaďovacie predmety v objektoch výšky do 6 m</t>
  </si>
  <si>
    <t>1868850401</t>
  </si>
  <si>
    <t>MŠ Čordáková 17 - Zdravotechnika</t>
  </si>
  <si>
    <t>196</t>
  </si>
  <si>
    <t>eur</t>
  </si>
  <si>
    <t>hod</t>
  </si>
  <si>
    <t>72</t>
  </si>
  <si>
    <t>66</t>
  </si>
  <si>
    <t>64</t>
  </si>
  <si>
    <t>210100001</t>
  </si>
  <si>
    <t>210100258</t>
  </si>
  <si>
    <t>210120401</t>
  </si>
  <si>
    <t>21-M</t>
  </si>
  <si>
    <t>210100003</t>
  </si>
  <si>
    <t>210100004</t>
  </si>
  <si>
    <t>MAT.</t>
  </si>
  <si>
    <t>MAT</t>
  </si>
  <si>
    <t>Objekt:</t>
  </si>
  <si>
    <t>M21 - M21 - 155 Elektromontáže – výmena stúpacích vedení</t>
  </si>
  <si>
    <t>{3e345a0d-dae4-4d2a-9035-b174ed4f9dff}</t>
  </si>
  <si>
    <t xml:space="preserve">03- Elektroinštalácia </t>
  </si>
  <si>
    <t xml:space="preserve">Elektromontáže   </t>
  </si>
  <si>
    <t>Domový rozvádzač plastový 24 MOD, 400V, 40A, Ik-10kA, IP44/IP20</t>
  </si>
  <si>
    <t xml:space="preserve">Domova rozvodnica do 24 M pre zapustenú montáž bez sekacích prác   </t>
  </si>
  <si>
    <t>210193071</t>
  </si>
  <si>
    <t>Istič trojpolový C-25A, 10 kA</t>
  </si>
  <si>
    <t>Vypínač modulárny MSO-32-3</t>
  </si>
  <si>
    <t>Istič jednopolový C10A, 6 kA</t>
  </si>
  <si>
    <t>Zvodič prepätia kombinovaný SVBC-12,5-4N-MZS</t>
  </si>
  <si>
    <t>Prúdový chránič s nadprúdovou ochranou OLI-16B-1N-030AC, 2P, B16 A</t>
  </si>
  <si>
    <t>Prúdový chránič s nadprúdovou ochranou OLI-10B-1N-030AC, 2P, B10 A</t>
  </si>
  <si>
    <t>210120404</t>
  </si>
  <si>
    <t xml:space="preserve">Istič vzduchový trojpólový do 63 A   </t>
  </si>
  <si>
    <t xml:space="preserve">Istič vzduchový jednopólový do 63 A   </t>
  </si>
  <si>
    <t>210120410</t>
  </si>
  <si>
    <t xml:space="preserve">Prúdové chrániče dvojpólové 16 - 100 A   </t>
  </si>
  <si>
    <t xml:space="preserve">Kábel medený CYKY 5x6 mm2   </t>
  </si>
  <si>
    <t xml:space="preserve">Kábel medený CYKY 3x2,5 mm2   </t>
  </si>
  <si>
    <t xml:space="preserve">Kábel medený CYKY 3x1,5 mm2   </t>
  </si>
  <si>
    <t xml:space="preserve">Kábel medený CYKY 6 mm2  zž </t>
  </si>
  <si>
    <t xml:space="preserve">Kábel medený uložený pod omietkou CYKY  450/750 V  5x6mm2   </t>
  </si>
  <si>
    <t>210800241</t>
  </si>
  <si>
    <t>210800227</t>
  </si>
  <si>
    <t>210800226</t>
  </si>
  <si>
    <t xml:space="preserve">Kábel medený uložený pod omietkou CYKY  450/750 V  3x2,5mm2   </t>
  </si>
  <si>
    <t xml:space="preserve">Kábel medený uložený pod omietkou CYKY  450/750 V  3x1,5mm2   </t>
  </si>
  <si>
    <t>210100259</t>
  </si>
  <si>
    <t xml:space="preserve">Ukončenie celoplastových káblov zmrašť. záklopkou alebo páskou do 5 x 10 mm2   </t>
  </si>
  <si>
    <t xml:space="preserve">Ukončenie celoplastových káblov zmrašť. záklopkou alebo páskou do 3 x 4 mm2   </t>
  </si>
  <si>
    <t>210100002</t>
  </si>
  <si>
    <t xml:space="preserve">Ukončenie vodičov v rozvádzač. vrátane zapojenia a vodičovej koncovky do 6 mm2   </t>
  </si>
  <si>
    <t xml:space="preserve">Ukončenie vodičov v rozvádzač. vrátane zapojenia a vodičovej koncovky do 2,5 mm2   </t>
  </si>
  <si>
    <t>210220300</t>
  </si>
  <si>
    <t xml:space="preserve">Ochranné pospájanie v práčovniach, kúpeľniach, voľne ulož.,alebo v omietke Cu 4-16mm2   </t>
  </si>
  <si>
    <t>210800004</t>
  </si>
  <si>
    <t xml:space="preserve">Vodič medený uložený voľne CYY 450/750 V  6mm2   </t>
  </si>
  <si>
    <t xml:space="preserve">Krabica univerzálna z PVC pod omietku KU 68-1901,Dxh 73x42 mm, KOPOS   </t>
  </si>
  <si>
    <t>Krabica odbočná z PVC s viečkom a svorkovnicou pod omietku KR 97</t>
  </si>
  <si>
    <t xml:space="preserve">Svorkovnica svietidlová 6311-07, 400 V, max. prierez 4 mm2, 3 póly, IP20, SEZ   </t>
  </si>
  <si>
    <t>210010306</t>
  </si>
  <si>
    <t xml:space="preserve">Krabica prístrojová KU 68/71 L1, KU 68 LA/1, do dutých stien,bez zapojenia   </t>
  </si>
  <si>
    <t>210010321</t>
  </si>
  <si>
    <t xml:space="preserve">Krabica (1903, KR 68) odbočná s viečkom, svorkovnicou vrátane zapojenia, kruhová   </t>
  </si>
  <si>
    <t>210010502</t>
  </si>
  <si>
    <t xml:space="preserve">Osadenie lustrovej svorky vrátane zapojenia do 3 x 4   </t>
  </si>
  <si>
    <t>210011230</t>
  </si>
  <si>
    <t xml:space="preserve">Zhotovenie otvoru v murive do D 50 mm   </t>
  </si>
  <si>
    <t xml:space="preserve">Vypínač ŠTANDARD, DS1 1111 radenie 1, SEZ   </t>
  </si>
  <si>
    <t xml:space="preserve">Vypínač ŠTANDARD DS2 2203 radenie 2,  SEZ   </t>
  </si>
  <si>
    <t>210110041</t>
  </si>
  <si>
    <t xml:space="preserve">Spínače polozapustené a zapustené vrátane zapojenia jednopólový - radenie 1   </t>
  </si>
  <si>
    <t>210110042</t>
  </si>
  <si>
    <t xml:space="preserve">Spínač polozapustený a zapustený vrátane zapojenia dvojpólový - radenie 2   </t>
  </si>
  <si>
    <t>Zásuvka vstavaná  16A 230V</t>
  </si>
  <si>
    <t>210110011</t>
  </si>
  <si>
    <t xml:space="preserve">Domová zásuvka polozapustená alebo zapustená vrátane zapojenia 10/16 A 250 V 2P + Z   </t>
  </si>
  <si>
    <t>Svietidlo led interiérové  stropné  230V/27W-3800 lm, IP20   neutrálna biela</t>
  </si>
  <si>
    <t>Svietidlo led stropné/ nástenné  so senzorom 230V/18W-2700 lm, IP20     neutr. biela</t>
  </si>
  <si>
    <t>Svietidlo led interiérové  nástenné  230V/18W-2100 lm, IP44    neutrálna biela</t>
  </si>
  <si>
    <t xml:space="preserve">Svietidlo núdzové nástenné s autonómnou batériou 1x11W, 360x140 mm, 1 hod., IP44 </t>
  </si>
  <si>
    <t xml:space="preserve">Svorkovnica ekvipotencionálna EPS , KOPOS   </t>
  </si>
  <si>
    <t>210201901</t>
  </si>
  <si>
    <t xml:space="preserve">Montáž svietidla interiérového na stenu do 1,0 kg   </t>
  </si>
  <si>
    <t>210201001</t>
  </si>
  <si>
    <t>Zapojenie svietidlá IP20, 1 x svetelný zdroj, stropného - nástenného interierového</t>
  </si>
  <si>
    <t>210220031</t>
  </si>
  <si>
    <t xml:space="preserve">Ekvipotenciálna svorkovnica EPS  v krabici KO 125 E   </t>
  </si>
  <si>
    <t>Ostatné konštrukcie - murárske práce</t>
  </si>
  <si>
    <t>974032830</t>
  </si>
  <si>
    <t>Vyrezanie rýh frézovaním v murive z plných pálených tehál hĺbky 20 mm, š. 40 mm</t>
  </si>
  <si>
    <t>Demontážne práce - rozvádzač HR demontáž - montáž</t>
  </si>
  <si>
    <t>210190052</t>
  </si>
  <si>
    <t xml:space="preserve">Demontáž-montáž rozvádzača skriňového, za l pole - delený rozvádzač do váhy 300 kg   </t>
  </si>
  <si>
    <t>210100008</t>
  </si>
  <si>
    <t xml:space="preserve">Odpojenie-zapojenie vodičov v rozvádzačoch   do 95 mm2   </t>
  </si>
  <si>
    <t xml:space="preserve">Odpojenie-zapojenie vodičov v rozvádzačoch   do 25 mm2   </t>
  </si>
  <si>
    <t xml:space="preserve">Odpojenie-zapojenie vodičov v rozvádzačoch   do 16 mm2   </t>
  </si>
  <si>
    <t>HZS000113</t>
  </si>
  <si>
    <t>Stavebno montážne práce náročné ucelené - odborné, v rozsahu viac ako 8 hodín</t>
  </si>
  <si>
    <t>Prezváňanie, odpojenie vodičov  vrátane vyťahovania vodičovej koncovky do 6 mm2</t>
  </si>
  <si>
    <t>210100251</t>
  </si>
  <si>
    <t>Prerušenie celoplastových káblov do 3-5 x 6 mm2</t>
  </si>
  <si>
    <t xml:space="preserve">Demontáž-spínač polozapustený a zapustený, dvojpólový – radenie1, 2, 6 </t>
  </si>
  <si>
    <t>210961109</t>
  </si>
  <si>
    <t>210962002</t>
  </si>
  <si>
    <t xml:space="preserve">Demontáž svietidla - žiarovkové bytové stropné prisadené 1 zdroj so sklom   </t>
  </si>
  <si>
    <t>Demontáž-zásuvka polozapustený a zapustený</t>
  </si>
  <si>
    <t>OST</t>
  </si>
  <si>
    <t xml:space="preserve">Ostatné </t>
  </si>
  <si>
    <t>000700011</t>
  </si>
  <si>
    <t>Dopravné náklady - mimostavenisková doprava objektivizácia dopravných nákladov materiálov</t>
  </si>
  <si>
    <t>HZS000313</t>
  </si>
  <si>
    <t>Stavebno montážne práce náročné ucelené - odborné, tvorivé remeselné</t>
  </si>
  <si>
    <t>99997005-R</t>
  </si>
  <si>
    <t>Revízia elektrického zariadenia</t>
  </si>
  <si>
    <t>21-M - Ostatné konštrukcie - murárske práce</t>
  </si>
  <si>
    <t>21-M - Demontážne práce - rozvádzač HR demontáž-montáž</t>
  </si>
  <si>
    <t>OST - Ostatné</t>
  </si>
  <si>
    <t>{3ab33e27-1a82-4488-aba6-6de9e61e046b}</t>
  </si>
  <si>
    <t>Obvodový plášť</t>
  </si>
  <si>
    <t>2169041101</t>
  </si>
  <si>
    <t xml:space="preserve">Očistenie plôch tlakovou vodou </t>
  </si>
  <si>
    <t>-1777226521</t>
  </si>
  <si>
    <t>14,4*4,6</t>
  </si>
  <si>
    <t>8,4*4,6</t>
  </si>
  <si>
    <t>610991111</t>
  </si>
  <si>
    <t>Zakrývanie výplní  okenných otvorov</t>
  </si>
  <si>
    <t>-397404362</t>
  </si>
  <si>
    <t>(1,5*1,8)*5</t>
  </si>
  <si>
    <t>(1,2*1,8)*1</t>
  </si>
  <si>
    <t>(1,3*2,1)*1</t>
  </si>
  <si>
    <t>(1,0*2,1)*1</t>
  </si>
  <si>
    <t>Príprava vonkajšieho podkladu stien, základový penetračný náter Baumit</t>
  </si>
  <si>
    <t>-114141031</t>
  </si>
  <si>
    <t>72,99+13,68+13</t>
  </si>
  <si>
    <t>622451071</t>
  </si>
  <si>
    <t>Vyspravenie povrchu neomietaných betónových stien vonkajších maltou cementovou pre omietky "vyrovnanie podkladu nadspotrebou lepidla do 2cm/1bm"</t>
  </si>
  <si>
    <t>1344033793</t>
  </si>
  <si>
    <t>72,99+13,68</t>
  </si>
  <si>
    <t>6224811211</t>
  </si>
  <si>
    <t>Aplikácia prerovnávacej vrsty vonkajšieho podkladu lepidlom na KZS</t>
  </si>
  <si>
    <t>1022476717</t>
  </si>
  <si>
    <t>624601211a</t>
  </si>
  <si>
    <t>Tmelenie škár a detailov polyuretánovým tmelom (s dodaním hmôt)</t>
  </si>
  <si>
    <t>1190350059</t>
  </si>
  <si>
    <t>6252500510</t>
  </si>
  <si>
    <t>Kontaktný zatepľovací systém hr. 30 mm Baumit - dosky z EPS, skrutkovacie kotvy - ostenia</t>
  </si>
  <si>
    <t>1059761791</t>
  </si>
  <si>
    <t>"ostenia"</t>
  </si>
  <si>
    <t>(((1,5+1,8)*2)*5)*0,25</t>
  </si>
  <si>
    <t>((1,2+1,8)*2)*0,25</t>
  </si>
  <si>
    <t>((1,3+2,1)*2)*0,25</t>
  </si>
  <si>
    <t>((1,0+2,1)*2)*0,25</t>
  </si>
  <si>
    <t>6252500505</t>
  </si>
  <si>
    <t>Kontaktný zatepľovací systém hr. 50 mm Baumit - dosky z EPS 70S, kotvy, bez omietky</t>
  </si>
  <si>
    <t>1144092220</t>
  </si>
  <si>
    <t>Fasáda 1</t>
  </si>
  <si>
    <t>"fasáda 1" 14,4*4,1</t>
  </si>
  <si>
    <t>"otvory" -((1,5*1,8)*5)-(1,2*1,8)</t>
  </si>
  <si>
    <t>Fasáda 2</t>
  </si>
  <si>
    <t>"fasáda" 8,4*4,1</t>
  </si>
  <si>
    <t>"otvory" -(1,3*2,1)-(1,0*2,1)</t>
  </si>
  <si>
    <t>625250154</t>
  </si>
  <si>
    <t>Doteplenie konštrukcie hr. 50 mm, systém XPS STYRODUR 2800 C - Baumit, lepený rámovo s prikotvením - soklova časť, bez omietky</t>
  </si>
  <si>
    <t>-1823454723</t>
  </si>
  <si>
    <t>"fasáda 1" 14,4*0,6</t>
  </si>
  <si>
    <t>"fasáda" 8,4*0,6</t>
  </si>
  <si>
    <t>6224625902</t>
  </si>
  <si>
    <t xml:space="preserve">Vonkajšia omietka stien Baumit silikonTop - príplatok za farebný odtieň tmavší - príplatok na 1 kg omietky alebo penetračného náteru </t>
  </si>
  <si>
    <t>-700242368</t>
  </si>
  <si>
    <t>6224625212</t>
  </si>
  <si>
    <t>Vonkajšia omietka stien tenkovrstvová, mozaiková, Baumit, hr. cca 1,6 mm</t>
  </si>
  <si>
    <t>875514427</t>
  </si>
  <si>
    <t>622462616</t>
  </si>
  <si>
    <t>Vonkajšia omietka stien tenkovrstvová Baumit silikonTop, silikónová, zatieraná, hr. 1,5 mm + penetrácia pod omietku</t>
  </si>
  <si>
    <t>1183773011</t>
  </si>
  <si>
    <t>72,99 - fasáda 1, fasáda 2</t>
  </si>
  <si>
    <t>13,00 - ostenia</t>
  </si>
  <si>
    <t>941942003</t>
  </si>
  <si>
    <t>Montáž lešenia rámového systémového s podlahami šírky do 0,75 m, výšky nad 20 do 50 m</t>
  </si>
  <si>
    <t>888820681</t>
  </si>
  <si>
    <t>(14,4+8,4)*4,6</t>
  </si>
  <si>
    <t>941942803</t>
  </si>
  <si>
    <t>Demontáž lešenia rámového systémového s podlahami šírky do 0,75 m, výšky nad 20 do 50 m</t>
  </si>
  <si>
    <t>-1377499688</t>
  </si>
  <si>
    <t>941942903</t>
  </si>
  <si>
    <t>Príplatok za prvý a každý ďalší i začatý týždeň použitia lešenia rámového systémového šírky do 0,75 m, výšky nad 20 do 50 m 1 mesiac</t>
  </si>
  <si>
    <t>-1338080818</t>
  </si>
  <si>
    <t>952901111</t>
  </si>
  <si>
    <t>Vyčistenie budov, hrube nečistoty po ukončení prác, pri výške budovy do 12 m</t>
  </si>
  <si>
    <t>663634473</t>
  </si>
  <si>
    <t>953996121</t>
  </si>
  <si>
    <t>Baumit okenný APU profil s integrovanou tkaninou</t>
  </si>
  <si>
    <t>(1,8+1,5+1,8)*5</t>
  </si>
  <si>
    <t>1,8+1,2+1,8</t>
  </si>
  <si>
    <t>2,1+1,3+2,1</t>
  </si>
  <si>
    <t>2,1+1,0+2,1</t>
  </si>
  <si>
    <t>953996131</t>
  </si>
  <si>
    <t>Baumit rohový PVC profil s integrovanou tkaninou 100x100</t>
  </si>
  <si>
    <t>326722258</t>
  </si>
  <si>
    <t>"rohy objektu"</t>
  </si>
  <si>
    <t>4,6+4,6</t>
  </si>
  <si>
    <t>953996142</t>
  </si>
  <si>
    <t>Baumit rohový PVC profil okapový s integrovanou tkaninou 100x100 - nepriznaný vo fasáde</t>
  </si>
  <si>
    <t>1369040452</t>
  </si>
  <si>
    <t>1,5*5</t>
  </si>
  <si>
    <t>9680623581</t>
  </si>
  <si>
    <t>Vybúranie drevených rámov dverí s vyvesením dvier, plochy do 4 m2,</t>
  </si>
  <si>
    <t>1513395448</t>
  </si>
  <si>
    <t>978036191</t>
  </si>
  <si>
    <t>Otlčenie omietok vonkajších šľachtených a pod., v rozsahu do 100 %,  -0,05000t</t>
  </si>
  <si>
    <t>979011121</t>
  </si>
  <si>
    <t>Zvislá doprava sutiny a vybúraných hmôt za každé ďalšie podlažie</t>
  </si>
  <si>
    <t>610162494</t>
  </si>
  <si>
    <t>4,984*1</t>
  </si>
  <si>
    <t>-836019073</t>
  </si>
  <si>
    <t>882482879</t>
  </si>
  <si>
    <t>4,984*15 'Přepočítané koeficientom množstva</t>
  </si>
  <si>
    <t>577776944</t>
  </si>
  <si>
    <t>1675568678</t>
  </si>
  <si>
    <t>Prenájom kontajneru 7 m3 / prepočtom na tony</t>
  </si>
  <si>
    <t>-1666146984</t>
  </si>
  <si>
    <t>999281101</t>
  </si>
  <si>
    <t>Presun hmôt pre opravy a údržbu objektov vrátane vonkajších plášťov výšky do 12 m</t>
  </si>
  <si>
    <t>-1918701530</t>
  </si>
  <si>
    <t>7666614224</t>
  </si>
  <si>
    <t>Montáž dverí PVC vchodových vrátane výspravok vonk. a vnútor.</t>
  </si>
  <si>
    <t>2035046611</t>
  </si>
  <si>
    <t>611720000110</t>
  </si>
  <si>
    <t>Dvere PVC plné, šírka 1000 mm, výška 2100 mm, štandard</t>
  </si>
  <si>
    <t>1054634377</t>
  </si>
  <si>
    <t>9987662021</t>
  </si>
  <si>
    <t>Presun hmot pre konštrukcie stolárske v objektoch výšky do 12 m</t>
  </si>
  <si>
    <t>-148730597</t>
  </si>
  <si>
    <t>03</t>
  </si>
  <si>
    <t>04</t>
  </si>
  <si>
    <t>MŠ Čordáková 17 - Oprava obvod. plášťa</t>
  </si>
  <si>
    <t>767340000</t>
  </si>
  <si>
    <t>Montáž jednoduchej markízy do 10 m2</t>
  </si>
  <si>
    <t>2,25*3,53</t>
  </si>
  <si>
    <t>2831801000</t>
  </si>
  <si>
    <t>Markíza jednoduchá strešná, krytina plech, rovná strecha</t>
  </si>
  <si>
    <t>Rekonštrukcia časti priestorov MŠ Čordákova 17, Košice - Ležatá kanalizácia</t>
  </si>
  <si>
    <t>Práce HSV</t>
  </si>
  <si>
    <t>121101121</t>
  </si>
  <si>
    <t>Odstránenie ornice do 100 m3 s vodorovným premiestnením na hromady a so zložením na vzdialenosť do  100 m</t>
  </si>
  <si>
    <t>132201201</t>
  </si>
  <si>
    <t>Hĺbenie rýh o šírke od 0,6 m do 2 m v hornine triedy 3, do 100 m3</t>
  </si>
  <si>
    <t>132201209</t>
  </si>
  <si>
    <t>Príplatok za lepivosť horniny v hornine tiedy 3 pri hĺbení rýh šírka od 0,6 do 2 m</t>
  </si>
  <si>
    <t>151101101</t>
  </si>
  <si>
    <t>Zhotovenie príložného paženia rýh pre podzemné vedeniehĺbka do 2 m</t>
  </si>
  <si>
    <t>151101111</t>
  </si>
  <si>
    <t>Odstránenie príložného paženia rýh pre podzemné vedeniehĺbka do 2 m</t>
  </si>
  <si>
    <t>131201201</t>
  </si>
  <si>
    <t>Hĺbenie nezapažených jam v hornine triedy 3, do 100 m3</t>
  </si>
  <si>
    <t>131201209</t>
  </si>
  <si>
    <t>Príplatok za lepivosť horniny v hornine tiedy 3 pri hĺbení zapažených jám</t>
  </si>
  <si>
    <t>162501102</t>
  </si>
  <si>
    <t>Vodorovné premiestnenie výkopu na vzdialenosť 3000 m v hornine triedy 1 až 4</t>
  </si>
  <si>
    <t>162501123</t>
  </si>
  <si>
    <t>Príplatok k cene za každý ďalší 1 km vodorovného premiestnenia výkopu horniny  triedy 1 až 4 od  100 m3 po spevnenej ceste</t>
  </si>
  <si>
    <t>171201201</t>
  </si>
  <si>
    <t>Uloženie sypaniny na skládku do 100 m3</t>
  </si>
  <si>
    <t>171209002</t>
  </si>
  <si>
    <t>Poplatok za skládku zeminy a kameniva obsahujúci nebezpečné látky kategórie "O" 20 02 02</t>
  </si>
  <si>
    <t>175101101</t>
  </si>
  <si>
    <t>Obsyp potrubia bez prehodenia sypaniny v hornine triedy 1 až 4</t>
  </si>
  <si>
    <t>562577</t>
  </si>
  <si>
    <t>Kamenivo ťažené drobné drvená frakcia 0-4 STN 13242 + A1</t>
  </si>
  <si>
    <t>181301101</t>
  </si>
  <si>
    <t>Rozprestretie ornice, sklon do 1:5 plocha do 500 m2 hrúbka do 100 mm</t>
  </si>
  <si>
    <t>180402111</t>
  </si>
  <si>
    <t>Založenie perkového trávnika výsevom v rovine alebo na svahu so sklonom do 1:5</t>
  </si>
  <si>
    <t>0057211200</t>
  </si>
  <si>
    <t>Trávové semeno, parková zmes</t>
  </si>
  <si>
    <t>113307131</t>
  </si>
  <si>
    <t>Odstránenie podkladu z betónu prostého hrúbky do 250 mm s veľkosťou plochy do 200 m2</t>
  </si>
  <si>
    <t>113307122</t>
  </si>
  <si>
    <t>Odstránenie podkladu z kameniva drveného hrúbky do 250 mm s veľkosťou plochy do 200 m2</t>
  </si>
  <si>
    <t>Spevnené plochy</t>
  </si>
  <si>
    <t>564671111</t>
  </si>
  <si>
    <t>Podklad z kameniva, hrubého drveného 63-125 mm hrúbky 250 mm</t>
  </si>
  <si>
    <t>564831111</t>
  </si>
  <si>
    <t>Podklad zo štrkodrvy hrúbky 100 mm</t>
  </si>
  <si>
    <t>567121115</t>
  </si>
  <si>
    <t>Podklad z betónu prostého triedy C8/10 hrúbky 150 mm</t>
  </si>
  <si>
    <t>567141115</t>
  </si>
  <si>
    <t>Podklad z betónu prostého triedy C8/10 hrúbky 250 mm</t>
  </si>
  <si>
    <t>Povrchové úpravy</t>
  </si>
  <si>
    <t>346244361</t>
  </si>
  <si>
    <t>Zamurovanie rýh, potrubia, výklenkov z tehál, hrúbka 6,50 mm</t>
  </si>
  <si>
    <t>12HSV</t>
  </si>
  <si>
    <t>Murárska výpomoc (sekanie rýh, prestupov, vysprávky ...)</t>
  </si>
  <si>
    <t xml:space="preserve">hod </t>
  </si>
  <si>
    <t>Potrubné rozvody</t>
  </si>
  <si>
    <t>Montáž kanalizačného potrubia z polypropylénových hladkých rúr SN 10 DN 125 mm</t>
  </si>
  <si>
    <t>286161010208</t>
  </si>
  <si>
    <t xml:space="preserve">Hladká rúra z PVC SN 8 DN 125/3 m pre gravitačný rozvod kanalizácie </t>
  </si>
  <si>
    <t>894431143</t>
  </si>
  <si>
    <t>Montáž kanalizačnej revíznej šachty PVC DN 400/DN 160, nosnosť 40 ton, hĺbka zabudovania do  1750 mmého potrubia z polypropylénových hladkých rúr SN 10 DN 125 mm</t>
  </si>
  <si>
    <t>286161052601</t>
  </si>
  <si>
    <t>PIPELIFE šachtové dno 400/160 L pre PP revízne šachty DN 400</t>
  </si>
  <si>
    <t>2861421280</t>
  </si>
  <si>
    <t>Vlnovcova šachtová rúra DN 425L=6m kanalizačná, materiál :PP</t>
  </si>
  <si>
    <t>899101111</t>
  </si>
  <si>
    <t>Osadenie poklopu s hmotnosťoudo 50 kg</t>
  </si>
  <si>
    <t>286161052701</t>
  </si>
  <si>
    <t>PIPELIFE plastový pochodzný poklop s rámom DN 400 1,5 t pre PP revízne šachty DN 400 pre PP OD PRAGMA kanalizáciu PP korugovaným predĺžením</t>
  </si>
  <si>
    <t>2830010610</t>
  </si>
  <si>
    <t>Fólia výstražná hnedá KANALIZÁCIA, BAL. 1 kotúč 500 m</t>
  </si>
  <si>
    <t>Ostatné práce</t>
  </si>
  <si>
    <t>9529011114</t>
  </si>
  <si>
    <t>Vyčistenie budov bytovej alebo občianskej výstavby pri výške podlažia nad 4 m</t>
  </si>
  <si>
    <t>919735123</t>
  </si>
  <si>
    <t>Rezanie existujúceho betónového krytu alebo podkladu hrúbky do 150 mm</t>
  </si>
  <si>
    <t>Odvoz sutiny a vybúryných hmôt na skládku do 1 km</t>
  </si>
  <si>
    <t>Odvoz sutiny a vybúryných hmôt na skládku za každý ďalší km</t>
  </si>
  <si>
    <t>Vnútrostavenisková doprava sutiny a vybúraných hmôt do  10 m</t>
  </si>
  <si>
    <t>979089401</t>
  </si>
  <si>
    <t>Poplatok za skládku odpadov zo stavieb a demolácií/izolačné materiály a stavebné materiály obsahujúce azbest/kategórie "N" nebezpečné 17 06 01, 17 06 05</t>
  </si>
  <si>
    <t>965041321</t>
  </si>
  <si>
    <t>Búranie podkladov pod dlažby, škvárobetón hrúbky do 100 mm, plochy do 1 m2</t>
  </si>
  <si>
    <t>Búranie dlažieb bez podkladového lôžka z xylolitu alebo keramických dlaždíc  hrúbky do 10 m</t>
  </si>
  <si>
    <t>721171662</t>
  </si>
  <si>
    <t>Potrubie kanalizačné odpadové z rúr 3S, 110/4,8</t>
  </si>
  <si>
    <t>721173205</t>
  </si>
  <si>
    <t>Potrubie kanalizačné  z PVC  rúr prpojovacích D 50x1,8</t>
  </si>
  <si>
    <t>721172618</t>
  </si>
  <si>
    <t>Dodávka a montáž tvaroviek</t>
  </si>
  <si>
    <t>kpl</t>
  </si>
  <si>
    <t>721194105</t>
  </si>
  <si>
    <t>Vyvedenie a upevnenie kanalizačných výpustiek D 50x1,8</t>
  </si>
  <si>
    <t>721294109</t>
  </si>
  <si>
    <t>Vyvedenie a upevnenie kanalizačných výpustiek D 110x2,3</t>
  </si>
  <si>
    <t>721290111</t>
  </si>
  <si>
    <t>Skúška tesnosti kanalizácie vodou do DN 125</t>
  </si>
  <si>
    <t>998721103</t>
  </si>
  <si>
    <t>Presun hmôt pre vnútornu kanalizáciu  v objektoch výšky do  24 m</t>
  </si>
  <si>
    <t>721110806</t>
  </si>
  <si>
    <t>Demontáž potrubia z kameninových rúr DN do 200</t>
  </si>
  <si>
    <t>721290822</t>
  </si>
  <si>
    <t>Vnútrostaveniskové premiestnenie kanalizačnej sute vodorovne do 100 m v objektoch do 12 m</t>
  </si>
  <si>
    <t>Odstránenie lepenej povlakovej podlahy z nášľapnej plochy s podložkou</t>
  </si>
  <si>
    <t>HSV - Práce HSV</t>
  </si>
  <si>
    <t xml:space="preserve">    5 - Spevnené plochy</t>
  </si>
  <si>
    <t xml:space="preserve">    6 - Povrchové úpravy</t>
  </si>
  <si>
    <t xml:space="preserve">    8 - Potrubné rozvody</t>
  </si>
  <si>
    <t xml:space="preserve">   9 - Ostatné práce</t>
  </si>
  <si>
    <t>05</t>
  </si>
  <si>
    <t>MŠ Čordáková 17 - Ležatá kanalizácia</t>
  </si>
  <si>
    <t>1,5*12,5*0,3</t>
  </si>
  <si>
    <t>1,5*12,5*0,10</t>
  </si>
  <si>
    <t>1,5*12,5*0,15</t>
  </si>
  <si>
    <t>4,4*7,1*0,15</t>
  </si>
  <si>
    <t>24,855 P1</t>
  </si>
  <si>
    <t>89,805x0,25 'Přepočítané koeficientom množstva</t>
  </si>
  <si>
    <t>89,805*4,5 'Přepočítané koeficientom množstva</t>
  </si>
  <si>
    <t>51,645*1,02 'Přepočítané koeficientom množstva</t>
  </si>
  <si>
    <t>631362442</t>
  </si>
  <si>
    <t>Výstuž mazanín z betónov (kameniva) a z ľahkých batónov zo sieti Kari priemer drôtu 8/8 mm, veľkosť oka 150x150 mm s uložením 2x</t>
  </si>
  <si>
    <t>51,645*2</t>
  </si>
  <si>
    <t>624481111</t>
  </si>
  <si>
    <t>Prekrytie škár Helikálnou výstužou(s dodaním hmôt) šírka pruhu 120 mm</t>
  </si>
  <si>
    <t>C</t>
  </si>
  <si>
    <t>V</t>
  </si>
  <si>
    <t>624601161</t>
  </si>
  <si>
    <t>Tmelenie škár tmelom  Sika (s dodaním hmôt) s prierezom 40x20xmm</t>
  </si>
  <si>
    <t>KRYCÍ LIST ZADANIA</t>
  </si>
  <si>
    <t>REKAPITULÁCIA ZADANIA</t>
  </si>
  <si>
    <t>ZADANIE</t>
  </si>
  <si>
    <t>BPMK, s.r.o., Košice</t>
  </si>
  <si>
    <t>Rekonštrukcia priestorov MŠ Čordákova 17,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</si>
</sst>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7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2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8"/>
      <color rgb="FF50505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0"/>
      <color rgb="FF464646"/>
      <name val="Arial CE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rgb="FF003366"/>
      <name val="Arial CE"/>
      <family val="2"/>
      <charset val="238"/>
    </font>
    <font>
      <sz val="12"/>
      <color rgb="FF003366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800000"/>
      <name val="Arial CE"/>
      <family val="2"/>
      <charset val="238"/>
    </font>
    <font>
      <b/>
      <sz val="10"/>
      <color rgb="FF464646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3366FF"/>
      <name val="Arial CE"/>
      <family val="2"/>
      <charset val="238"/>
    </font>
    <font>
      <sz val="9"/>
      <name val="Tahoma"/>
      <family val="2"/>
      <charset val="1"/>
    </font>
    <font>
      <b/>
      <sz val="9"/>
      <color indexed="18"/>
      <name val="Tahoma"/>
      <family val="2"/>
      <charset val="238"/>
    </font>
    <font>
      <sz val="9"/>
      <color indexed="12"/>
      <name val="Tahoma"/>
      <family val="2"/>
      <charset val="238"/>
    </font>
    <font>
      <sz val="9"/>
      <name val="Tahoma"/>
      <family val="2"/>
      <charset val="238"/>
    </font>
    <font>
      <sz val="9"/>
      <color indexed="12"/>
      <name val="Tahoma"/>
      <family val="2"/>
      <charset val="1"/>
    </font>
    <font>
      <sz val="9"/>
      <name val="Tahoma"/>
      <family val="2"/>
    </font>
    <font>
      <sz val="9"/>
      <color rgb="FF000000"/>
      <name val="Tahoma"/>
      <family val="2"/>
      <charset val="1"/>
    </font>
    <font>
      <sz val="9"/>
      <color rgb="FF000000"/>
      <name val="Tahoma"/>
      <family val="2"/>
    </font>
    <font>
      <sz val="10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7"/>
      <color rgb="FF969696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</font>
    <font>
      <b/>
      <sz val="10"/>
      <color rgb="FF96969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4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vertical="center"/>
    </xf>
    <xf numFmtId="4" fontId="34" fillId="0" borderId="0" xfId="0" applyNumberFormat="1" applyFont="1" applyFill="1" applyAlignment="1">
      <alignment vertical="center" wrapText="1"/>
    </xf>
    <xf numFmtId="4" fontId="35" fillId="0" borderId="0" xfId="0" applyNumberFormat="1" applyFont="1" applyFill="1" applyAlignment="1">
      <alignment vertical="center"/>
    </xf>
    <xf numFmtId="4" fontId="36" fillId="0" borderId="0" xfId="0" applyNumberFormat="1" applyFont="1" applyFill="1" applyAlignment="1">
      <alignment vertical="center"/>
    </xf>
    <xf numFmtId="4" fontId="34" fillId="0" borderId="0" xfId="0" applyNumberFormat="1" applyFont="1" applyFill="1" applyAlignment="1">
      <alignment horizontal="center" vertical="center" wrapText="1"/>
    </xf>
    <xf numFmtId="4" fontId="37" fillId="0" borderId="0" xfId="0" applyNumberFormat="1" applyFont="1" applyFill="1" applyAlignment="1"/>
    <xf numFmtId="4" fontId="38" fillId="0" borderId="0" xfId="0" applyNumberFormat="1" applyFont="1" applyFill="1" applyAlignment="1">
      <alignment vertical="center"/>
    </xf>
    <xf numFmtId="4" fontId="39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7" fontId="19" fillId="0" borderId="22" xfId="0" applyNumberFormat="1" applyFont="1" applyFill="1" applyBorder="1" applyAlignment="1" applyProtection="1">
      <alignment vertical="center"/>
      <protection locked="0"/>
    </xf>
    <xf numFmtId="167" fontId="31" fillId="0" borderId="22" xfId="0" applyNumberFormat="1" applyFont="1" applyFill="1" applyBorder="1" applyAlignment="1" applyProtection="1">
      <alignment vertical="center"/>
      <protection locked="0"/>
    </xf>
    <xf numFmtId="167" fontId="9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/>
    <xf numFmtId="0" fontId="31" fillId="0" borderId="22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1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167" fontId="21" fillId="0" borderId="0" xfId="0" applyNumberFormat="1" applyFont="1" applyAlignment="1"/>
    <xf numFmtId="167" fontId="29" fillId="0" borderId="0" xfId="0" applyNumberFormat="1" applyFont="1" applyAlignment="1">
      <alignment vertical="center"/>
    </xf>
    <xf numFmtId="167" fontId="6" fillId="0" borderId="0" xfId="0" applyNumberFormat="1" applyFont="1" applyAlignment="1"/>
    <xf numFmtId="167" fontId="8" fillId="0" borderId="0" xfId="0" applyNumberFormat="1" applyFont="1" applyAlignment="1">
      <alignment vertical="center"/>
    </xf>
    <xf numFmtId="167" fontId="7" fillId="0" borderId="0" xfId="0" applyNumberFormat="1" applyFont="1" applyAlignment="1"/>
    <xf numFmtId="167" fontId="0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/>
    </xf>
    <xf numFmtId="0" fontId="45" fillId="0" borderId="3" xfId="0" applyFont="1" applyBorder="1" applyAlignment="1">
      <alignment vertical="center"/>
    </xf>
    <xf numFmtId="0" fontId="45" fillId="0" borderId="22" xfId="0" applyFont="1" applyBorder="1" applyAlignment="1" applyProtection="1">
      <alignment vertical="center"/>
      <protection locked="0"/>
    </xf>
    <xf numFmtId="4" fontId="44" fillId="0" borderId="22" xfId="0" applyNumberFormat="1" applyFont="1" applyBorder="1" applyAlignment="1" applyProtection="1">
      <alignment vertical="center"/>
      <protection locked="0"/>
    </xf>
    <xf numFmtId="167" fontId="44" fillId="0" borderId="22" xfId="0" applyNumberFormat="1" applyFont="1" applyBorder="1" applyAlignment="1" applyProtection="1">
      <alignment vertical="center"/>
      <protection locked="0"/>
    </xf>
    <xf numFmtId="0" fontId="44" fillId="0" borderId="22" xfId="0" applyFont="1" applyBorder="1" applyAlignment="1" applyProtection="1">
      <alignment horizontal="center" vertical="center" wrapText="1"/>
      <protection locked="0"/>
    </xf>
    <xf numFmtId="0" fontId="44" fillId="0" borderId="22" xfId="0" applyFont="1" applyBorder="1" applyAlignment="1" applyProtection="1">
      <alignment horizontal="left" vertical="center" wrapText="1"/>
      <protection locked="0"/>
    </xf>
    <xf numFmtId="49" fontId="44" fillId="0" borderId="22" xfId="0" applyNumberFormat="1" applyFont="1" applyBorder="1" applyAlignment="1" applyProtection="1">
      <alignment horizontal="left" vertical="center" wrapText="1"/>
      <protection locked="0"/>
    </xf>
    <xf numFmtId="0" fontId="44" fillId="0" borderId="22" xfId="0" applyFont="1" applyBorder="1" applyAlignment="1" applyProtection="1">
      <alignment horizontal="center" vertical="center"/>
      <protection locked="0"/>
    </xf>
    <xf numFmtId="166" fontId="43" fillId="0" borderId="15" xfId="0" applyNumberFormat="1" applyFont="1" applyBorder="1" applyAlignment="1">
      <alignment vertical="center"/>
    </xf>
    <xf numFmtId="166" fontId="43" fillId="0" borderId="0" xfId="0" applyNumberFormat="1" applyFont="1" applyBorder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43" fillId="0" borderId="0" xfId="0" applyFont="1" applyBorder="1" applyAlignment="1">
      <alignment horizontal="center" vertical="center"/>
    </xf>
    <xf numFmtId="0" fontId="43" fillId="0" borderId="14" xfId="0" applyFont="1" applyBorder="1" applyAlignment="1">
      <alignment horizontal="left" vertical="center"/>
    </xf>
    <xf numFmtId="4" fontId="42" fillId="0" borderId="22" xfId="0" applyNumberFormat="1" applyFont="1" applyBorder="1" applyAlignment="1" applyProtection="1">
      <alignment vertical="center"/>
      <protection locked="0"/>
    </xf>
    <xf numFmtId="167" fontId="42" fillId="0" borderId="22" xfId="0" applyNumberFormat="1" applyFont="1" applyBorder="1" applyAlignment="1" applyProtection="1">
      <alignment vertical="center"/>
      <protection locked="0"/>
    </xf>
    <xf numFmtId="0" fontId="42" fillId="0" borderId="22" xfId="0" applyFont="1" applyBorder="1" applyAlignment="1" applyProtection="1">
      <alignment horizontal="center" vertical="center" wrapText="1"/>
      <protection locked="0"/>
    </xf>
    <xf numFmtId="0" fontId="42" fillId="0" borderId="22" xfId="0" applyFont="1" applyBorder="1" applyAlignment="1" applyProtection="1">
      <alignment horizontal="left" vertical="center" wrapText="1"/>
      <protection locked="0"/>
    </xf>
    <xf numFmtId="49" fontId="42" fillId="0" borderId="22" xfId="0" applyNumberFormat="1" applyFont="1" applyBorder="1" applyAlignment="1" applyProtection="1">
      <alignment horizontal="left" vertical="center" wrapText="1"/>
      <protection locked="0"/>
    </xf>
    <xf numFmtId="0" fontId="42" fillId="0" borderId="22" xfId="0" applyFont="1" applyBorder="1" applyAlignment="1" applyProtection="1">
      <alignment horizontal="center" vertical="center"/>
      <protection locked="0"/>
    </xf>
    <xf numFmtId="0" fontId="46" fillId="0" borderId="0" xfId="0" applyFont="1" applyAlignment="1"/>
    <xf numFmtId="4" fontId="46" fillId="0" borderId="0" xfId="0" applyNumberFormat="1" applyFont="1" applyAlignment="1">
      <alignment vertical="center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166" fontId="46" fillId="0" borderId="15" xfId="0" applyNumberFormat="1" applyFont="1" applyBorder="1" applyAlignment="1"/>
    <xf numFmtId="0" fontId="46" fillId="0" borderId="0" xfId="0" applyFont="1" applyBorder="1" applyAlignment="1"/>
    <xf numFmtId="166" fontId="46" fillId="0" borderId="0" xfId="0" applyNumberFormat="1" applyFont="1" applyBorder="1" applyAlignment="1"/>
    <xf numFmtId="0" fontId="46" fillId="0" borderId="14" xfId="0" applyFont="1" applyBorder="1" applyAlignment="1"/>
    <xf numFmtId="0" fontId="46" fillId="0" borderId="3" xfId="0" applyFont="1" applyBorder="1" applyAlignment="1"/>
    <xf numFmtId="4" fontId="47" fillId="0" borderId="0" xfId="0" applyNumberFormat="1" applyFont="1" applyAlignment="1"/>
    <xf numFmtId="0" fontId="47" fillId="0" borderId="0" xfId="0" applyFont="1" applyAlignment="1">
      <alignment horizontal="left"/>
    </xf>
    <xf numFmtId="4" fontId="34" fillId="0" borderId="0" xfId="0" applyNumberFormat="1" applyFont="1" applyAlignment="1">
      <alignment vertical="center"/>
    </xf>
    <xf numFmtId="166" fontId="48" fillId="0" borderId="13" xfId="0" applyNumberFormat="1" applyFont="1" applyBorder="1" applyAlignment="1"/>
    <xf numFmtId="166" fontId="48" fillId="0" borderId="12" xfId="0" applyNumberFormat="1" applyFont="1" applyBorder="1" applyAlignment="1"/>
    <xf numFmtId="4" fontId="49" fillId="0" borderId="0" xfId="0" applyNumberFormat="1" applyFont="1" applyAlignment="1"/>
    <xf numFmtId="0" fontId="49" fillId="0" borderId="0" xfId="0" applyFont="1" applyAlignment="1">
      <alignment horizontal="left" vertical="center"/>
    </xf>
    <xf numFmtId="0" fontId="43" fillId="0" borderId="18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16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165" fontId="50" fillId="0" borderId="0" xfId="0" applyNumberFormat="1" applyFont="1" applyAlignment="1">
      <alignment horizontal="left" vertical="center"/>
    </xf>
    <xf numFmtId="0" fontId="53" fillId="0" borderId="0" xfId="0" applyFont="1" applyAlignment="1">
      <alignment horizontal="left" vertical="center"/>
    </xf>
    <xf numFmtId="4" fontId="49" fillId="4" borderId="0" xfId="0" applyNumberFormat="1" applyFont="1" applyFill="1" applyAlignment="1">
      <alignment vertical="center"/>
    </xf>
    <xf numFmtId="0" fontId="49" fillId="4" borderId="0" xfId="0" applyFont="1" applyFill="1" applyAlignment="1">
      <alignment horizontal="left" vertical="center"/>
    </xf>
    <xf numFmtId="0" fontId="43" fillId="0" borderId="0" xfId="0" applyFont="1" applyAlignment="1">
      <alignment horizontal="center" vertical="center"/>
    </xf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47" fillId="0" borderId="3" xfId="0" applyFont="1" applyBorder="1" applyAlignment="1">
      <alignment vertical="center"/>
    </xf>
    <xf numFmtId="4" fontId="47" fillId="0" borderId="20" xfId="0" applyNumberFormat="1" applyFont="1" applyBorder="1" applyAlignment="1">
      <alignment vertical="center"/>
    </xf>
    <xf numFmtId="0" fontId="47" fillId="0" borderId="20" xfId="0" applyFont="1" applyBorder="1" applyAlignment="1">
      <alignment vertical="center"/>
    </xf>
    <xf numFmtId="0" fontId="47" fillId="0" borderId="20" xfId="0" applyFont="1" applyBorder="1" applyAlignment="1">
      <alignment horizontal="left" vertical="center"/>
    </xf>
    <xf numFmtId="4" fontId="49" fillId="0" borderId="0" xfId="0" applyNumberFormat="1" applyFont="1" applyAlignment="1">
      <alignment vertical="center"/>
    </xf>
    <xf numFmtId="0" fontId="42" fillId="4" borderId="0" xfId="0" applyFont="1" applyFill="1" applyAlignment="1">
      <alignment horizontal="right" vertical="center"/>
    </xf>
    <xf numFmtId="0" fontId="42" fillId="4" borderId="0" xfId="0" applyFont="1" applyFill="1" applyAlignment="1">
      <alignment horizontal="left" vertical="center"/>
    </xf>
    <xf numFmtId="0" fontId="51" fillId="0" borderId="5" xfId="0" applyFont="1" applyBorder="1" applyAlignment="1">
      <alignment horizontal="right" vertical="center"/>
    </xf>
    <xf numFmtId="0" fontId="51" fillId="0" borderId="5" xfId="0" applyFont="1" applyBorder="1" applyAlignment="1">
      <alignment horizontal="left" vertical="center"/>
    </xf>
    <xf numFmtId="0" fontId="51" fillId="0" borderId="5" xfId="0" applyFont="1" applyBorder="1" applyAlignment="1">
      <alignment horizontal="center" vertical="center"/>
    </xf>
    <xf numFmtId="0" fontId="55" fillId="0" borderId="4" xfId="0" applyFont="1" applyBorder="1" applyAlignment="1">
      <alignment horizontal="left" vertical="center"/>
    </xf>
    <xf numFmtId="4" fontId="56" fillId="4" borderId="7" xfId="0" applyNumberFormat="1" applyFont="1" applyFill="1" applyBorder="1" applyAlignment="1">
      <alignment vertical="center"/>
    </xf>
    <xf numFmtId="0" fontId="56" fillId="4" borderId="7" xfId="0" applyFont="1" applyFill="1" applyBorder="1" applyAlignment="1">
      <alignment horizontal="center" vertical="center"/>
    </xf>
    <xf numFmtId="0" fontId="56" fillId="4" borderId="7" xfId="0" applyFont="1" applyFill="1" applyBorder="1" applyAlignment="1">
      <alignment horizontal="right" vertical="center"/>
    </xf>
    <xf numFmtId="0" fontId="56" fillId="4" borderId="6" xfId="0" applyFont="1" applyFill="1" applyBorder="1" applyAlignment="1">
      <alignment horizontal="left" vertical="center"/>
    </xf>
    <xf numFmtId="4" fontId="51" fillId="0" borderId="0" xfId="0" applyNumberFormat="1" applyFont="1" applyAlignment="1">
      <alignment vertical="center"/>
    </xf>
    <xf numFmtId="164" fontId="51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left" vertical="center"/>
    </xf>
    <xf numFmtId="0" fontId="51" fillId="0" borderId="0" xfId="0" applyFont="1" applyAlignment="1">
      <alignment horizontal="right" vertical="center"/>
    </xf>
    <xf numFmtId="0" fontId="58" fillId="0" borderId="0" xfId="0" applyFont="1" applyAlignment="1">
      <alignment horizontal="left" vertical="center"/>
    </xf>
    <xf numFmtId="4" fontId="50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37" fontId="62" fillId="0" borderId="0" xfId="0" applyNumberFormat="1" applyFont="1" applyBorder="1" applyAlignment="1" applyProtection="1">
      <alignment horizontal="center" vertical="center"/>
      <protection locked="0"/>
    </xf>
    <xf numFmtId="0" fontId="63" fillId="0" borderId="0" xfId="0" applyFont="1" applyAlignment="1" applyProtection="1">
      <alignment horizontal="center" vertical="center" wrapText="1"/>
      <protection locked="0"/>
    </xf>
    <xf numFmtId="39" fontId="63" fillId="0" borderId="0" xfId="0" applyNumberFormat="1" applyFont="1" applyAlignment="1" applyProtection="1">
      <alignment horizontal="right" vertical="center"/>
      <protection locked="0"/>
    </xf>
    <xf numFmtId="4" fontId="62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4" fillId="0" borderId="23" xfId="0" applyFont="1" applyBorder="1" applyAlignment="1" applyProtection="1">
      <alignment horizontal="left" vertical="center" wrapText="1"/>
      <protection locked="0"/>
    </xf>
    <xf numFmtId="0" fontId="65" fillId="0" borderId="23" xfId="0" applyFont="1" applyBorder="1" applyAlignment="1" applyProtection="1">
      <alignment horizontal="left" vertical="center" wrapText="1"/>
      <protection locked="0"/>
    </xf>
    <xf numFmtId="0" fontId="66" fillId="0" borderId="24" xfId="0" applyFont="1" applyBorder="1" applyAlignment="1" applyProtection="1">
      <alignment horizontal="left" vertical="center" wrapText="1"/>
      <protection locked="0"/>
    </xf>
    <xf numFmtId="0" fontId="66" fillId="0" borderId="23" xfId="0" applyFont="1" applyBorder="1" applyAlignment="1" applyProtection="1">
      <alignment horizontal="left" vertical="center" wrapText="1"/>
      <protection locked="0"/>
    </xf>
    <xf numFmtId="0" fontId="62" fillId="0" borderId="25" xfId="0" applyFont="1" applyBorder="1" applyAlignment="1" applyProtection="1">
      <alignment horizontal="left" vertical="center" wrapText="1"/>
      <protection locked="0"/>
    </xf>
    <xf numFmtId="0" fontId="62" fillId="0" borderId="24" xfId="0" applyFont="1" applyBorder="1" applyAlignment="1" applyProtection="1">
      <alignment horizontal="left" vertical="center" wrapText="1"/>
      <protection locked="0"/>
    </xf>
    <xf numFmtId="0" fontId="64" fillId="0" borderId="26" xfId="0" applyFont="1" applyBorder="1" applyAlignment="1" applyProtection="1">
      <alignment horizontal="left" vertical="center" wrapText="1"/>
      <protection locked="0"/>
    </xf>
    <xf numFmtId="0" fontId="66" fillId="0" borderId="23" xfId="0" applyFont="1" applyBorder="1" applyAlignment="1" applyProtection="1">
      <alignment horizontal="left" wrapText="1"/>
      <protection locked="0"/>
    </xf>
    <xf numFmtId="0" fontId="62" fillId="0" borderId="23" xfId="0" applyFont="1" applyBorder="1" applyAlignment="1" applyProtection="1">
      <alignment horizontal="left" wrapText="1"/>
      <protection locked="0"/>
    </xf>
    <xf numFmtId="49" fontId="67" fillId="0" borderId="23" xfId="0" applyNumberFormat="1" applyFont="1" applyFill="1" applyBorder="1" applyAlignment="1" applyProtection="1">
      <alignment horizontal="left" vertical="center" wrapText="1" readingOrder="1"/>
    </xf>
    <xf numFmtId="49" fontId="68" fillId="0" borderId="23" xfId="0" applyNumberFormat="1" applyFont="1" applyFill="1" applyBorder="1" applyAlignment="1" applyProtection="1">
      <alignment horizontal="left" vertical="center" wrapText="1" readingOrder="1"/>
    </xf>
    <xf numFmtId="0" fontId="65" fillId="0" borderId="23" xfId="0" applyFont="1" applyFill="1" applyBorder="1" applyAlignment="1" applyProtection="1">
      <alignment horizontal="left" vertical="center" wrapText="1"/>
      <protection locked="0"/>
    </xf>
    <xf numFmtId="49" fontId="69" fillId="0" borderId="23" xfId="0" applyNumberFormat="1" applyFont="1" applyFill="1" applyBorder="1" applyAlignment="1" applyProtection="1">
      <alignment horizontal="left" vertical="center" wrapText="1" readingOrder="1"/>
    </xf>
    <xf numFmtId="0" fontId="67" fillId="0" borderId="23" xfId="0" applyFont="1" applyFill="1" applyBorder="1" applyAlignment="1" applyProtection="1">
      <alignment horizontal="left" vertical="center" wrapText="1"/>
      <protection locked="0"/>
    </xf>
    <xf numFmtId="4" fontId="46" fillId="0" borderId="0" xfId="0" applyNumberFormat="1" applyFont="1" applyBorder="1" applyAlignment="1"/>
    <xf numFmtId="4" fontId="0" fillId="0" borderId="0" xfId="0" applyNumberFormat="1" applyAlignment="1">
      <alignment vertical="center"/>
    </xf>
    <xf numFmtId="4" fontId="47" fillId="0" borderId="0" xfId="0" applyNumberFormat="1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3" xfId="0" applyFont="1" applyBorder="1" applyAlignment="1">
      <alignment vertical="center"/>
    </xf>
    <xf numFmtId="0" fontId="70" fillId="0" borderId="20" xfId="0" applyFont="1" applyBorder="1" applyAlignment="1">
      <alignment horizontal="left" vertical="center"/>
    </xf>
    <xf numFmtId="0" fontId="70" fillId="0" borderId="20" xfId="0" applyFont="1" applyBorder="1" applyAlignment="1">
      <alignment vertical="center"/>
    </xf>
    <xf numFmtId="4" fontId="70" fillId="0" borderId="20" xfId="0" applyNumberFormat="1" applyFont="1" applyBorder="1" applyAlignment="1">
      <alignment vertical="center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/>
    <xf numFmtId="0" fontId="71" fillId="0" borderId="0" xfId="0" applyFont="1" applyAlignment="1">
      <alignment vertical="center"/>
    </xf>
    <xf numFmtId="0" fontId="71" fillId="0" borderId="3" xfId="0" applyFont="1" applyBorder="1" applyAlignment="1">
      <alignment vertical="center"/>
    </xf>
    <xf numFmtId="0" fontId="72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left" vertical="center" wrapText="1"/>
    </xf>
    <xf numFmtId="167" fontId="71" fillId="0" borderId="0" xfId="0" applyNumberFormat="1" applyFont="1" applyAlignment="1">
      <alignment vertical="center"/>
    </xf>
    <xf numFmtId="0" fontId="71" fillId="0" borderId="14" xfId="0" applyFont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71" fillId="0" borderId="15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73" fillId="0" borderId="3" xfId="0" applyFont="1" applyBorder="1" applyAlignment="1">
      <alignment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167" fontId="73" fillId="0" borderId="0" xfId="0" applyNumberFormat="1" applyFont="1" applyAlignment="1">
      <alignment vertical="center"/>
    </xf>
    <xf numFmtId="0" fontId="73" fillId="0" borderId="14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15" xfId="0" applyFont="1" applyBorder="1" applyAlignment="1">
      <alignment vertical="center"/>
    </xf>
    <xf numFmtId="0" fontId="42" fillId="0" borderId="22" xfId="0" applyFont="1" applyFill="1" applyBorder="1" applyAlignment="1" applyProtection="1">
      <alignment horizontal="center" vertical="center"/>
      <protection locked="0"/>
    </xf>
    <xf numFmtId="0" fontId="74" fillId="0" borderId="0" xfId="0" applyFont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horizontal="left" vertical="center"/>
    </xf>
    <xf numFmtId="0" fontId="74" fillId="0" borderId="14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4" fillId="0" borderId="15" xfId="0" applyFont="1" applyBorder="1" applyAlignment="1">
      <alignment vertical="center"/>
    </xf>
    <xf numFmtId="0" fontId="74" fillId="0" borderId="0" xfId="0" applyFont="1" applyAlignment="1">
      <alignment horizontal="left" vertical="center" wrapText="1"/>
    </xf>
    <xf numFmtId="0" fontId="71" fillId="0" borderId="0" xfId="0" applyFont="1" applyFill="1" applyAlignment="1">
      <alignment vertical="center"/>
    </xf>
    <xf numFmtId="167" fontId="42" fillId="0" borderId="22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7" fontId="19" fillId="0" borderId="0" xfId="0" applyNumberFormat="1" applyFont="1" applyBorder="1" applyAlignment="1" applyProtection="1">
      <alignment vertical="center"/>
      <protection locked="0"/>
    </xf>
    <xf numFmtId="4" fontId="19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49" fontId="40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3" fillId="0" borderId="20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vertical="center"/>
    </xf>
    <xf numFmtId="0" fontId="52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/>
    </xf>
    <xf numFmtId="0" fontId="61" fillId="2" borderId="0" xfId="0" applyFont="1" applyFill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&#253;kresy/2019%20-%20T.D.LINE%20s.r.o/2019%20-%20Z&#225;kazky/190714%20M&#352;%20&#268;ord&#225;kova%2017/rozpo&#269;et%20ZTI/14355%20-%20Rekon&#353;trukcia%20&#269;asti%20priestorov%20M&#352;%20&#268;ord&#225;kova%2017,%20Ko&#353;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&#253;kresy/2019%20-%20T.D.LINE%20s.r.o/2019%20-%20Z&#225;kazky/190106%20BD%20Trebi&#353;ovsk&#225;%202/projekt%20pre%20stavebn&#233;%20povolenie/rozpo&#269;et/2020-001%20-%20Komplexn&#225;%20obnova%20BD%20a%20pr&#237;stavba%20loggi&#237;%20Trebi&#353;ovsk&#225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&#253;kresy/2019%20-%20T.D.LINE%20s.r.o/2019%20-%20Z&#225;kazky/190714%20M&#352;%20&#268;ord&#225;kova%2017/cordakova/Rozpo&#269;et%20-%20oprava%20obvodov&#233;ho%20pl&#225;&#353;&#357;a%20&#269;asti%20fas&#225;dy%20budovy%20M&#352;%20&#268;ord&#225;kova%2017,%20Ko&#353;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4355 - Rekonštrukcia čas..."/>
    </sheetNames>
    <sheetDataSet>
      <sheetData sheetId="0">
        <row r="8">
          <cell r="AN8" t="str">
            <v>26. 5. 2020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2020-001-001 - Zateplenie..."/>
      <sheetName val="2020-001-002 - Sanácia lo..."/>
      <sheetName val="2020-001-003 - Prístavba ..."/>
      <sheetName val="2020-001-004 - Zateplenie..."/>
      <sheetName val="2020-001-005 - Okapový ch..."/>
      <sheetName val="2020-001-006 - Zateplenie..."/>
      <sheetName val="2020-001-007 - Výplne otv..."/>
      <sheetName val="2020-001-008 - Stavebné ú..."/>
      <sheetName val="2020-001-009 - Elektroinš..."/>
      <sheetName val="2020-001-010 - Vyregulovanie"/>
    </sheetNames>
    <sheetDataSet>
      <sheetData sheetId="0"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2020-001-001 - Zateplenie..."/>
    </sheetNames>
    <sheetDataSet>
      <sheetData sheetId="0">
        <row r="6">
          <cell r="K6" t="str">
            <v>Oprava obvodového plášťa časti fasády MŠ Čordákova 17, Košice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opLeftCell="A70" workbookViewId="0">
      <selection activeCell="X89" sqref="X8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 x14ac:dyDescent="0.2">
      <c r="AR2" s="401" t="s">
        <v>5</v>
      </c>
      <c r="AS2" s="399"/>
      <c r="AT2" s="399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S2" s="16" t="s">
        <v>6</v>
      </c>
      <c r="BT2" s="16" t="s">
        <v>7</v>
      </c>
    </row>
    <row r="3" spans="1:74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 x14ac:dyDescent="0.2">
      <c r="B4" s="19"/>
      <c r="D4" s="20" t="s">
        <v>8</v>
      </c>
      <c r="AR4" s="19"/>
      <c r="AS4" s="21" t="s">
        <v>9</v>
      </c>
      <c r="BS4" s="16" t="s">
        <v>10</v>
      </c>
    </row>
    <row r="5" spans="1:74" s="1" customFormat="1" ht="12" customHeight="1" x14ac:dyDescent="0.2">
      <c r="B5" s="19"/>
      <c r="D5" s="22" t="s">
        <v>11</v>
      </c>
      <c r="K5" s="398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R5" s="19"/>
      <c r="BS5" s="16" t="s">
        <v>6</v>
      </c>
    </row>
    <row r="6" spans="1:74" s="1" customFormat="1" ht="36.950000000000003" customHeight="1" x14ac:dyDescent="0.2">
      <c r="B6" s="19"/>
      <c r="D6" s="24" t="s">
        <v>12</v>
      </c>
      <c r="K6" s="400" t="s">
        <v>13</v>
      </c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  <c r="AR6" s="19"/>
      <c r="BS6" s="16" t="s">
        <v>6</v>
      </c>
    </row>
    <row r="7" spans="1:74" s="1" customFormat="1" ht="12" customHeight="1" x14ac:dyDescent="0.2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s="1" customFormat="1" ht="12" customHeight="1" x14ac:dyDescent="0.2">
      <c r="B8" s="19"/>
      <c r="D8" s="25" t="s">
        <v>16</v>
      </c>
      <c r="K8" s="23" t="s">
        <v>17</v>
      </c>
      <c r="AK8" s="25" t="s">
        <v>18</v>
      </c>
      <c r="AN8" s="23"/>
      <c r="AR8" s="19"/>
      <c r="BS8" s="16" t="s">
        <v>6</v>
      </c>
    </row>
    <row r="9" spans="1:74" s="1" customFormat="1" ht="14.45" customHeight="1" x14ac:dyDescent="0.2">
      <c r="B9" s="19"/>
      <c r="AR9" s="19"/>
      <c r="BS9" s="16" t="s">
        <v>6</v>
      </c>
    </row>
    <row r="10" spans="1:74" s="1" customFormat="1" ht="12" customHeight="1" x14ac:dyDescent="0.2">
      <c r="B10" s="19"/>
      <c r="D10" s="25" t="s">
        <v>19</v>
      </c>
      <c r="K10" s="1" t="s">
        <v>1137</v>
      </c>
      <c r="AK10" s="25" t="s">
        <v>20</v>
      </c>
      <c r="AN10" s="23" t="s">
        <v>1</v>
      </c>
      <c r="AR10" s="19"/>
      <c r="BS10" s="16" t="s">
        <v>6</v>
      </c>
    </row>
    <row r="11" spans="1:74" s="1" customFormat="1" ht="18.399999999999999" customHeight="1" x14ac:dyDescent="0.2">
      <c r="B11" s="19"/>
      <c r="E11" s="23" t="s">
        <v>21</v>
      </c>
      <c r="AK11" s="25" t="s">
        <v>22</v>
      </c>
      <c r="AN11" s="23" t="s">
        <v>1</v>
      </c>
      <c r="AR11" s="19"/>
      <c r="BS11" s="16" t="s">
        <v>6</v>
      </c>
    </row>
    <row r="12" spans="1:74" s="1" customFormat="1" ht="6.95" customHeight="1" x14ac:dyDescent="0.2">
      <c r="B12" s="19"/>
      <c r="AR12" s="19"/>
      <c r="BS12" s="16" t="s">
        <v>6</v>
      </c>
    </row>
    <row r="13" spans="1:74" s="1" customFormat="1" ht="12" customHeight="1" x14ac:dyDescent="0.2">
      <c r="B13" s="19"/>
      <c r="D13" s="25" t="s">
        <v>23</v>
      </c>
      <c r="AK13" s="25" t="s">
        <v>20</v>
      </c>
      <c r="AN13" s="23" t="s">
        <v>1</v>
      </c>
      <c r="AR13" s="19"/>
      <c r="BS13" s="16" t="s">
        <v>6</v>
      </c>
    </row>
    <row r="14" spans="1:74" ht="12.75" x14ac:dyDescent="0.2">
      <c r="B14" s="19"/>
      <c r="E14" s="23" t="s">
        <v>21</v>
      </c>
      <c r="AK14" s="25" t="s">
        <v>22</v>
      </c>
      <c r="AN14" s="23" t="s">
        <v>1</v>
      </c>
      <c r="AR14" s="19"/>
      <c r="BS14" s="16" t="s">
        <v>6</v>
      </c>
    </row>
    <row r="15" spans="1:74" s="1" customFormat="1" ht="6.95" customHeight="1" x14ac:dyDescent="0.2">
      <c r="B15" s="19"/>
      <c r="AR15" s="19"/>
      <c r="BS15" s="16" t="s">
        <v>3</v>
      </c>
    </row>
    <row r="16" spans="1:74" s="1" customFormat="1" ht="12" customHeight="1" x14ac:dyDescent="0.2">
      <c r="B16" s="19"/>
      <c r="D16" s="25" t="s">
        <v>24</v>
      </c>
      <c r="AK16" s="25" t="s">
        <v>20</v>
      </c>
      <c r="AN16" s="23" t="s">
        <v>25</v>
      </c>
      <c r="AR16" s="19"/>
      <c r="BS16" s="16" t="s">
        <v>3</v>
      </c>
    </row>
    <row r="17" spans="1:71" s="1" customFormat="1" ht="18.399999999999999" customHeight="1" x14ac:dyDescent="0.2">
      <c r="B17" s="19"/>
      <c r="E17" s="23" t="s">
        <v>26</v>
      </c>
      <c r="AK17" s="25" t="s">
        <v>22</v>
      </c>
      <c r="AN17" s="23" t="s">
        <v>27</v>
      </c>
      <c r="AR17" s="19"/>
      <c r="BS17" s="16" t="s">
        <v>28</v>
      </c>
    </row>
    <row r="18" spans="1:71" s="1" customFormat="1" ht="6.95" customHeight="1" x14ac:dyDescent="0.2">
      <c r="B18" s="19"/>
      <c r="AR18" s="19"/>
      <c r="BS18" s="16" t="s">
        <v>6</v>
      </c>
    </row>
    <row r="19" spans="1:71" s="1" customFormat="1" ht="12" customHeight="1" x14ac:dyDescent="0.2">
      <c r="B19" s="19"/>
      <c r="D19" s="25" t="s">
        <v>29</v>
      </c>
      <c r="AK19" s="25" t="s">
        <v>20</v>
      </c>
      <c r="AN19" s="23"/>
      <c r="AR19" s="19"/>
      <c r="BS19" s="16" t="s">
        <v>6</v>
      </c>
    </row>
    <row r="20" spans="1:71" s="1" customFormat="1" ht="18.399999999999999" customHeight="1" x14ac:dyDescent="0.2">
      <c r="B20" s="19"/>
      <c r="E20" s="23"/>
      <c r="AK20" s="25" t="s">
        <v>22</v>
      </c>
      <c r="AN20" s="23"/>
      <c r="AR20" s="19"/>
      <c r="BS20" s="16" t="s">
        <v>28</v>
      </c>
    </row>
    <row r="21" spans="1:71" s="1" customFormat="1" ht="6.95" customHeight="1" x14ac:dyDescent="0.2">
      <c r="B21" s="19"/>
      <c r="AR21" s="19"/>
    </row>
    <row r="22" spans="1:71" s="1" customFormat="1" ht="12" customHeight="1" x14ac:dyDescent="0.2">
      <c r="B22" s="19"/>
      <c r="D22" s="25" t="s">
        <v>30</v>
      </c>
      <c r="AR22" s="19"/>
    </row>
    <row r="23" spans="1:71" s="1" customFormat="1" ht="51" customHeight="1" x14ac:dyDescent="0.2">
      <c r="B23" s="19"/>
      <c r="E23" s="402" t="s">
        <v>31</v>
      </c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2"/>
      <c r="AL23" s="402"/>
      <c r="AM23" s="402"/>
      <c r="AN23" s="402"/>
      <c r="AR23" s="19"/>
    </row>
    <row r="24" spans="1:71" s="1" customFormat="1" ht="6.95" customHeight="1" x14ac:dyDescent="0.2">
      <c r="B24" s="19"/>
      <c r="AR24" s="19"/>
    </row>
    <row r="25" spans="1:71" s="1" customFormat="1" ht="6.95" customHeight="1" x14ac:dyDescent="0.2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1:71" s="2" customFormat="1" ht="25.9" customHeight="1" x14ac:dyDescent="0.2">
      <c r="A26" s="28"/>
      <c r="B26" s="29"/>
      <c r="C26" s="28"/>
      <c r="D26" s="30" t="s">
        <v>32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403">
        <f>ROUND(AG94,2)</f>
        <v>0</v>
      </c>
      <c r="AL26" s="404"/>
      <c r="AM26" s="404"/>
      <c r="AN26" s="404"/>
      <c r="AO26" s="404"/>
      <c r="AP26" s="28"/>
      <c r="AQ26" s="28"/>
      <c r="AR26" s="29"/>
      <c r="BE26" s="28"/>
    </row>
    <row r="27" spans="1:71" s="2" customFormat="1" ht="6.95" customHeight="1" x14ac:dyDescent="0.2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28"/>
    </row>
    <row r="28" spans="1:71" s="2" customFormat="1" ht="12.75" x14ac:dyDescent="0.2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405" t="s">
        <v>33</v>
      </c>
      <c r="M28" s="405"/>
      <c r="N28" s="405"/>
      <c r="O28" s="405"/>
      <c r="P28" s="405"/>
      <c r="Q28" s="28"/>
      <c r="R28" s="28"/>
      <c r="S28" s="28"/>
      <c r="T28" s="28"/>
      <c r="U28" s="28"/>
      <c r="V28" s="28"/>
      <c r="W28" s="405" t="s">
        <v>34</v>
      </c>
      <c r="X28" s="405"/>
      <c r="Y28" s="405"/>
      <c r="Z28" s="405"/>
      <c r="AA28" s="405"/>
      <c r="AB28" s="405"/>
      <c r="AC28" s="405"/>
      <c r="AD28" s="405"/>
      <c r="AE28" s="405"/>
      <c r="AF28" s="28"/>
      <c r="AG28" s="28"/>
      <c r="AH28" s="28"/>
      <c r="AI28" s="28"/>
      <c r="AJ28" s="28"/>
      <c r="AK28" s="405" t="s">
        <v>35</v>
      </c>
      <c r="AL28" s="405"/>
      <c r="AM28" s="405"/>
      <c r="AN28" s="405"/>
      <c r="AO28" s="405"/>
      <c r="AP28" s="28"/>
      <c r="AQ28" s="28"/>
      <c r="AR28" s="29"/>
      <c r="BE28" s="28"/>
    </row>
    <row r="29" spans="1:71" s="3" customFormat="1" ht="14.45" customHeight="1" x14ac:dyDescent="0.2">
      <c r="B29" s="33"/>
      <c r="D29" s="25" t="s">
        <v>36</v>
      </c>
      <c r="F29" s="25" t="s">
        <v>37</v>
      </c>
      <c r="L29" s="408">
        <v>0.2</v>
      </c>
      <c r="M29" s="407"/>
      <c r="N29" s="407"/>
      <c r="O29" s="407"/>
      <c r="P29" s="407"/>
      <c r="W29" s="406">
        <f>ROUND(AZ94, 2)</f>
        <v>0</v>
      </c>
      <c r="X29" s="407"/>
      <c r="Y29" s="407"/>
      <c r="Z29" s="407"/>
      <c r="AA29" s="407"/>
      <c r="AB29" s="407"/>
      <c r="AC29" s="407"/>
      <c r="AD29" s="407"/>
      <c r="AE29" s="407"/>
      <c r="AK29" s="406">
        <f>ROUND(AV94, 2)</f>
        <v>0</v>
      </c>
      <c r="AL29" s="407"/>
      <c r="AM29" s="407"/>
      <c r="AN29" s="407"/>
      <c r="AO29" s="407"/>
      <c r="AR29" s="33"/>
    </row>
    <row r="30" spans="1:71" s="3" customFormat="1" ht="14.45" customHeight="1" x14ac:dyDescent="0.2">
      <c r="B30" s="33"/>
      <c r="F30" s="25" t="s">
        <v>38</v>
      </c>
      <c r="L30" s="408">
        <v>0.2</v>
      </c>
      <c r="M30" s="407"/>
      <c r="N30" s="407"/>
      <c r="O30" s="407"/>
      <c r="P30" s="407"/>
      <c r="W30" s="406">
        <f>AK26</f>
        <v>0</v>
      </c>
      <c r="X30" s="407"/>
      <c r="Y30" s="407"/>
      <c r="Z30" s="407"/>
      <c r="AA30" s="407"/>
      <c r="AB30" s="407"/>
      <c r="AC30" s="407"/>
      <c r="AD30" s="407"/>
      <c r="AE30" s="407"/>
      <c r="AK30" s="406">
        <f>W30*0.2</f>
        <v>0</v>
      </c>
      <c r="AL30" s="407"/>
      <c r="AM30" s="407"/>
      <c r="AN30" s="407"/>
      <c r="AO30" s="407"/>
      <c r="AR30" s="33"/>
    </row>
    <row r="31" spans="1:71" s="3" customFormat="1" ht="14.45" hidden="1" customHeight="1" x14ac:dyDescent="0.2">
      <c r="B31" s="33"/>
      <c r="F31" s="25" t="s">
        <v>39</v>
      </c>
      <c r="L31" s="408">
        <v>0.2</v>
      </c>
      <c r="M31" s="407"/>
      <c r="N31" s="407"/>
      <c r="O31" s="407"/>
      <c r="P31" s="407"/>
      <c r="W31" s="406">
        <f>ROUND(BB94, 2)</f>
        <v>0</v>
      </c>
      <c r="X31" s="407"/>
      <c r="Y31" s="407"/>
      <c r="Z31" s="407"/>
      <c r="AA31" s="407"/>
      <c r="AB31" s="407"/>
      <c r="AC31" s="407"/>
      <c r="AD31" s="407"/>
      <c r="AE31" s="407"/>
      <c r="AK31" s="406">
        <v>0</v>
      </c>
      <c r="AL31" s="407"/>
      <c r="AM31" s="407"/>
      <c r="AN31" s="407"/>
      <c r="AO31" s="407"/>
      <c r="AR31" s="33"/>
    </row>
    <row r="32" spans="1:71" s="3" customFormat="1" ht="14.45" hidden="1" customHeight="1" x14ac:dyDescent="0.2">
      <c r="B32" s="33"/>
      <c r="F32" s="25" t="s">
        <v>40</v>
      </c>
      <c r="L32" s="408">
        <v>0.2</v>
      </c>
      <c r="M32" s="407"/>
      <c r="N32" s="407"/>
      <c r="O32" s="407"/>
      <c r="P32" s="407"/>
      <c r="W32" s="406">
        <f>ROUND(BC94, 2)</f>
        <v>0</v>
      </c>
      <c r="X32" s="407"/>
      <c r="Y32" s="407"/>
      <c r="Z32" s="407"/>
      <c r="AA32" s="407"/>
      <c r="AB32" s="407"/>
      <c r="AC32" s="407"/>
      <c r="AD32" s="407"/>
      <c r="AE32" s="407"/>
      <c r="AK32" s="406">
        <v>0</v>
      </c>
      <c r="AL32" s="407"/>
      <c r="AM32" s="407"/>
      <c r="AN32" s="407"/>
      <c r="AO32" s="407"/>
      <c r="AR32" s="33"/>
    </row>
    <row r="33" spans="1:57" s="3" customFormat="1" ht="14.45" hidden="1" customHeight="1" x14ac:dyDescent="0.2">
      <c r="B33" s="33"/>
      <c r="F33" s="25" t="s">
        <v>41</v>
      </c>
      <c r="L33" s="408">
        <v>0</v>
      </c>
      <c r="M33" s="407"/>
      <c r="N33" s="407"/>
      <c r="O33" s="407"/>
      <c r="P33" s="407"/>
      <c r="W33" s="406">
        <f>ROUND(BD94, 2)</f>
        <v>0</v>
      </c>
      <c r="X33" s="407"/>
      <c r="Y33" s="407"/>
      <c r="Z33" s="407"/>
      <c r="AA33" s="407"/>
      <c r="AB33" s="407"/>
      <c r="AC33" s="407"/>
      <c r="AD33" s="407"/>
      <c r="AE33" s="407"/>
      <c r="AK33" s="406">
        <v>0</v>
      </c>
      <c r="AL33" s="407"/>
      <c r="AM33" s="407"/>
      <c r="AN33" s="407"/>
      <c r="AO33" s="407"/>
      <c r="AR33" s="33"/>
    </row>
    <row r="34" spans="1:57" s="2" customFormat="1" ht="6.95" customHeight="1" x14ac:dyDescent="0.2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28"/>
    </row>
    <row r="35" spans="1:57" s="2" customFormat="1" ht="25.9" customHeight="1" x14ac:dyDescent="0.2">
      <c r="A35" s="28"/>
      <c r="B35" s="29"/>
      <c r="C35" s="34"/>
      <c r="D35" s="35" t="s">
        <v>42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43</v>
      </c>
      <c r="U35" s="36"/>
      <c r="V35" s="36"/>
      <c r="W35" s="36"/>
      <c r="X35" s="409" t="s">
        <v>44</v>
      </c>
      <c r="Y35" s="410"/>
      <c r="Z35" s="410"/>
      <c r="AA35" s="410"/>
      <c r="AB35" s="410"/>
      <c r="AC35" s="36"/>
      <c r="AD35" s="36"/>
      <c r="AE35" s="36"/>
      <c r="AF35" s="36"/>
      <c r="AG35" s="36"/>
      <c r="AH35" s="36"/>
      <c r="AI35" s="36"/>
      <c r="AJ35" s="36"/>
      <c r="AK35" s="411">
        <f>SUM(AK26:AK33)</f>
        <v>0</v>
      </c>
      <c r="AL35" s="410"/>
      <c r="AM35" s="410"/>
      <c r="AN35" s="410"/>
      <c r="AO35" s="412"/>
      <c r="AP35" s="34"/>
      <c r="AQ35" s="34"/>
      <c r="AR35" s="29"/>
      <c r="BE35" s="28"/>
    </row>
    <row r="36" spans="1:57" s="2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 x14ac:dyDescent="0.2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 x14ac:dyDescent="0.2">
      <c r="B38" s="19"/>
      <c r="AR38" s="19"/>
    </row>
    <row r="39" spans="1:57" s="1" customFormat="1" ht="14.45" customHeight="1" x14ac:dyDescent="0.2">
      <c r="B39" s="19"/>
      <c r="AR39" s="19"/>
    </row>
    <row r="40" spans="1:57" s="1" customFormat="1" ht="14.45" customHeight="1" x14ac:dyDescent="0.2">
      <c r="B40" s="19"/>
      <c r="AR40" s="19"/>
    </row>
    <row r="41" spans="1:57" s="1" customFormat="1" ht="14.45" customHeight="1" x14ac:dyDescent="0.2">
      <c r="B41" s="19"/>
      <c r="AR41" s="19"/>
    </row>
    <row r="42" spans="1:57" s="1" customFormat="1" ht="14.45" customHeight="1" x14ac:dyDescent="0.2">
      <c r="B42" s="19"/>
      <c r="AR42" s="19"/>
    </row>
    <row r="43" spans="1:57" s="1" customFormat="1" ht="14.45" customHeight="1" x14ac:dyDescent="0.2">
      <c r="B43" s="19"/>
      <c r="AR43" s="19"/>
    </row>
    <row r="44" spans="1:57" s="1" customFormat="1" ht="14.45" customHeight="1" x14ac:dyDescent="0.2">
      <c r="B44" s="19"/>
      <c r="AR44" s="19"/>
    </row>
    <row r="45" spans="1:57" s="1" customFormat="1" ht="14.45" customHeight="1" x14ac:dyDescent="0.2">
      <c r="B45" s="19"/>
      <c r="AR45" s="19"/>
    </row>
    <row r="46" spans="1:57" s="1" customFormat="1" ht="14.45" customHeight="1" x14ac:dyDescent="0.2">
      <c r="B46" s="19"/>
      <c r="AR46" s="19"/>
    </row>
    <row r="47" spans="1:57" s="1" customFormat="1" ht="14.45" customHeight="1" x14ac:dyDescent="0.2">
      <c r="B47" s="19"/>
      <c r="AR47" s="19"/>
    </row>
    <row r="48" spans="1:57" s="1" customFormat="1" ht="14.45" customHeight="1" x14ac:dyDescent="0.2">
      <c r="B48" s="19"/>
      <c r="AR48" s="19"/>
    </row>
    <row r="49" spans="1:57" s="2" customFormat="1" ht="14.45" customHeight="1" x14ac:dyDescent="0.2">
      <c r="B49" s="38"/>
      <c r="D49" s="39" t="s">
        <v>45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46</v>
      </c>
      <c r="AI49" s="40"/>
      <c r="AJ49" s="40"/>
      <c r="AK49" s="40"/>
      <c r="AL49" s="40"/>
      <c r="AM49" s="40"/>
      <c r="AN49" s="40"/>
      <c r="AO49" s="40"/>
      <c r="AR49" s="38"/>
    </row>
    <row r="50" spans="1:57" x14ac:dyDescent="0.2">
      <c r="B50" s="19"/>
      <c r="AR50" s="19"/>
    </row>
    <row r="51" spans="1:57" x14ac:dyDescent="0.2">
      <c r="B51" s="19"/>
      <c r="AR51" s="19"/>
    </row>
    <row r="52" spans="1:57" x14ac:dyDescent="0.2">
      <c r="B52" s="19"/>
      <c r="AR52" s="19"/>
    </row>
    <row r="53" spans="1:57" x14ac:dyDescent="0.2">
      <c r="B53" s="19"/>
      <c r="AR53" s="19"/>
    </row>
    <row r="54" spans="1:57" x14ac:dyDescent="0.2">
      <c r="B54" s="19"/>
      <c r="AR54" s="19"/>
    </row>
    <row r="55" spans="1:57" x14ac:dyDescent="0.2">
      <c r="B55" s="19"/>
      <c r="AR55" s="19"/>
    </row>
    <row r="56" spans="1:57" x14ac:dyDescent="0.2">
      <c r="B56" s="19"/>
      <c r="AR56" s="19"/>
    </row>
    <row r="57" spans="1:57" x14ac:dyDescent="0.2">
      <c r="B57" s="19"/>
      <c r="AR57" s="19"/>
    </row>
    <row r="58" spans="1:57" x14ac:dyDescent="0.2">
      <c r="B58" s="19"/>
      <c r="AR58" s="19"/>
    </row>
    <row r="59" spans="1:57" x14ac:dyDescent="0.2">
      <c r="B59" s="19"/>
      <c r="AR59" s="19"/>
    </row>
    <row r="60" spans="1:57" s="2" customFormat="1" ht="12.75" x14ac:dyDescent="0.2">
      <c r="A60" s="28"/>
      <c r="B60" s="29"/>
      <c r="C60" s="28"/>
      <c r="D60" s="41" t="s">
        <v>47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48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47</v>
      </c>
      <c r="AI60" s="31"/>
      <c r="AJ60" s="31"/>
      <c r="AK60" s="31"/>
      <c r="AL60" s="31"/>
      <c r="AM60" s="41" t="s">
        <v>48</v>
      </c>
      <c r="AN60" s="31"/>
      <c r="AO60" s="31"/>
      <c r="AP60" s="28"/>
      <c r="AQ60" s="28"/>
      <c r="AR60" s="29"/>
      <c r="BE60" s="28"/>
    </row>
    <row r="61" spans="1:57" x14ac:dyDescent="0.2">
      <c r="B61" s="19"/>
      <c r="AR61" s="19"/>
    </row>
    <row r="62" spans="1:57" x14ac:dyDescent="0.2">
      <c r="B62" s="19"/>
      <c r="AR62" s="19"/>
    </row>
    <row r="63" spans="1:57" x14ac:dyDescent="0.2">
      <c r="B63" s="19"/>
      <c r="AR63" s="19"/>
    </row>
    <row r="64" spans="1:57" s="2" customFormat="1" ht="12.75" x14ac:dyDescent="0.2">
      <c r="A64" s="28"/>
      <c r="B64" s="29"/>
      <c r="C64" s="28"/>
      <c r="D64" s="39" t="s">
        <v>49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50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 x14ac:dyDescent="0.2">
      <c r="B65" s="19"/>
      <c r="AR65" s="19"/>
    </row>
    <row r="66" spans="1:57" x14ac:dyDescent="0.2">
      <c r="B66" s="19"/>
      <c r="AR66" s="19"/>
    </row>
    <row r="67" spans="1:57" x14ac:dyDescent="0.2">
      <c r="B67" s="19"/>
      <c r="AR67" s="19"/>
    </row>
    <row r="68" spans="1:57" x14ac:dyDescent="0.2">
      <c r="B68" s="19"/>
      <c r="AR68" s="19"/>
    </row>
    <row r="69" spans="1:57" x14ac:dyDescent="0.2">
      <c r="B69" s="19"/>
      <c r="AR69" s="19"/>
    </row>
    <row r="70" spans="1:57" x14ac:dyDescent="0.2">
      <c r="B70" s="19"/>
      <c r="AR70" s="19"/>
    </row>
    <row r="71" spans="1:57" x14ac:dyDescent="0.2">
      <c r="B71" s="19"/>
      <c r="AR71" s="19"/>
    </row>
    <row r="72" spans="1:57" x14ac:dyDescent="0.2">
      <c r="B72" s="19"/>
      <c r="AR72" s="19"/>
    </row>
    <row r="73" spans="1:57" x14ac:dyDescent="0.2">
      <c r="B73" s="19"/>
      <c r="AR73" s="19"/>
    </row>
    <row r="74" spans="1:57" x14ac:dyDescent="0.2">
      <c r="B74" s="19"/>
      <c r="AR74" s="19"/>
    </row>
    <row r="75" spans="1:57" s="2" customFormat="1" ht="12.75" x14ac:dyDescent="0.2">
      <c r="A75" s="28"/>
      <c r="B75" s="29"/>
      <c r="C75" s="28"/>
      <c r="D75" s="41" t="s">
        <v>47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48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47</v>
      </c>
      <c r="AI75" s="31"/>
      <c r="AJ75" s="31"/>
      <c r="AK75" s="31"/>
      <c r="AL75" s="31"/>
      <c r="AM75" s="41" t="s">
        <v>48</v>
      </c>
      <c r="AN75" s="31"/>
      <c r="AO75" s="31"/>
      <c r="AP75" s="28"/>
      <c r="AQ75" s="28"/>
      <c r="AR75" s="29"/>
      <c r="BE75" s="28"/>
    </row>
    <row r="76" spans="1:57" s="2" customFormat="1" x14ac:dyDescent="0.2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0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0" s="2" customFormat="1" ht="24.95" customHeight="1" x14ac:dyDescent="0.2">
      <c r="A82" s="28"/>
      <c r="B82" s="29"/>
      <c r="C82" s="20" t="s">
        <v>51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0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0" s="4" customFormat="1" ht="12" customHeight="1" x14ac:dyDescent="0.2">
      <c r="B84" s="47"/>
      <c r="C84" s="25" t="s">
        <v>11</v>
      </c>
      <c r="AR84" s="47"/>
    </row>
    <row r="85" spans="1:90" s="5" customFormat="1" ht="36.950000000000003" customHeight="1" x14ac:dyDescent="0.2">
      <c r="B85" s="48"/>
      <c r="C85" s="49" t="s">
        <v>12</v>
      </c>
      <c r="L85" s="382" t="str">
        <f>K6</f>
        <v>MŠ Čordáková 17 - Stavebné úpravy časti priestorov</v>
      </c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R85" s="48"/>
    </row>
    <row r="86" spans="1:90" s="2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0" s="2" customFormat="1" ht="12" customHeight="1" x14ac:dyDescent="0.2">
      <c r="A87" s="28"/>
      <c r="B87" s="29"/>
      <c r="C87" s="25" t="s">
        <v>16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>Košice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5" t="s">
        <v>18</v>
      </c>
      <c r="AJ87" s="28"/>
      <c r="AK87" s="28"/>
      <c r="AL87" s="28"/>
      <c r="AM87" s="384" t="str">
        <f>IF(AN8= "","",AN8)</f>
        <v/>
      </c>
      <c r="AN87" s="384"/>
      <c r="AO87" s="28"/>
      <c r="AP87" s="28"/>
      <c r="AQ87" s="28"/>
      <c r="AR87" s="29"/>
      <c r="BE87" s="28"/>
    </row>
    <row r="88" spans="1:90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0" s="2" customFormat="1" ht="27.95" customHeight="1" x14ac:dyDescent="0.2">
      <c r="A89" s="28"/>
      <c r="B89" s="29"/>
      <c r="C89" s="25" t="s">
        <v>19</v>
      </c>
      <c r="D89" s="28"/>
      <c r="E89" s="28"/>
      <c r="F89" s="28"/>
      <c r="G89" s="28"/>
      <c r="H89" s="28"/>
      <c r="I89" s="28"/>
      <c r="J89" s="28"/>
      <c r="K89" s="28"/>
      <c r="L89" s="373" t="s">
        <v>1137</v>
      </c>
      <c r="M89" s="374"/>
      <c r="N89" s="374"/>
      <c r="O89" s="374"/>
      <c r="P89" s="374"/>
      <c r="Q89" s="374"/>
      <c r="R89" s="374"/>
      <c r="S89" s="374"/>
      <c r="T89" s="374"/>
      <c r="U89" s="374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5" t="s">
        <v>24</v>
      </c>
      <c r="AJ89" s="28"/>
      <c r="AK89" s="28"/>
      <c r="AL89" s="28"/>
      <c r="AM89" s="385" t="str">
        <f>IF(E17="","",E17)</f>
        <v>Ing. Marta Tomková, T.D.LINE s.r.o.</v>
      </c>
      <c r="AN89" s="386"/>
      <c r="AO89" s="386"/>
      <c r="AP89" s="386"/>
      <c r="AQ89" s="28"/>
      <c r="AR89" s="29"/>
      <c r="AS89" s="389" t="s">
        <v>52</v>
      </c>
      <c r="AT89" s="390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0" s="2" customFormat="1" ht="27.95" customHeight="1" x14ac:dyDescent="0.2">
      <c r="A90" s="28"/>
      <c r="B90" s="29"/>
      <c r="C90" s="25" t="s">
        <v>23</v>
      </c>
      <c r="D90" s="28"/>
      <c r="E90" s="28"/>
      <c r="F90" s="28"/>
      <c r="G90" s="28"/>
      <c r="H90" s="28"/>
      <c r="I90" s="28"/>
      <c r="J90" s="28"/>
      <c r="K90" s="28"/>
      <c r="L90" s="4" t="str">
        <f>IF(E14="","",E14)</f>
        <v xml:space="preserve"> </v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5" t="s">
        <v>29</v>
      </c>
      <c r="AJ90" s="28"/>
      <c r="AK90" s="28"/>
      <c r="AL90" s="28"/>
      <c r="AM90" s="385" t="str">
        <f>IF(E20="","",E20)</f>
        <v/>
      </c>
      <c r="AN90" s="386"/>
      <c r="AO90" s="386"/>
      <c r="AP90" s="386"/>
      <c r="AQ90" s="28"/>
      <c r="AR90" s="29"/>
      <c r="AS90" s="391"/>
      <c r="AT90" s="392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0" s="2" customFormat="1" ht="10.9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391"/>
      <c r="AT91" s="392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0" s="2" customFormat="1" ht="29.25" customHeight="1" x14ac:dyDescent="0.2">
      <c r="A92" s="28"/>
      <c r="B92" s="29"/>
      <c r="C92" s="393" t="s">
        <v>53</v>
      </c>
      <c r="D92" s="394"/>
      <c r="E92" s="394"/>
      <c r="F92" s="394"/>
      <c r="G92" s="394"/>
      <c r="H92" s="56"/>
      <c r="I92" s="395" t="s">
        <v>54</v>
      </c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94"/>
      <c r="AF92" s="394"/>
      <c r="AG92" s="396" t="s">
        <v>55</v>
      </c>
      <c r="AH92" s="394"/>
      <c r="AI92" s="394"/>
      <c r="AJ92" s="394"/>
      <c r="AK92" s="394"/>
      <c r="AL92" s="394"/>
      <c r="AM92" s="394"/>
      <c r="AN92" s="395" t="s">
        <v>56</v>
      </c>
      <c r="AO92" s="394"/>
      <c r="AP92" s="397"/>
      <c r="AQ92" s="57" t="s">
        <v>57</v>
      </c>
      <c r="AR92" s="29"/>
      <c r="AS92" s="58" t="s">
        <v>58</v>
      </c>
      <c r="AT92" s="59" t="s">
        <v>59</v>
      </c>
      <c r="AU92" s="59" t="s">
        <v>60</v>
      </c>
      <c r="AV92" s="59" t="s">
        <v>61</v>
      </c>
      <c r="AW92" s="59" t="s">
        <v>62</v>
      </c>
      <c r="AX92" s="59" t="s">
        <v>63</v>
      </c>
      <c r="AY92" s="59" t="s">
        <v>64</v>
      </c>
      <c r="AZ92" s="59" t="s">
        <v>65</v>
      </c>
      <c r="BA92" s="59" t="s">
        <v>66</v>
      </c>
      <c r="BB92" s="59" t="s">
        <v>67</v>
      </c>
      <c r="BC92" s="59" t="s">
        <v>68</v>
      </c>
      <c r="BD92" s="60" t="s">
        <v>69</v>
      </c>
      <c r="BE92" s="28"/>
    </row>
    <row r="93" spans="1:90" s="2" customFormat="1" ht="10.9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0" s="6" customFormat="1" ht="32.450000000000003" customHeight="1" x14ac:dyDescent="0.2">
      <c r="B94" s="64"/>
      <c r="C94" s="65" t="s">
        <v>70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387">
        <f>AG95+AG96+AG97+AG98+AG99</f>
        <v>0</v>
      </c>
      <c r="AH94" s="387"/>
      <c r="AI94" s="387"/>
      <c r="AJ94" s="387"/>
      <c r="AK94" s="387"/>
      <c r="AL94" s="387"/>
      <c r="AM94" s="387"/>
      <c r="AN94" s="388">
        <f>AN95+AN96+AN97+AN98+AN99</f>
        <v>0</v>
      </c>
      <c r="AO94" s="388"/>
      <c r="AP94" s="388"/>
      <c r="AQ94" s="68" t="s">
        <v>1</v>
      </c>
      <c r="AR94" s="64"/>
      <c r="AS94" s="69">
        <f>ROUND(AS95,2)</f>
        <v>0</v>
      </c>
      <c r="AT94" s="70">
        <f t="shared" ref="AT94:AT99" si="0">ROUND(SUM(AV94:AW94),2)</f>
        <v>0</v>
      </c>
      <c r="AU94" s="71" t="e">
        <f>ROUND(AU95,5)</f>
        <v>#REF!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71</v>
      </c>
      <c r="BT94" s="73" t="s">
        <v>72</v>
      </c>
      <c r="BV94" s="73" t="s">
        <v>73</v>
      </c>
      <c r="BW94" s="73" t="s">
        <v>4</v>
      </c>
      <c r="BX94" s="73" t="s">
        <v>74</v>
      </c>
      <c r="CL94" s="73" t="s">
        <v>1</v>
      </c>
    </row>
    <row r="95" spans="1:90" s="7" customFormat="1" ht="27" customHeight="1" x14ac:dyDescent="0.2">
      <c r="A95" s="74" t="s">
        <v>75</v>
      </c>
      <c r="B95" s="75"/>
      <c r="C95" s="76"/>
      <c r="D95" s="376" t="s">
        <v>508</v>
      </c>
      <c r="E95" s="377"/>
      <c r="F95" s="377"/>
      <c r="G95" s="377"/>
      <c r="H95" s="377"/>
      <c r="I95" s="77"/>
      <c r="J95" s="378" t="s">
        <v>13</v>
      </c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8"/>
      <c r="Y95" s="378"/>
      <c r="Z95" s="378"/>
      <c r="AA95" s="378"/>
      <c r="AB95" s="378"/>
      <c r="AC95" s="378"/>
      <c r="AD95" s="378"/>
      <c r="AE95" s="378"/>
      <c r="AF95" s="378"/>
      <c r="AG95" s="380">
        <f>'01- MŠ Čordáková 1...'!J28</f>
        <v>0</v>
      </c>
      <c r="AH95" s="381"/>
      <c r="AI95" s="381"/>
      <c r="AJ95" s="381"/>
      <c r="AK95" s="381"/>
      <c r="AL95" s="381"/>
      <c r="AM95" s="381"/>
      <c r="AN95" s="380">
        <f>AG95*1.2</f>
        <v>0</v>
      </c>
      <c r="AO95" s="381"/>
      <c r="AP95" s="381"/>
      <c r="AQ95" s="78" t="s">
        <v>76</v>
      </c>
      <c r="AR95" s="75"/>
      <c r="AS95" s="79">
        <v>0</v>
      </c>
      <c r="AT95" s="80">
        <f t="shared" si="0"/>
        <v>0</v>
      </c>
      <c r="AU95" s="81" t="e">
        <f>'01- MŠ Čordáková 1...'!P129</f>
        <v>#REF!</v>
      </c>
      <c r="AV95" s="80">
        <f>'01- MŠ Čordáková 1...'!J31</f>
        <v>0</v>
      </c>
      <c r="AW95" s="80">
        <f>'01- MŠ Čordáková 1...'!J32</f>
        <v>0</v>
      </c>
      <c r="AX95" s="80">
        <f>'01- MŠ Čordáková 1...'!J33</f>
        <v>0</v>
      </c>
      <c r="AY95" s="80">
        <f>'01- MŠ Čordáková 1...'!J34</f>
        <v>0</v>
      </c>
      <c r="AZ95" s="80">
        <f>'01- MŠ Čordáková 1...'!F31</f>
        <v>0</v>
      </c>
      <c r="BA95" s="80">
        <f>'01- MŠ Čordáková 1...'!F32</f>
        <v>0</v>
      </c>
      <c r="BB95" s="80">
        <f>'01- MŠ Čordáková 1...'!F33</f>
        <v>0</v>
      </c>
      <c r="BC95" s="80">
        <f>'01- MŠ Čordáková 1...'!F34</f>
        <v>0</v>
      </c>
      <c r="BD95" s="82">
        <f>'01- MŠ Čordáková 1...'!F35</f>
        <v>0</v>
      </c>
      <c r="BT95" s="83" t="s">
        <v>77</v>
      </c>
      <c r="BU95" s="83" t="s">
        <v>78</v>
      </c>
      <c r="BV95" s="83" t="s">
        <v>73</v>
      </c>
      <c r="BW95" s="83" t="s">
        <v>4</v>
      </c>
      <c r="BX95" s="83" t="s">
        <v>74</v>
      </c>
      <c r="CL95" s="83" t="s">
        <v>1</v>
      </c>
    </row>
    <row r="96" spans="1:90" s="7" customFormat="1" ht="27" customHeight="1" x14ac:dyDescent="0.2">
      <c r="A96" s="74" t="s">
        <v>75</v>
      </c>
      <c r="B96" s="75"/>
      <c r="C96" s="76"/>
      <c r="D96" s="376" t="s">
        <v>509</v>
      </c>
      <c r="E96" s="377"/>
      <c r="F96" s="377"/>
      <c r="G96" s="377"/>
      <c r="H96" s="377"/>
      <c r="I96" s="199"/>
      <c r="J96" s="379" t="s">
        <v>768</v>
      </c>
      <c r="K96" s="378"/>
      <c r="L96" s="378"/>
      <c r="M96" s="378"/>
      <c r="N96" s="378"/>
      <c r="O96" s="378"/>
      <c r="P96" s="378"/>
      <c r="Q96" s="378"/>
      <c r="R96" s="378"/>
      <c r="S96" s="378"/>
      <c r="T96" s="378"/>
      <c r="U96" s="378"/>
      <c r="V96" s="378"/>
      <c r="W96" s="378"/>
      <c r="X96" s="378"/>
      <c r="Y96" s="378"/>
      <c r="Z96" s="378"/>
      <c r="AA96" s="378"/>
      <c r="AB96" s="378"/>
      <c r="AC96" s="378"/>
      <c r="AD96" s="378"/>
      <c r="AE96" s="378"/>
      <c r="AF96" s="378"/>
      <c r="AG96" s="380">
        <f>'02 ZTI - Rekonštrukcia čas...'!J30</f>
        <v>0</v>
      </c>
      <c r="AH96" s="381"/>
      <c r="AI96" s="381"/>
      <c r="AJ96" s="381"/>
      <c r="AK96" s="381"/>
      <c r="AL96" s="381"/>
      <c r="AM96" s="381"/>
      <c r="AN96" s="380">
        <f>AG96*1.2</f>
        <v>0</v>
      </c>
      <c r="AO96" s="381"/>
      <c r="AP96" s="381"/>
      <c r="AQ96" s="78" t="s">
        <v>76</v>
      </c>
      <c r="AR96" s="75"/>
      <c r="AS96" s="79">
        <v>0</v>
      </c>
      <c r="AT96" s="80">
        <f t="shared" si="0"/>
        <v>0</v>
      </c>
      <c r="AU96" s="81" t="e">
        <f>'01- MŠ Čordáková 1...'!P129</f>
        <v>#REF!</v>
      </c>
      <c r="AV96" s="80">
        <f>'01- MŠ Čordáková 1...'!J31</f>
        <v>0</v>
      </c>
      <c r="AW96" s="80">
        <f>'01- MŠ Čordáková 1...'!J32</f>
        <v>0</v>
      </c>
      <c r="AX96" s="80">
        <f>'01- MŠ Čordáková 1...'!J33</f>
        <v>0</v>
      </c>
      <c r="AY96" s="80">
        <f>'01- MŠ Čordáková 1...'!J34</f>
        <v>0</v>
      </c>
      <c r="AZ96" s="80">
        <f>'01- MŠ Čordáková 1...'!F31</f>
        <v>0</v>
      </c>
      <c r="BA96" s="80">
        <f>'01- MŠ Čordáková 1...'!F32</f>
        <v>0</v>
      </c>
      <c r="BB96" s="80">
        <f>'01- MŠ Čordáková 1...'!F33</f>
        <v>0</v>
      </c>
      <c r="BC96" s="80">
        <f>'01- MŠ Čordáková 1...'!F34</f>
        <v>0</v>
      </c>
      <c r="BD96" s="82">
        <f>'01- MŠ Čordáková 1...'!F35</f>
        <v>0</v>
      </c>
      <c r="BT96" s="83" t="s">
        <v>77</v>
      </c>
      <c r="BU96" s="83" t="s">
        <v>78</v>
      </c>
      <c r="BV96" s="83" t="s">
        <v>73</v>
      </c>
      <c r="BW96" s="83" t="s">
        <v>4</v>
      </c>
      <c r="BX96" s="83" t="s">
        <v>74</v>
      </c>
      <c r="CL96" s="83" t="s">
        <v>1</v>
      </c>
    </row>
    <row r="97" spans="1:90" s="7" customFormat="1" ht="27" customHeight="1" x14ac:dyDescent="0.2">
      <c r="A97" s="74" t="s">
        <v>75</v>
      </c>
      <c r="B97" s="75"/>
      <c r="C97" s="76"/>
      <c r="D97" s="376" t="s">
        <v>1000</v>
      </c>
      <c r="E97" s="377"/>
      <c r="F97" s="377"/>
      <c r="G97" s="377"/>
      <c r="H97" s="377"/>
      <c r="I97" s="189"/>
      <c r="J97" s="379" t="s">
        <v>510</v>
      </c>
      <c r="K97" s="378"/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8"/>
      <c r="Y97" s="378"/>
      <c r="Z97" s="378"/>
      <c r="AA97" s="378"/>
      <c r="AB97" s="378"/>
      <c r="AC97" s="378"/>
      <c r="AD97" s="378"/>
      <c r="AE97" s="378"/>
      <c r="AF97" s="378"/>
      <c r="AG97" s="380">
        <f>'03 ELI MŠ Čordákova'!J32</f>
        <v>0</v>
      </c>
      <c r="AH97" s="381"/>
      <c r="AI97" s="381"/>
      <c r="AJ97" s="381"/>
      <c r="AK97" s="381"/>
      <c r="AL97" s="381"/>
      <c r="AM97" s="381"/>
      <c r="AN97" s="380">
        <f>AG97*1.2</f>
        <v>0</v>
      </c>
      <c r="AO97" s="381"/>
      <c r="AP97" s="381"/>
      <c r="AQ97" s="78" t="s">
        <v>76</v>
      </c>
      <c r="AR97" s="75"/>
      <c r="AS97" s="79">
        <v>0</v>
      </c>
      <c r="AT97" s="80">
        <f t="shared" si="0"/>
        <v>0</v>
      </c>
      <c r="AU97" s="81">
        <f>'01- MŠ Čordáková 1...'!P130</f>
        <v>641.63935732999994</v>
      </c>
      <c r="AV97" s="80">
        <f>'01- MŠ Čordáková 1...'!J32</f>
        <v>0</v>
      </c>
      <c r="AW97" s="80">
        <f>'01- MŠ Čordáková 1...'!J33</f>
        <v>0</v>
      </c>
      <c r="AX97" s="80">
        <f>'01- MŠ Čordáková 1...'!J34</f>
        <v>0</v>
      </c>
      <c r="AY97" s="80">
        <f>'01- MŠ Čordáková 1...'!J35</f>
        <v>0</v>
      </c>
      <c r="AZ97" s="80">
        <f>'01- MŠ Čordáková 1...'!F32</f>
        <v>0</v>
      </c>
      <c r="BA97" s="80">
        <f>'01- MŠ Čordáková 1...'!F33</f>
        <v>0</v>
      </c>
      <c r="BB97" s="80">
        <f>'01- MŠ Čordáková 1...'!F34</f>
        <v>0</v>
      </c>
      <c r="BC97" s="80">
        <f>'01- MŠ Čordáková 1...'!F35</f>
        <v>0</v>
      </c>
      <c r="BD97" s="82">
        <f>'01- MŠ Čordáková 1...'!F36</f>
        <v>0</v>
      </c>
      <c r="BT97" s="83" t="s">
        <v>77</v>
      </c>
      <c r="BU97" s="83" t="s">
        <v>78</v>
      </c>
      <c r="BV97" s="83" t="s">
        <v>73</v>
      </c>
      <c r="BW97" s="83" t="s">
        <v>4</v>
      </c>
      <c r="BX97" s="83" t="s">
        <v>74</v>
      </c>
      <c r="CL97" s="83" t="s">
        <v>1</v>
      </c>
    </row>
    <row r="98" spans="1:90" s="7" customFormat="1" ht="27" customHeight="1" x14ac:dyDescent="0.2">
      <c r="A98" s="74" t="s">
        <v>75</v>
      </c>
      <c r="B98" s="75"/>
      <c r="C98" s="76"/>
      <c r="D98" s="376" t="s">
        <v>1001</v>
      </c>
      <c r="E98" s="377"/>
      <c r="F98" s="377"/>
      <c r="G98" s="377"/>
      <c r="H98" s="377"/>
      <c r="I98" s="199"/>
      <c r="J98" s="379" t="s">
        <v>1002</v>
      </c>
      <c r="K98" s="378"/>
      <c r="L98" s="378"/>
      <c r="M98" s="378"/>
      <c r="N98" s="378"/>
      <c r="O98" s="378"/>
      <c r="P98" s="378"/>
      <c r="Q98" s="378"/>
      <c r="R98" s="378"/>
      <c r="S98" s="378"/>
      <c r="T98" s="378"/>
      <c r="U98" s="378"/>
      <c r="V98" s="378"/>
      <c r="W98" s="378"/>
      <c r="X98" s="378"/>
      <c r="Y98" s="378"/>
      <c r="Z98" s="378"/>
      <c r="AA98" s="378"/>
      <c r="AB98" s="378"/>
      <c r="AC98" s="378"/>
      <c r="AD98" s="378"/>
      <c r="AE98" s="378"/>
      <c r="AF98" s="378"/>
      <c r="AG98" s="380">
        <f>'04 - Obvodový plášť...'!J32</f>
        <v>0</v>
      </c>
      <c r="AH98" s="381"/>
      <c r="AI98" s="381"/>
      <c r="AJ98" s="381"/>
      <c r="AK98" s="381"/>
      <c r="AL98" s="381"/>
      <c r="AM98" s="381"/>
      <c r="AN98" s="380">
        <f>AG98*1.2</f>
        <v>0</v>
      </c>
      <c r="AO98" s="381"/>
      <c r="AP98" s="381"/>
      <c r="AQ98" s="78" t="s">
        <v>76</v>
      </c>
      <c r="AR98" s="75"/>
      <c r="AS98" s="79">
        <v>0</v>
      </c>
      <c r="AT98" s="80">
        <f t="shared" si="0"/>
        <v>0</v>
      </c>
      <c r="AU98" s="81">
        <f>'01- MŠ Čordáková 1...'!P131</f>
        <v>2.2917083499999999</v>
      </c>
      <c r="AV98" s="80">
        <f>'01- MŠ Čordáková 1...'!J33</f>
        <v>0</v>
      </c>
      <c r="AW98" s="80">
        <f>'01- MŠ Čordáková 1...'!J34</f>
        <v>0</v>
      </c>
      <c r="AX98" s="80">
        <f>'01- MŠ Čordáková 1...'!J35</f>
        <v>0</v>
      </c>
      <c r="AY98" s="80">
        <f>'01- MŠ Čordáková 1...'!J36</f>
        <v>0</v>
      </c>
      <c r="AZ98" s="80">
        <f>'01- MŠ Čordáková 1...'!F33</f>
        <v>0</v>
      </c>
      <c r="BA98" s="80">
        <f>'01- MŠ Čordáková 1...'!F34</f>
        <v>0</v>
      </c>
      <c r="BB98" s="80">
        <f>'01- MŠ Čordáková 1...'!F35</f>
        <v>0</v>
      </c>
      <c r="BC98" s="80">
        <f>'01- MŠ Čordáková 1...'!F36</f>
        <v>0</v>
      </c>
      <c r="BD98" s="82">
        <f>'01- MŠ Čordáková 1...'!F37</f>
        <v>0</v>
      </c>
      <c r="BT98" s="83" t="s">
        <v>77</v>
      </c>
      <c r="BU98" s="83" t="s">
        <v>78</v>
      </c>
      <c r="BV98" s="83" t="s">
        <v>73</v>
      </c>
      <c r="BW98" s="83" t="s">
        <v>4</v>
      </c>
      <c r="BX98" s="83" t="s">
        <v>74</v>
      </c>
      <c r="CL98" s="83" t="s">
        <v>1</v>
      </c>
    </row>
    <row r="99" spans="1:90" s="7" customFormat="1" ht="27" customHeight="1" x14ac:dyDescent="0.2">
      <c r="A99" s="74" t="s">
        <v>75</v>
      </c>
      <c r="B99" s="75"/>
      <c r="C99" s="76"/>
      <c r="D99" s="376" t="s">
        <v>1115</v>
      </c>
      <c r="E99" s="377"/>
      <c r="F99" s="377"/>
      <c r="G99" s="377"/>
      <c r="H99" s="377"/>
      <c r="I99" s="363"/>
      <c r="J99" s="379" t="s">
        <v>1116</v>
      </c>
      <c r="K99" s="378"/>
      <c r="L99" s="378"/>
      <c r="M99" s="378"/>
      <c r="N99" s="378"/>
      <c r="O99" s="378"/>
      <c r="P99" s="378"/>
      <c r="Q99" s="378"/>
      <c r="R99" s="378"/>
      <c r="S99" s="378"/>
      <c r="T99" s="378"/>
      <c r="U99" s="378"/>
      <c r="V99" s="378"/>
      <c r="W99" s="378"/>
      <c r="X99" s="378"/>
      <c r="Y99" s="378"/>
      <c r="Z99" s="378"/>
      <c r="AA99" s="378"/>
      <c r="AB99" s="378"/>
      <c r="AC99" s="378"/>
      <c r="AD99" s="378"/>
      <c r="AE99" s="378"/>
      <c r="AF99" s="378"/>
      <c r="AG99" s="380">
        <f>'05 Ležatá kanalizácia'!J108</f>
        <v>0</v>
      </c>
      <c r="AH99" s="381"/>
      <c r="AI99" s="381"/>
      <c r="AJ99" s="381"/>
      <c r="AK99" s="381"/>
      <c r="AL99" s="381"/>
      <c r="AM99" s="381"/>
      <c r="AN99" s="380">
        <f>AG99*1.2</f>
        <v>0</v>
      </c>
      <c r="AO99" s="381"/>
      <c r="AP99" s="381"/>
      <c r="AQ99" s="78" t="s">
        <v>76</v>
      </c>
      <c r="AR99" s="75"/>
      <c r="AS99" s="79">
        <v>0</v>
      </c>
      <c r="AT99" s="80">
        <f t="shared" si="0"/>
        <v>0</v>
      </c>
      <c r="AU99" s="81">
        <f>'01- MŠ Čordáková 1...'!P132</f>
        <v>1.46698335</v>
      </c>
      <c r="AV99" s="80">
        <f>'01- MŠ Čordáková 1...'!J34</f>
        <v>0</v>
      </c>
      <c r="AW99" s="80">
        <f>'01- MŠ Čordáková 1...'!J35</f>
        <v>0</v>
      </c>
      <c r="AX99" s="80">
        <f>'01- MŠ Čordáková 1...'!J36</f>
        <v>0</v>
      </c>
      <c r="AY99" s="80">
        <f>'01- MŠ Čordáková 1...'!J37</f>
        <v>0</v>
      </c>
      <c r="AZ99" s="80">
        <f>'01- MŠ Čordáková 1...'!F34</f>
        <v>0</v>
      </c>
      <c r="BA99" s="80">
        <f>'01- MŠ Čordáková 1...'!F35</f>
        <v>0</v>
      </c>
      <c r="BB99" s="80">
        <f>'01- MŠ Čordáková 1...'!F36</f>
        <v>0</v>
      </c>
      <c r="BC99" s="80">
        <f>'01- MŠ Čordáková 1...'!F37</f>
        <v>0</v>
      </c>
      <c r="BD99" s="82">
        <f>'01- MŠ Čordáková 1...'!F38</f>
        <v>0</v>
      </c>
      <c r="BT99" s="83" t="s">
        <v>77</v>
      </c>
      <c r="BU99" s="83" t="s">
        <v>78</v>
      </c>
      <c r="BV99" s="83" t="s">
        <v>73</v>
      </c>
      <c r="BW99" s="83" t="s">
        <v>4</v>
      </c>
      <c r="BX99" s="83" t="s">
        <v>74</v>
      </c>
      <c r="CL99" s="83" t="s">
        <v>1</v>
      </c>
    </row>
    <row r="100" spans="1:90" s="2" customFormat="1" ht="30" customHeight="1" x14ac:dyDescent="0.2">
      <c r="A100" s="28"/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9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90" s="2" customFormat="1" ht="6.95" customHeight="1" x14ac:dyDescent="0.2">
      <c r="A101" s="28"/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29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</sheetData>
  <mergeCells count="56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E2"/>
    <mergeCell ref="E23:AN23"/>
    <mergeCell ref="AK26:AO26"/>
    <mergeCell ref="AS89:AT91"/>
    <mergeCell ref="AM90:AP90"/>
    <mergeCell ref="C92:G92"/>
    <mergeCell ref="I92:AF92"/>
    <mergeCell ref="AG92:AM92"/>
    <mergeCell ref="AN92:AP92"/>
    <mergeCell ref="L85:AO85"/>
    <mergeCell ref="AM87:AN87"/>
    <mergeCell ref="AM89:AP89"/>
    <mergeCell ref="AN95:AP95"/>
    <mergeCell ref="AG95:AM95"/>
    <mergeCell ref="AG94:AM94"/>
    <mergeCell ref="AN94:AP94"/>
    <mergeCell ref="AN96:AP96"/>
    <mergeCell ref="D99:H99"/>
    <mergeCell ref="J99:AF99"/>
    <mergeCell ref="AG99:AM99"/>
    <mergeCell ref="AN99:AP99"/>
    <mergeCell ref="AN98:AP98"/>
    <mergeCell ref="AN97:AP97"/>
    <mergeCell ref="D95:H95"/>
    <mergeCell ref="J95:AF95"/>
    <mergeCell ref="D98:H98"/>
    <mergeCell ref="J98:AF98"/>
    <mergeCell ref="AG98:AM98"/>
    <mergeCell ref="D97:H97"/>
    <mergeCell ref="J97:AF97"/>
    <mergeCell ref="AG97:AM97"/>
    <mergeCell ref="D96:H96"/>
    <mergeCell ref="J96:AF96"/>
    <mergeCell ref="AG96:AM96"/>
  </mergeCells>
  <hyperlinks>
    <hyperlink ref="A95" location="'2019-044 - MŠ Čordáková 1...'!C2" display="/" xr:uid="{00000000-0004-0000-0000-000000000000}"/>
    <hyperlink ref="A97" location="'2019-044 - MŠ Čordáková 1...'!C2" display="/" xr:uid="{00000000-0004-0000-0000-000001000000}"/>
    <hyperlink ref="A96" location="'2019-044 - MŠ Čordáková 1...'!C2" display="/" xr:uid="{00000000-0004-0000-0000-000002000000}"/>
    <hyperlink ref="A98" location="'2019-044 - MŠ Čordáková 1...'!C2" display="/" xr:uid="{00000000-0004-0000-0000-000003000000}"/>
    <hyperlink ref="A99" location="'2019-044 - MŠ Čordáková 1...'!C2" display="/" xr:uid="{0254E432-B3C7-41EA-91BB-4ED611B7EDFD}"/>
  </hyperlinks>
  <pageMargins left="0.39374999999999999" right="0.39374999999999999" top="0.39374999999999999" bottom="0.39374999999999999" header="0" footer="0"/>
  <pageSetup paperSize="9" scale="75" fitToHeight="100" orientation="portrait" blackAndWhite="1" copies="2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364"/>
  <sheetViews>
    <sheetView showGridLines="0" topLeftCell="A363" workbookViewId="0">
      <selection activeCell="V128" sqref="V12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6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20.33203125" style="178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4"/>
    </row>
    <row r="2" spans="1:46" s="1" customFormat="1" ht="36.950000000000003" customHeight="1" x14ac:dyDescent="0.2">
      <c r="L2" s="401" t="s">
        <v>5</v>
      </c>
      <c r="M2" s="399"/>
      <c r="N2" s="399"/>
      <c r="O2" s="399"/>
      <c r="P2" s="399"/>
      <c r="Q2" s="399"/>
      <c r="R2" s="399"/>
      <c r="S2" s="399"/>
      <c r="T2" s="399"/>
      <c r="U2" s="399"/>
      <c r="V2" s="399"/>
      <c r="AT2" s="16" t="s">
        <v>4</v>
      </c>
    </row>
    <row r="3" spans="1:46" s="1" customFormat="1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V3" s="178"/>
      <c r="AT3" s="16" t="s">
        <v>72</v>
      </c>
    </row>
    <row r="4" spans="1:46" s="1" customFormat="1" ht="24.95" customHeight="1" x14ac:dyDescent="0.2">
      <c r="B4" s="19"/>
      <c r="D4" s="20" t="s">
        <v>1134</v>
      </c>
      <c r="L4" s="19"/>
      <c r="M4" s="85" t="s">
        <v>9</v>
      </c>
      <c r="V4" s="178"/>
      <c r="AT4" s="16" t="s">
        <v>3</v>
      </c>
    </row>
    <row r="5" spans="1:46" s="1" customFormat="1" ht="6.95" customHeight="1" x14ac:dyDescent="0.2">
      <c r="B5" s="19"/>
      <c r="L5" s="19"/>
      <c r="V5" s="178"/>
    </row>
    <row r="6" spans="1:46" s="2" customFormat="1" ht="12" customHeight="1" x14ac:dyDescent="0.2">
      <c r="A6" s="28"/>
      <c r="B6" s="29"/>
      <c r="C6" s="28"/>
      <c r="D6" s="25" t="s">
        <v>12</v>
      </c>
      <c r="E6" s="28"/>
      <c r="F6" s="28"/>
      <c r="G6" s="28"/>
      <c r="H6" s="28"/>
      <c r="I6" s="28"/>
      <c r="J6" s="28"/>
      <c r="K6" s="28"/>
      <c r="L6" s="38"/>
      <c r="S6" s="28"/>
      <c r="T6" s="28"/>
      <c r="U6" s="28"/>
      <c r="V6" s="179"/>
      <c r="W6" s="28"/>
      <c r="X6" s="28"/>
      <c r="Y6" s="28"/>
      <c r="Z6" s="28"/>
      <c r="AA6" s="28"/>
      <c r="AB6" s="28"/>
      <c r="AC6" s="28"/>
      <c r="AD6" s="28"/>
      <c r="AE6" s="28"/>
    </row>
    <row r="7" spans="1:46" s="2" customFormat="1" ht="16.5" customHeight="1" x14ac:dyDescent="0.2">
      <c r="A7" s="28"/>
      <c r="B7" s="29"/>
      <c r="C7" s="28"/>
      <c r="D7" s="28"/>
      <c r="E7" s="382" t="s">
        <v>13</v>
      </c>
      <c r="F7" s="413"/>
      <c r="G7" s="413"/>
      <c r="H7" s="413"/>
      <c r="I7" s="28"/>
      <c r="J7" s="28"/>
      <c r="K7" s="28"/>
      <c r="L7" s="38"/>
      <c r="S7" s="28"/>
      <c r="T7" s="28"/>
      <c r="U7" s="28"/>
      <c r="V7" s="179"/>
      <c r="W7" s="28"/>
      <c r="X7" s="28"/>
      <c r="Y7" s="28"/>
      <c r="Z7" s="28"/>
      <c r="AA7" s="28"/>
      <c r="AB7" s="28"/>
      <c r="AC7" s="28"/>
      <c r="AD7" s="28"/>
      <c r="AE7" s="28"/>
    </row>
    <row r="8" spans="1:46" s="2" customFormat="1" x14ac:dyDescent="0.2">
      <c r="A8" s="28"/>
      <c r="B8" s="29"/>
      <c r="C8" s="28"/>
      <c r="D8" s="28"/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179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2" customHeight="1" x14ac:dyDescent="0.2">
      <c r="A9" s="28"/>
      <c r="B9" s="29"/>
      <c r="C9" s="28"/>
      <c r="D9" s="25" t="s">
        <v>14</v>
      </c>
      <c r="E9" s="28"/>
      <c r="F9" s="23" t="s">
        <v>1</v>
      </c>
      <c r="G9" s="28"/>
      <c r="H9" s="28"/>
      <c r="I9" s="25" t="s">
        <v>15</v>
      </c>
      <c r="J9" s="23" t="s">
        <v>1</v>
      </c>
      <c r="K9" s="28"/>
      <c r="L9" s="38"/>
      <c r="S9" s="28"/>
      <c r="T9" s="28"/>
      <c r="U9" s="28"/>
      <c r="V9" s="179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 ht="12" customHeight="1" x14ac:dyDescent="0.2">
      <c r="A10" s="28"/>
      <c r="B10" s="29"/>
      <c r="C10" s="28"/>
      <c r="D10" s="25" t="s">
        <v>16</v>
      </c>
      <c r="E10" s="28"/>
      <c r="F10" s="23" t="s">
        <v>17</v>
      </c>
      <c r="G10" s="28"/>
      <c r="H10" s="28"/>
      <c r="I10" s="25" t="s">
        <v>18</v>
      </c>
      <c r="J10" s="51"/>
      <c r="K10" s="28"/>
      <c r="L10" s="38"/>
      <c r="S10" s="28"/>
      <c r="T10" s="28"/>
      <c r="U10" s="28"/>
      <c r="V10" s="179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0.9" customHeight="1" x14ac:dyDescent="0.2">
      <c r="A11" s="28"/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38"/>
      <c r="S11" s="28"/>
      <c r="T11" s="28"/>
      <c r="U11" s="28"/>
      <c r="V11" s="179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 x14ac:dyDescent="0.2">
      <c r="A12" s="28"/>
      <c r="B12" s="29"/>
      <c r="C12" s="28"/>
      <c r="D12" s="25" t="s">
        <v>19</v>
      </c>
      <c r="E12" s="28"/>
      <c r="F12" s="375" t="s">
        <v>1137</v>
      </c>
      <c r="G12" s="28"/>
      <c r="H12" s="28"/>
      <c r="I12" s="25" t="s">
        <v>20</v>
      </c>
      <c r="J12" s="23" t="str">
        <f>IF('Rekapitulácia stavby'!AN10="","",'Rekapitulácia stavby'!AN10)</f>
        <v/>
      </c>
      <c r="K12" s="28"/>
      <c r="L12" s="38"/>
      <c r="S12" s="28"/>
      <c r="T12" s="28"/>
      <c r="U12" s="28"/>
      <c r="V12" s="179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8" customHeight="1" x14ac:dyDescent="0.2">
      <c r="A13" s="28"/>
      <c r="B13" s="29"/>
      <c r="C13" s="28"/>
      <c r="D13" s="28"/>
      <c r="E13" s="23" t="str">
        <f>IF('Rekapitulácia stavby'!E11="","",'Rekapitulácia stavby'!E11)</f>
        <v xml:space="preserve"> </v>
      </c>
      <c r="F13" s="28"/>
      <c r="G13" s="28"/>
      <c r="H13" s="28"/>
      <c r="I13" s="25" t="s">
        <v>22</v>
      </c>
      <c r="J13" s="23" t="str">
        <f>IF('Rekapitulácia stavby'!AN11="","",'Rekapitulácia stavby'!AN11)</f>
        <v/>
      </c>
      <c r="K13" s="28"/>
      <c r="L13" s="38"/>
      <c r="S13" s="28"/>
      <c r="T13" s="28"/>
      <c r="U13" s="28"/>
      <c r="V13" s="179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6.95" customHeight="1" x14ac:dyDescent="0.2">
      <c r="A14" s="28"/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38"/>
      <c r="S14" s="28"/>
      <c r="T14" s="28"/>
      <c r="U14" s="28"/>
      <c r="V14" s="179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2" customHeight="1" x14ac:dyDescent="0.2">
      <c r="A15" s="28"/>
      <c r="B15" s="29"/>
      <c r="C15" s="28"/>
      <c r="D15" s="25" t="s">
        <v>23</v>
      </c>
      <c r="E15" s="28"/>
      <c r="F15" s="28"/>
      <c r="G15" s="28"/>
      <c r="H15" s="28"/>
      <c r="I15" s="25" t="s">
        <v>20</v>
      </c>
      <c r="J15" s="23" t="str">
        <f>'Rekapitulácia stavby'!AN13</f>
        <v/>
      </c>
      <c r="K15" s="28"/>
      <c r="L15" s="38"/>
      <c r="S15" s="28"/>
      <c r="T15" s="28"/>
      <c r="U15" s="28"/>
      <c r="V15" s="179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18" customHeight="1" x14ac:dyDescent="0.2">
      <c r="A16" s="28"/>
      <c r="B16" s="29"/>
      <c r="C16" s="28"/>
      <c r="D16" s="28"/>
      <c r="E16" s="398" t="str">
        <f>'Rekapitulácia stavby'!E14</f>
        <v xml:space="preserve"> </v>
      </c>
      <c r="F16" s="398"/>
      <c r="G16" s="398"/>
      <c r="H16" s="398"/>
      <c r="I16" s="25" t="s">
        <v>22</v>
      </c>
      <c r="J16" s="23" t="str">
        <f>'Rekapitulácia stavby'!AN14</f>
        <v/>
      </c>
      <c r="K16" s="28"/>
      <c r="L16" s="38"/>
      <c r="S16" s="28"/>
      <c r="T16" s="28"/>
      <c r="U16" s="28"/>
      <c r="V16" s="179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6.95" customHeight="1" x14ac:dyDescent="0.2">
      <c r="A17" s="28"/>
      <c r="B17" s="29"/>
      <c r="C17" s="28"/>
      <c r="D17" s="28"/>
      <c r="E17" s="28"/>
      <c r="F17" s="28"/>
      <c r="G17" s="28"/>
      <c r="H17" s="28"/>
      <c r="I17" s="28"/>
      <c r="J17" s="28"/>
      <c r="K17" s="28"/>
      <c r="L17" s="38"/>
      <c r="S17" s="28"/>
      <c r="T17" s="28"/>
      <c r="U17" s="28"/>
      <c r="V17" s="179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2" customHeight="1" x14ac:dyDescent="0.2">
      <c r="A18" s="28"/>
      <c r="B18" s="29"/>
      <c r="C18" s="28"/>
      <c r="D18" s="25" t="s">
        <v>24</v>
      </c>
      <c r="E18" s="28"/>
      <c r="F18" s="28"/>
      <c r="G18" s="28"/>
      <c r="H18" s="28"/>
      <c r="I18" s="25" t="s">
        <v>20</v>
      </c>
      <c r="J18" s="23" t="s">
        <v>25</v>
      </c>
      <c r="K18" s="28"/>
      <c r="L18" s="38"/>
      <c r="S18" s="28"/>
      <c r="T18" s="28"/>
      <c r="U18" s="28"/>
      <c r="V18" s="179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18" customHeight="1" x14ac:dyDescent="0.2">
      <c r="A19" s="28"/>
      <c r="B19" s="29"/>
      <c r="C19" s="28"/>
      <c r="D19" s="28"/>
      <c r="E19" s="23" t="s">
        <v>26</v>
      </c>
      <c r="F19" s="28"/>
      <c r="G19" s="28"/>
      <c r="H19" s="28"/>
      <c r="I19" s="25" t="s">
        <v>22</v>
      </c>
      <c r="J19" s="23" t="s">
        <v>27</v>
      </c>
      <c r="K19" s="28"/>
      <c r="L19" s="38"/>
      <c r="S19" s="28"/>
      <c r="T19" s="28"/>
      <c r="U19" s="28"/>
      <c r="V19" s="179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6.95" customHeight="1" x14ac:dyDescent="0.2">
      <c r="A20" s="28"/>
      <c r="B20" s="29"/>
      <c r="C20" s="28"/>
      <c r="D20" s="28"/>
      <c r="E20" s="28"/>
      <c r="F20" s="28"/>
      <c r="G20" s="28"/>
      <c r="H20" s="28"/>
      <c r="I20" s="28"/>
      <c r="J20" s="28"/>
      <c r="K20" s="28"/>
      <c r="L20" s="38"/>
      <c r="S20" s="28"/>
      <c r="T20" s="28"/>
      <c r="U20" s="28"/>
      <c r="V20" s="179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2" customHeight="1" x14ac:dyDescent="0.2">
      <c r="A21" s="28"/>
      <c r="B21" s="29"/>
      <c r="C21" s="28"/>
      <c r="D21" s="25" t="s">
        <v>29</v>
      </c>
      <c r="E21" s="28"/>
      <c r="F21" s="28"/>
      <c r="G21" s="28"/>
      <c r="H21" s="28"/>
      <c r="I21" s="25" t="s">
        <v>20</v>
      </c>
      <c r="J21" s="23"/>
      <c r="K21" s="28"/>
      <c r="L21" s="38"/>
      <c r="S21" s="28"/>
      <c r="T21" s="28"/>
      <c r="U21" s="28"/>
      <c r="V21" s="179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18" customHeight="1" x14ac:dyDescent="0.2">
      <c r="A22" s="28"/>
      <c r="B22" s="29"/>
      <c r="C22" s="28"/>
      <c r="D22" s="28"/>
      <c r="E22" s="23"/>
      <c r="F22" s="28"/>
      <c r="G22" s="28"/>
      <c r="H22" s="28"/>
      <c r="I22" s="25" t="s">
        <v>22</v>
      </c>
      <c r="J22" s="23"/>
      <c r="K22" s="28"/>
      <c r="L22" s="38"/>
      <c r="S22" s="28"/>
      <c r="T22" s="28"/>
      <c r="U22" s="28"/>
      <c r="V22" s="179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6.95" customHeight="1" x14ac:dyDescent="0.2">
      <c r="A23" s="28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38"/>
      <c r="S23" s="28"/>
      <c r="T23" s="28"/>
      <c r="U23" s="28"/>
      <c r="V23" s="179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2" customHeight="1" x14ac:dyDescent="0.2">
      <c r="A24" s="28"/>
      <c r="B24" s="29"/>
      <c r="C24" s="28"/>
      <c r="D24" s="25" t="s">
        <v>30</v>
      </c>
      <c r="E24" s="28"/>
      <c r="F24" s="28"/>
      <c r="G24" s="28"/>
      <c r="H24" s="28"/>
      <c r="I24" s="28"/>
      <c r="J24" s="28"/>
      <c r="K24" s="28"/>
      <c r="L24" s="38"/>
      <c r="S24" s="28"/>
      <c r="T24" s="28"/>
      <c r="U24" s="28"/>
      <c r="V24" s="179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8" customFormat="1" ht="63.75" customHeight="1" x14ac:dyDescent="0.2">
      <c r="A25" s="86"/>
      <c r="B25" s="87"/>
      <c r="C25" s="86"/>
      <c r="D25" s="86"/>
      <c r="E25" s="402" t="s">
        <v>79</v>
      </c>
      <c r="F25" s="402"/>
      <c r="G25" s="402"/>
      <c r="H25" s="402"/>
      <c r="I25" s="86"/>
      <c r="J25" s="86"/>
      <c r="K25" s="86"/>
      <c r="L25" s="88"/>
      <c r="S25" s="86"/>
      <c r="T25" s="86"/>
      <c r="U25" s="86"/>
      <c r="V25" s="180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 x14ac:dyDescent="0.2">
      <c r="A26" s="28"/>
      <c r="B26" s="29"/>
      <c r="C26" s="28"/>
      <c r="D26" s="28"/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179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2" customFormat="1" ht="6.95" customHeight="1" x14ac:dyDescent="0.2">
      <c r="A27" s="28"/>
      <c r="B27" s="29"/>
      <c r="C27" s="28"/>
      <c r="D27" s="62"/>
      <c r="E27" s="62"/>
      <c r="F27" s="62"/>
      <c r="G27" s="62"/>
      <c r="H27" s="62"/>
      <c r="I27" s="62"/>
      <c r="J27" s="62"/>
      <c r="K27" s="62"/>
      <c r="L27" s="38"/>
      <c r="S27" s="28"/>
      <c r="T27" s="28"/>
      <c r="U27" s="28"/>
      <c r="V27" s="179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s="2" customFormat="1" ht="25.35" customHeight="1" x14ac:dyDescent="0.2">
      <c r="A28" s="28"/>
      <c r="B28" s="29"/>
      <c r="C28" s="28"/>
      <c r="D28" s="89" t="s">
        <v>32</v>
      </c>
      <c r="E28" s="28"/>
      <c r="F28" s="28"/>
      <c r="G28" s="28"/>
      <c r="H28" s="28"/>
      <c r="I28" s="28"/>
      <c r="J28" s="67">
        <f>J94</f>
        <v>0</v>
      </c>
      <c r="K28" s="28"/>
      <c r="L28" s="38"/>
      <c r="S28" s="28"/>
      <c r="T28" s="28"/>
      <c r="U28" s="28"/>
      <c r="V28" s="179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 x14ac:dyDescent="0.2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179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14.45" customHeight="1" x14ac:dyDescent="0.2">
      <c r="A30" s="28"/>
      <c r="B30" s="29"/>
      <c r="C30" s="28"/>
      <c r="D30" s="28"/>
      <c r="E30" s="28"/>
      <c r="F30" s="32" t="s">
        <v>34</v>
      </c>
      <c r="G30" s="28"/>
      <c r="H30" s="28"/>
      <c r="I30" s="32" t="s">
        <v>33</v>
      </c>
      <c r="J30" s="32" t="s">
        <v>35</v>
      </c>
      <c r="K30" s="28"/>
      <c r="L30" s="38"/>
      <c r="S30" s="28"/>
      <c r="T30" s="28"/>
      <c r="U30" s="28"/>
      <c r="V30" s="179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14.45" customHeight="1" x14ac:dyDescent="0.2">
      <c r="A31" s="28"/>
      <c r="B31" s="29"/>
      <c r="C31" s="28"/>
      <c r="D31" s="90" t="s">
        <v>36</v>
      </c>
      <c r="E31" s="25" t="s">
        <v>37</v>
      </c>
      <c r="F31" s="91">
        <f>ROUND((SUM(BE129:BE363)),  2)</f>
        <v>0</v>
      </c>
      <c r="G31" s="28"/>
      <c r="H31" s="28"/>
      <c r="I31" s="92">
        <v>0.2</v>
      </c>
      <c r="J31" s="91">
        <f>ROUND(((SUM(BE129:BE363))*I31),  2)</f>
        <v>0</v>
      </c>
      <c r="K31" s="28"/>
      <c r="L31" s="38"/>
      <c r="S31" s="28"/>
      <c r="T31" s="28"/>
      <c r="U31" s="28"/>
      <c r="V31" s="179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 x14ac:dyDescent="0.2">
      <c r="A32" s="28"/>
      <c r="B32" s="29"/>
      <c r="C32" s="28"/>
      <c r="D32" s="28"/>
      <c r="E32" s="25" t="s">
        <v>38</v>
      </c>
      <c r="F32" s="91">
        <f>J28</f>
        <v>0</v>
      </c>
      <c r="G32" s="28"/>
      <c r="H32" s="28"/>
      <c r="I32" s="92">
        <v>0.2</v>
      </c>
      <c r="J32" s="91">
        <f>F32*0.2</f>
        <v>0</v>
      </c>
      <c r="K32" s="28"/>
      <c r="L32" s="38"/>
      <c r="S32" s="28"/>
      <c r="T32" s="28"/>
      <c r="U32" s="28"/>
      <c r="V32" s="179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hidden="1" customHeight="1" x14ac:dyDescent="0.2">
      <c r="A33" s="28"/>
      <c r="B33" s="29"/>
      <c r="C33" s="28"/>
      <c r="D33" s="28"/>
      <c r="E33" s="25" t="s">
        <v>39</v>
      </c>
      <c r="F33" s="91">
        <f>ROUND((SUM(BG129:BG363)),  2)</f>
        <v>0</v>
      </c>
      <c r="G33" s="28"/>
      <c r="H33" s="28"/>
      <c r="I33" s="92">
        <v>0.2</v>
      </c>
      <c r="J33" s="91">
        <f>0</f>
        <v>0</v>
      </c>
      <c r="K33" s="28"/>
      <c r="L33" s="38"/>
      <c r="S33" s="28"/>
      <c r="T33" s="28"/>
      <c r="U33" s="28"/>
      <c r="V33" s="179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hidden="1" customHeight="1" x14ac:dyDescent="0.2">
      <c r="A34" s="28"/>
      <c r="B34" s="29"/>
      <c r="C34" s="28"/>
      <c r="D34" s="28"/>
      <c r="E34" s="25" t="s">
        <v>40</v>
      </c>
      <c r="F34" s="91">
        <f>ROUND((SUM(BH129:BH363)),  2)</f>
        <v>0</v>
      </c>
      <c r="G34" s="28"/>
      <c r="H34" s="28"/>
      <c r="I34" s="92">
        <v>0.2</v>
      </c>
      <c r="J34" s="91">
        <f>0</f>
        <v>0</v>
      </c>
      <c r="K34" s="28"/>
      <c r="L34" s="38"/>
      <c r="S34" s="28"/>
      <c r="T34" s="28"/>
      <c r="U34" s="28"/>
      <c r="V34" s="179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 x14ac:dyDescent="0.2">
      <c r="A35" s="28"/>
      <c r="B35" s="29"/>
      <c r="C35" s="28"/>
      <c r="D35" s="28"/>
      <c r="E35" s="25" t="s">
        <v>41</v>
      </c>
      <c r="F35" s="91">
        <f>ROUND((SUM(BI129:BI363)),  2)</f>
        <v>0</v>
      </c>
      <c r="G35" s="28"/>
      <c r="H35" s="28"/>
      <c r="I35" s="92">
        <v>0</v>
      </c>
      <c r="J35" s="91">
        <f>0</f>
        <v>0</v>
      </c>
      <c r="K35" s="28"/>
      <c r="L35" s="38"/>
      <c r="S35" s="28"/>
      <c r="T35" s="28"/>
      <c r="U35" s="28"/>
      <c r="V35" s="179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6.95" customHeight="1" x14ac:dyDescent="0.2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38"/>
      <c r="S36" s="28"/>
      <c r="T36" s="28"/>
      <c r="U36" s="28"/>
      <c r="V36" s="179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25.35" customHeight="1" x14ac:dyDescent="0.2">
      <c r="A37" s="28"/>
      <c r="B37" s="29"/>
      <c r="C37" s="93"/>
      <c r="D37" s="94" t="s">
        <v>42</v>
      </c>
      <c r="E37" s="56"/>
      <c r="F37" s="56"/>
      <c r="G37" s="95" t="s">
        <v>43</v>
      </c>
      <c r="H37" s="96" t="s">
        <v>44</v>
      </c>
      <c r="I37" s="56"/>
      <c r="J37" s="97">
        <f>SUM(J28:J35)</f>
        <v>0</v>
      </c>
      <c r="K37" s="98"/>
      <c r="L37" s="38"/>
      <c r="S37" s="28"/>
      <c r="T37" s="28"/>
      <c r="U37" s="28"/>
      <c r="V37" s="179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14.45" customHeight="1" x14ac:dyDescent="0.2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179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1" customFormat="1" ht="14.45" customHeight="1" x14ac:dyDescent="0.2">
      <c r="B39" s="19"/>
      <c r="L39" s="19"/>
      <c r="V39" s="178"/>
    </row>
    <row r="40" spans="1:31" s="1" customFormat="1" ht="14.45" customHeight="1" x14ac:dyDescent="0.2">
      <c r="B40" s="19"/>
      <c r="L40" s="19"/>
      <c r="V40" s="178"/>
    </row>
    <row r="41" spans="1:31" s="1" customFormat="1" ht="14.45" customHeight="1" x14ac:dyDescent="0.2">
      <c r="B41" s="19"/>
      <c r="L41" s="19"/>
      <c r="V41" s="178"/>
    </row>
    <row r="42" spans="1:31" s="1" customFormat="1" ht="14.45" customHeight="1" x14ac:dyDescent="0.2">
      <c r="B42" s="19"/>
      <c r="L42" s="19"/>
      <c r="V42" s="178"/>
    </row>
    <row r="43" spans="1:31" s="1" customFormat="1" ht="14.45" customHeight="1" x14ac:dyDescent="0.2">
      <c r="B43" s="19"/>
      <c r="L43" s="19"/>
      <c r="V43" s="178"/>
    </row>
    <row r="44" spans="1:31" s="1" customFormat="1" ht="14.45" customHeight="1" x14ac:dyDescent="0.2">
      <c r="B44" s="19"/>
      <c r="L44" s="19"/>
      <c r="V44" s="178"/>
    </row>
    <row r="45" spans="1:31" s="1" customFormat="1" ht="14.45" customHeight="1" x14ac:dyDescent="0.2">
      <c r="B45" s="19"/>
      <c r="L45" s="19"/>
      <c r="V45" s="178"/>
    </row>
    <row r="46" spans="1:31" s="1" customFormat="1" ht="14.45" customHeight="1" x14ac:dyDescent="0.2">
      <c r="B46" s="19"/>
      <c r="L46" s="19"/>
      <c r="V46" s="178"/>
    </row>
    <row r="47" spans="1:31" s="1" customFormat="1" ht="14.45" customHeight="1" x14ac:dyDescent="0.2">
      <c r="B47" s="19"/>
      <c r="L47" s="19"/>
      <c r="V47" s="178"/>
    </row>
    <row r="48" spans="1:31" s="1" customFormat="1" ht="14.45" customHeight="1" x14ac:dyDescent="0.2">
      <c r="B48" s="19"/>
      <c r="L48" s="19"/>
      <c r="V48" s="178"/>
    </row>
    <row r="49" spans="1:31" s="1" customFormat="1" ht="14.45" customHeight="1" x14ac:dyDescent="0.2">
      <c r="B49" s="19"/>
      <c r="L49" s="19"/>
      <c r="V49" s="178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8"/>
      <c r="V50" s="179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28"/>
      <c r="B61" s="29"/>
      <c r="C61" s="28"/>
      <c r="D61" s="41" t="s">
        <v>47</v>
      </c>
      <c r="E61" s="31"/>
      <c r="F61" s="99" t="s">
        <v>48</v>
      </c>
      <c r="G61" s="41" t="s">
        <v>47</v>
      </c>
      <c r="H61" s="31"/>
      <c r="I61" s="31"/>
      <c r="J61" s="100" t="s">
        <v>48</v>
      </c>
      <c r="K61" s="31"/>
      <c r="L61" s="38"/>
      <c r="S61" s="28"/>
      <c r="T61" s="28"/>
      <c r="U61" s="28"/>
      <c r="V61" s="179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28"/>
      <c r="B65" s="29"/>
      <c r="C65" s="28"/>
      <c r="D65" s="39" t="s">
        <v>49</v>
      </c>
      <c r="E65" s="42"/>
      <c r="F65" s="42"/>
      <c r="G65" s="39" t="s">
        <v>50</v>
      </c>
      <c r="H65" s="42"/>
      <c r="I65" s="42"/>
      <c r="J65" s="42"/>
      <c r="K65" s="42"/>
      <c r="L65" s="38"/>
      <c r="S65" s="28"/>
      <c r="T65" s="28"/>
      <c r="U65" s="28"/>
      <c r="V65" s="179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28"/>
      <c r="B76" s="29"/>
      <c r="C76" s="28"/>
      <c r="D76" s="41" t="s">
        <v>47</v>
      </c>
      <c r="E76" s="31"/>
      <c r="F76" s="99" t="s">
        <v>48</v>
      </c>
      <c r="G76" s="41" t="s">
        <v>47</v>
      </c>
      <c r="H76" s="31"/>
      <c r="I76" s="31"/>
      <c r="J76" s="100" t="s">
        <v>48</v>
      </c>
      <c r="K76" s="31"/>
      <c r="L76" s="38"/>
      <c r="S76" s="28"/>
      <c r="T76" s="28"/>
      <c r="U76" s="28"/>
      <c r="V76" s="179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 x14ac:dyDescent="0.2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179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 x14ac:dyDescent="0.2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179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 x14ac:dyDescent="0.2">
      <c r="A82" s="28"/>
      <c r="B82" s="29"/>
      <c r="C82" s="20" t="s">
        <v>1135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179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 x14ac:dyDescent="0.2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179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 x14ac:dyDescent="0.2">
      <c r="A84" s="28"/>
      <c r="B84" s="29"/>
      <c r="C84" s="25" t="s">
        <v>12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179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 x14ac:dyDescent="0.2">
      <c r="A85" s="28"/>
      <c r="B85" s="29"/>
      <c r="C85" s="28"/>
      <c r="D85" s="28"/>
      <c r="E85" s="382" t="str">
        <f>E7</f>
        <v>MŠ Čordáková 17 - Stavebné úpravy časti priestorov</v>
      </c>
      <c r="F85" s="413"/>
      <c r="G85" s="413"/>
      <c r="H85" s="413"/>
      <c r="I85" s="28"/>
      <c r="J85" s="28"/>
      <c r="K85" s="28"/>
      <c r="L85" s="38"/>
      <c r="S85" s="28"/>
      <c r="T85" s="28"/>
      <c r="U85" s="28"/>
      <c r="V85" s="179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6.95" customHeight="1" x14ac:dyDescent="0.2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179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2" customHeight="1" x14ac:dyDescent="0.2">
      <c r="A87" s="28"/>
      <c r="B87" s="29"/>
      <c r="C87" s="25" t="s">
        <v>16</v>
      </c>
      <c r="D87" s="28"/>
      <c r="E87" s="28"/>
      <c r="F87" s="23" t="str">
        <f>F10</f>
        <v>Košice</v>
      </c>
      <c r="G87" s="28"/>
      <c r="H87" s="28"/>
      <c r="I87" s="25" t="s">
        <v>18</v>
      </c>
      <c r="J87" s="51" t="str">
        <f>IF(J10="","",J10)</f>
        <v/>
      </c>
      <c r="K87" s="28"/>
      <c r="L87" s="38"/>
      <c r="S87" s="28"/>
      <c r="T87" s="28"/>
      <c r="U87" s="28"/>
      <c r="V87" s="179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 x14ac:dyDescent="0.2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179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43.15" customHeight="1" x14ac:dyDescent="0.2">
      <c r="A89" s="28"/>
      <c r="B89" s="29"/>
      <c r="C89" s="25" t="s">
        <v>19</v>
      </c>
      <c r="D89" s="28"/>
      <c r="E89" s="28"/>
      <c r="F89" s="23" t="s">
        <v>1137</v>
      </c>
      <c r="G89" s="28"/>
      <c r="H89" s="28"/>
      <c r="I89" s="25" t="s">
        <v>24</v>
      </c>
      <c r="J89" s="26" t="str">
        <f>E19</f>
        <v>Ing. Marta Tomková, T.D.LINE s.r.o.</v>
      </c>
      <c r="K89" s="28"/>
      <c r="L89" s="38"/>
      <c r="S89" s="28"/>
      <c r="T89" s="28"/>
      <c r="U89" s="28"/>
      <c r="V89" s="179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43.15" customHeight="1" x14ac:dyDescent="0.2">
      <c r="A90" s="28"/>
      <c r="B90" s="29"/>
      <c r="C90" s="25" t="s">
        <v>23</v>
      </c>
      <c r="D90" s="28"/>
      <c r="E90" s="28"/>
      <c r="F90" s="23" t="str">
        <f>IF(E16="","",E16)</f>
        <v xml:space="preserve"> </v>
      </c>
      <c r="G90" s="28"/>
      <c r="H90" s="28"/>
      <c r="I90" s="25" t="s">
        <v>29</v>
      </c>
      <c r="J90" s="26"/>
      <c r="K90" s="28"/>
      <c r="L90" s="38"/>
      <c r="S90" s="28"/>
      <c r="T90" s="28"/>
      <c r="U90" s="28"/>
      <c r="V90" s="179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0.35" customHeight="1" x14ac:dyDescent="0.2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38"/>
      <c r="S91" s="28"/>
      <c r="T91" s="28"/>
      <c r="U91" s="28"/>
      <c r="V91" s="179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29.25" customHeight="1" x14ac:dyDescent="0.2">
      <c r="A92" s="28"/>
      <c r="B92" s="29"/>
      <c r="C92" s="101" t="s">
        <v>80</v>
      </c>
      <c r="D92" s="93"/>
      <c r="E92" s="93"/>
      <c r="F92" s="93"/>
      <c r="G92" s="93"/>
      <c r="H92" s="93"/>
      <c r="I92" s="93"/>
      <c r="J92" s="102" t="s">
        <v>81</v>
      </c>
      <c r="K92" s="93"/>
      <c r="L92" s="38"/>
      <c r="S92" s="28"/>
      <c r="T92" s="28"/>
      <c r="U92" s="28"/>
      <c r="V92" s="179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 x14ac:dyDescent="0.2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179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2.9" customHeight="1" x14ac:dyDescent="0.2">
      <c r="A94" s="28"/>
      <c r="B94" s="29"/>
      <c r="C94" s="103" t="s">
        <v>82</v>
      </c>
      <c r="D94" s="28"/>
      <c r="E94" s="28"/>
      <c r="F94" s="28"/>
      <c r="G94" s="28"/>
      <c r="H94" s="28"/>
      <c r="I94" s="28"/>
      <c r="J94" s="67">
        <f>J95+J102</f>
        <v>0</v>
      </c>
      <c r="K94" s="28"/>
      <c r="L94" s="38"/>
      <c r="S94" s="28"/>
      <c r="T94" s="28"/>
      <c r="U94" s="28"/>
      <c r="V94" s="179">
        <f>J95+J102</f>
        <v>0</v>
      </c>
      <c r="W94" s="28"/>
      <c r="X94" s="28"/>
      <c r="Y94" s="28"/>
      <c r="Z94" s="28"/>
      <c r="AA94" s="28"/>
      <c r="AB94" s="28"/>
      <c r="AC94" s="28"/>
      <c r="AD94" s="28"/>
      <c r="AE94" s="28"/>
      <c r="AU94" s="16" t="s">
        <v>83</v>
      </c>
    </row>
    <row r="95" spans="1:47" s="9" customFormat="1" ht="24.95" customHeight="1" x14ac:dyDescent="0.2">
      <c r="B95" s="104"/>
      <c r="D95" s="105" t="s">
        <v>84</v>
      </c>
      <c r="E95" s="106"/>
      <c r="F95" s="106"/>
      <c r="G95" s="106"/>
      <c r="H95" s="106"/>
      <c r="I95" s="106"/>
      <c r="J95" s="107">
        <f>J96+J97+J98+J99+J100+J101</f>
        <v>0</v>
      </c>
      <c r="L95" s="104"/>
      <c r="V95" s="181"/>
    </row>
    <row r="96" spans="1:47" s="10" customFormat="1" ht="19.899999999999999" customHeight="1" x14ac:dyDescent="0.2">
      <c r="B96" s="108"/>
      <c r="D96" s="109" t="s">
        <v>85</v>
      </c>
      <c r="E96" s="110"/>
      <c r="F96" s="110"/>
      <c r="G96" s="110"/>
      <c r="H96" s="110"/>
      <c r="I96" s="110"/>
      <c r="J96" s="111">
        <f>J131</f>
        <v>0</v>
      </c>
      <c r="L96" s="108"/>
      <c r="V96" s="182"/>
    </row>
    <row r="97" spans="1:31" s="10" customFormat="1" ht="19.899999999999999" customHeight="1" x14ac:dyDescent="0.2">
      <c r="B97" s="108"/>
      <c r="D97" s="109" t="s">
        <v>86</v>
      </c>
      <c r="E97" s="110"/>
      <c r="F97" s="110"/>
      <c r="G97" s="110"/>
      <c r="H97" s="110"/>
      <c r="I97" s="110"/>
      <c r="J97" s="111">
        <f>J138</f>
        <v>0</v>
      </c>
      <c r="L97" s="108"/>
      <c r="V97" s="182"/>
    </row>
    <row r="98" spans="1:31" s="10" customFormat="1" ht="19.899999999999999" customHeight="1" x14ac:dyDescent="0.2">
      <c r="B98" s="108"/>
      <c r="D98" s="109" t="s">
        <v>87</v>
      </c>
      <c r="E98" s="110"/>
      <c r="F98" s="110"/>
      <c r="G98" s="110"/>
      <c r="H98" s="110"/>
      <c r="I98" s="110"/>
      <c r="J98" s="111">
        <f>J149</f>
        <v>0</v>
      </c>
      <c r="L98" s="108"/>
      <c r="V98" s="182"/>
    </row>
    <row r="99" spans="1:31" s="10" customFormat="1" ht="19.899999999999999" customHeight="1" x14ac:dyDescent="0.2">
      <c r="B99" s="108"/>
      <c r="D99" s="109" t="s">
        <v>88</v>
      </c>
      <c r="E99" s="110"/>
      <c r="F99" s="110"/>
      <c r="G99" s="110"/>
      <c r="H99" s="110"/>
      <c r="I99" s="110"/>
      <c r="J99" s="111">
        <f>J160</f>
        <v>0</v>
      </c>
      <c r="L99" s="108"/>
      <c r="V99" s="182"/>
    </row>
    <row r="100" spans="1:31" s="10" customFormat="1" ht="19.899999999999999" customHeight="1" x14ac:dyDescent="0.2">
      <c r="B100" s="108"/>
      <c r="D100" s="109" t="s">
        <v>89</v>
      </c>
      <c r="E100" s="110"/>
      <c r="F100" s="110"/>
      <c r="G100" s="110"/>
      <c r="H100" s="110"/>
      <c r="I100" s="110"/>
      <c r="J100" s="111">
        <f>J173</f>
        <v>0</v>
      </c>
      <c r="L100" s="108"/>
      <c r="V100" s="182"/>
    </row>
    <row r="101" spans="1:31" s="10" customFormat="1" ht="19.899999999999999" customHeight="1" x14ac:dyDescent="0.2">
      <c r="B101" s="108"/>
      <c r="D101" s="109" t="s">
        <v>90</v>
      </c>
      <c r="E101" s="110"/>
      <c r="F101" s="110"/>
      <c r="G101" s="110"/>
      <c r="H101" s="110"/>
      <c r="I101" s="110"/>
      <c r="J101" s="111">
        <f>J219</f>
        <v>0</v>
      </c>
      <c r="L101" s="108"/>
      <c r="V101" s="182"/>
    </row>
    <row r="102" spans="1:31" s="9" customFormat="1" ht="24.95" customHeight="1" x14ac:dyDescent="0.2">
      <c r="B102" s="104"/>
      <c r="D102" s="105" t="s">
        <v>91</v>
      </c>
      <c r="E102" s="106"/>
      <c r="F102" s="106"/>
      <c r="G102" s="106"/>
      <c r="H102" s="106"/>
      <c r="I102" s="106"/>
      <c r="J102" s="107">
        <f>J224</f>
        <v>0</v>
      </c>
      <c r="L102" s="104"/>
      <c r="V102" s="181"/>
    </row>
    <row r="103" spans="1:31" s="10" customFormat="1" ht="19.899999999999999" customHeight="1" x14ac:dyDescent="0.2">
      <c r="B103" s="108"/>
      <c r="D103" s="109" t="s">
        <v>92</v>
      </c>
      <c r="E103" s="110"/>
      <c r="F103" s="110"/>
      <c r="G103" s="110"/>
      <c r="H103" s="110"/>
      <c r="I103" s="110"/>
      <c r="J103" s="111">
        <f>J225</f>
        <v>0</v>
      </c>
      <c r="L103" s="108"/>
      <c r="V103" s="182"/>
    </row>
    <row r="104" spans="1:31" s="10" customFormat="1" ht="19.899999999999999" customHeight="1" x14ac:dyDescent="0.2">
      <c r="B104" s="108"/>
      <c r="D104" s="109" t="s">
        <v>93</v>
      </c>
      <c r="E104" s="110"/>
      <c r="F104" s="110"/>
      <c r="G104" s="110"/>
      <c r="H104" s="110"/>
      <c r="I104" s="110"/>
      <c r="J104" s="111">
        <f>J237</f>
        <v>0</v>
      </c>
      <c r="L104" s="108"/>
      <c r="V104" s="182"/>
    </row>
    <row r="105" spans="1:31" s="10" customFormat="1" ht="19.899999999999999" customHeight="1" x14ac:dyDescent="0.2">
      <c r="B105" s="108"/>
      <c r="D105" s="109" t="s">
        <v>94</v>
      </c>
      <c r="E105" s="110"/>
      <c r="F105" s="110"/>
      <c r="G105" s="110"/>
      <c r="H105" s="110"/>
      <c r="I105" s="110"/>
      <c r="J105" s="111">
        <f>J244</f>
        <v>0</v>
      </c>
      <c r="L105" s="108"/>
      <c r="V105" s="182"/>
    </row>
    <row r="106" spans="1:31" s="10" customFormat="1" ht="19.899999999999999" customHeight="1" x14ac:dyDescent="0.2">
      <c r="B106" s="108"/>
      <c r="D106" s="109" t="s">
        <v>95</v>
      </c>
      <c r="E106" s="110"/>
      <c r="F106" s="110"/>
      <c r="G106" s="110"/>
      <c r="H106" s="110"/>
      <c r="I106" s="110"/>
      <c r="J106" s="111">
        <f>J254</f>
        <v>0</v>
      </c>
      <c r="L106" s="108"/>
      <c r="V106" s="182"/>
    </row>
    <row r="107" spans="1:31" s="10" customFormat="1" ht="19.899999999999999" customHeight="1" x14ac:dyDescent="0.2">
      <c r="B107" s="108"/>
      <c r="D107" s="109" t="s">
        <v>96</v>
      </c>
      <c r="E107" s="110"/>
      <c r="F107" s="110"/>
      <c r="G107" s="110"/>
      <c r="H107" s="110"/>
      <c r="I107" s="110"/>
      <c r="J107" s="111">
        <f>J302</f>
        <v>0</v>
      </c>
      <c r="L107" s="108"/>
      <c r="V107" s="182"/>
    </row>
    <row r="108" spans="1:31" s="10" customFormat="1" ht="19.899999999999999" customHeight="1" x14ac:dyDescent="0.2">
      <c r="B108" s="108"/>
      <c r="D108" s="109" t="s">
        <v>507</v>
      </c>
      <c r="E108" s="110"/>
      <c r="F108" s="110"/>
      <c r="G108" s="110"/>
      <c r="H108" s="110"/>
      <c r="I108" s="110"/>
      <c r="J108" s="111">
        <f>J312</f>
        <v>0</v>
      </c>
      <c r="L108" s="108"/>
      <c r="V108" s="182"/>
    </row>
    <row r="109" spans="1:31" s="10" customFormat="1" ht="19.899999999999999" customHeight="1" x14ac:dyDescent="0.2">
      <c r="B109" s="108"/>
      <c r="D109" s="109" t="s">
        <v>97</v>
      </c>
      <c r="E109" s="110"/>
      <c r="F109" s="110"/>
      <c r="G109" s="110"/>
      <c r="H109" s="110"/>
      <c r="I109" s="110"/>
      <c r="J109" s="111">
        <f>J315</f>
        <v>0</v>
      </c>
      <c r="L109" s="108"/>
      <c r="V109" s="182"/>
    </row>
    <row r="110" spans="1:31" s="10" customFormat="1" ht="19.899999999999999" customHeight="1" x14ac:dyDescent="0.2">
      <c r="B110" s="108"/>
      <c r="D110" s="109" t="s">
        <v>98</v>
      </c>
      <c r="E110" s="110"/>
      <c r="F110" s="110"/>
      <c r="G110" s="110"/>
      <c r="H110" s="110"/>
      <c r="I110" s="110"/>
      <c r="J110" s="111">
        <f>J331</f>
        <v>0</v>
      </c>
      <c r="L110" s="108"/>
      <c r="V110" s="182"/>
    </row>
    <row r="111" spans="1:31" s="10" customFormat="1" ht="19.899999999999999" customHeight="1" x14ac:dyDescent="0.2">
      <c r="B111" s="108"/>
      <c r="D111" s="109" t="s">
        <v>99</v>
      </c>
      <c r="E111" s="110"/>
      <c r="F111" s="110"/>
      <c r="G111" s="110"/>
      <c r="H111" s="110"/>
      <c r="I111" s="110"/>
      <c r="J111" s="111">
        <f>J358</f>
        <v>0</v>
      </c>
      <c r="L111" s="108"/>
      <c r="V111" s="182"/>
    </row>
    <row r="112" spans="1:31" s="2" customFormat="1" ht="21.75" customHeight="1" x14ac:dyDescent="0.2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38"/>
      <c r="S112" s="28"/>
      <c r="T112" s="28"/>
      <c r="U112" s="28"/>
      <c r="V112" s="179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31" s="2" customFormat="1" ht="6.95" customHeight="1" x14ac:dyDescent="0.2">
      <c r="A113" s="28"/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38"/>
      <c r="S113" s="28"/>
      <c r="T113" s="28"/>
      <c r="U113" s="28"/>
      <c r="V113" s="179"/>
      <c r="W113" s="28"/>
      <c r="X113" s="28"/>
      <c r="Y113" s="28"/>
      <c r="Z113" s="28"/>
      <c r="AA113" s="28"/>
      <c r="AB113" s="28"/>
      <c r="AC113" s="28"/>
      <c r="AD113" s="28"/>
      <c r="AE113" s="28"/>
    </row>
    <row r="117" spans="1:31" s="2" customFormat="1" ht="6.95" customHeight="1" x14ac:dyDescent="0.2">
      <c r="A117" s="28"/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38"/>
      <c r="S117" s="28"/>
      <c r="T117" s="28"/>
      <c r="U117" s="28"/>
      <c r="V117" s="179"/>
      <c r="W117" s="28"/>
      <c r="X117" s="28"/>
      <c r="Y117" s="28"/>
      <c r="Z117" s="28"/>
      <c r="AA117" s="28"/>
      <c r="AB117" s="28"/>
      <c r="AC117" s="28"/>
      <c r="AD117" s="28"/>
      <c r="AE117" s="28"/>
    </row>
    <row r="118" spans="1:31" s="2" customFormat="1" ht="24.95" customHeight="1" x14ac:dyDescent="0.2">
      <c r="A118" s="28"/>
      <c r="B118" s="29"/>
      <c r="C118" s="20" t="s">
        <v>1136</v>
      </c>
      <c r="D118" s="28"/>
      <c r="E118" s="28"/>
      <c r="F118" s="28"/>
      <c r="G118" s="28"/>
      <c r="H118" s="28"/>
      <c r="I118" s="28"/>
      <c r="J118" s="28"/>
      <c r="K118" s="28"/>
      <c r="L118" s="38"/>
      <c r="S118" s="28"/>
      <c r="T118" s="28"/>
      <c r="U118" s="28"/>
      <c r="V118" s="179"/>
      <c r="W118" s="28"/>
      <c r="X118" s="28"/>
      <c r="Y118" s="28"/>
      <c r="Z118" s="28"/>
      <c r="AA118" s="28"/>
      <c r="AB118" s="28"/>
      <c r="AC118" s="28"/>
      <c r="AD118" s="28"/>
      <c r="AE118" s="28"/>
    </row>
    <row r="119" spans="1:31" s="2" customFormat="1" ht="6.95" customHeight="1" x14ac:dyDescent="0.2">
      <c r="A119" s="28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38"/>
      <c r="S119" s="28"/>
      <c r="T119" s="28"/>
      <c r="U119" s="28"/>
      <c r="V119" s="179"/>
      <c r="W119" s="28"/>
      <c r="X119" s="28"/>
      <c r="Y119" s="28"/>
      <c r="Z119" s="28"/>
      <c r="AA119" s="28"/>
      <c r="AB119" s="28"/>
      <c r="AC119" s="28"/>
      <c r="AD119" s="28"/>
      <c r="AE119" s="28"/>
    </row>
    <row r="120" spans="1:31" s="2" customFormat="1" ht="12" customHeight="1" x14ac:dyDescent="0.2">
      <c r="A120" s="28"/>
      <c r="B120" s="29"/>
      <c r="C120" s="25" t="s">
        <v>12</v>
      </c>
      <c r="D120" s="28"/>
      <c r="E120" s="28"/>
      <c r="F120" s="28"/>
      <c r="G120" s="28"/>
      <c r="H120" s="28"/>
      <c r="I120" s="28"/>
      <c r="J120" s="28"/>
      <c r="K120" s="28"/>
      <c r="L120" s="38"/>
      <c r="S120" s="28"/>
      <c r="T120" s="28"/>
      <c r="U120" s="28"/>
      <c r="V120" s="179"/>
      <c r="W120" s="28"/>
      <c r="X120" s="28"/>
      <c r="Y120" s="28"/>
      <c r="Z120" s="28"/>
      <c r="AA120" s="28"/>
      <c r="AB120" s="28"/>
      <c r="AC120" s="28"/>
      <c r="AD120" s="28"/>
      <c r="AE120" s="28"/>
    </row>
    <row r="121" spans="1:31" s="2" customFormat="1" ht="16.5" customHeight="1" x14ac:dyDescent="0.2">
      <c r="A121" s="28"/>
      <c r="B121" s="29"/>
      <c r="C121" s="28"/>
      <c r="D121" s="28"/>
      <c r="E121" s="382" t="str">
        <f>E7</f>
        <v>MŠ Čordáková 17 - Stavebné úpravy časti priestorov</v>
      </c>
      <c r="F121" s="413"/>
      <c r="G121" s="413"/>
      <c r="H121" s="413"/>
      <c r="I121" s="28"/>
      <c r="J121" s="28"/>
      <c r="K121" s="28"/>
      <c r="L121" s="38"/>
      <c r="S121" s="28"/>
      <c r="T121" s="28"/>
      <c r="U121" s="28"/>
      <c r="V121" s="179"/>
      <c r="W121" s="28"/>
      <c r="X121" s="28"/>
      <c r="Y121" s="28"/>
      <c r="Z121" s="28"/>
      <c r="AA121" s="28"/>
      <c r="AB121" s="28"/>
      <c r="AC121" s="28"/>
      <c r="AD121" s="28"/>
      <c r="AE121" s="28"/>
    </row>
    <row r="122" spans="1:31" s="2" customFormat="1" ht="6.95" customHeight="1" x14ac:dyDescent="0.2">
      <c r="A122" s="28"/>
      <c r="B122" s="29"/>
      <c r="C122" s="28"/>
      <c r="D122" s="28"/>
      <c r="E122" s="28"/>
      <c r="F122" s="28"/>
      <c r="G122" s="28"/>
      <c r="H122" s="28"/>
      <c r="I122" s="28"/>
      <c r="J122" s="28"/>
      <c r="K122" s="28"/>
      <c r="L122" s="38"/>
      <c r="S122" s="28"/>
      <c r="T122" s="28"/>
      <c r="U122" s="28"/>
      <c r="V122" s="179"/>
      <c r="W122" s="28"/>
      <c r="X122" s="28"/>
      <c r="Y122" s="28"/>
      <c r="Z122" s="28"/>
      <c r="AA122" s="28"/>
      <c r="AB122" s="28"/>
      <c r="AC122" s="28"/>
      <c r="AD122" s="28"/>
      <c r="AE122" s="28"/>
    </row>
    <row r="123" spans="1:31" s="2" customFormat="1" ht="12" customHeight="1" x14ac:dyDescent="0.2">
      <c r="A123" s="28"/>
      <c r="B123" s="29"/>
      <c r="C123" s="25" t="s">
        <v>16</v>
      </c>
      <c r="D123" s="28"/>
      <c r="E123" s="28"/>
      <c r="F123" s="23" t="str">
        <f>F10</f>
        <v>Košice</v>
      </c>
      <c r="G123" s="28"/>
      <c r="H123" s="28"/>
      <c r="I123" s="25" t="s">
        <v>18</v>
      </c>
      <c r="J123" s="51" t="str">
        <f>IF(J10="","",J10)</f>
        <v/>
      </c>
      <c r="K123" s="28"/>
      <c r="L123" s="38"/>
      <c r="S123" s="28"/>
      <c r="T123" s="28"/>
      <c r="U123" s="28"/>
      <c r="V123" s="179"/>
      <c r="W123" s="28"/>
      <c r="X123" s="28"/>
      <c r="Y123" s="28"/>
      <c r="Z123" s="28"/>
      <c r="AA123" s="28"/>
      <c r="AB123" s="28"/>
      <c r="AC123" s="28"/>
      <c r="AD123" s="28"/>
      <c r="AE123" s="28"/>
    </row>
    <row r="124" spans="1:31" s="2" customFormat="1" ht="6.95" customHeight="1" x14ac:dyDescent="0.2">
      <c r="A124" s="28"/>
      <c r="B124" s="29"/>
      <c r="C124" s="28"/>
      <c r="D124" s="28"/>
      <c r="E124" s="28"/>
      <c r="F124" s="28"/>
      <c r="G124" s="28"/>
      <c r="H124" s="28"/>
      <c r="I124" s="28"/>
      <c r="J124" s="28"/>
      <c r="K124" s="28"/>
      <c r="L124" s="38"/>
      <c r="S124" s="28"/>
      <c r="T124" s="28"/>
      <c r="U124" s="28"/>
      <c r="V124" s="179"/>
      <c r="W124" s="28"/>
      <c r="X124" s="28"/>
      <c r="Y124" s="28"/>
      <c r="Z124" s="28"/>
      <c r="AA124" s="28"/>
      <c r="AB124" s="28"/>
      <c r="AC124" s="28"/>
      <c r="AD124" s="28"/>
      <c r="AE124" s="28"/>
    </row>
    <row r="125" spans="1:31" s="2" customFormat="1" ht="43.15" customHeight="1" x14ac:dyDescent="0.2">
      <c r="A125" s="28"/>
      <c r="B125" s="29"/>
      <c r="C125" s="25" t="s">
        <v>19</v>
      </c>
      <c r="D125" s="28"/>
      <c r="E125" s="28"/>
      <c r="F125" s="23" t="s">
        <v>1137</v>
      </c>
      <c r="G125" s="28"/>
      <c r="H125" s="28"/>
      <c r="I125" s="25" t="s">
        <v>24</v>
      </c>
      <c r="J125" s="26" t="str">
        <f>E19</f>
        <v>Ing. Marta Tomková, T.D.LINE s.r.o.</v>
      </c>
      <c r="K125" s="28"/>
      <c r="L125" s="38"/>
      <c r="S125" s="28"/>
      <c r="T125" s="28"/>
      <c r="U125" s="28"/>
      <c r="V125" s="179"/>
      <c r="W125" s="28"/>
      <c r="X125" s="28"/>
      <c r="Y125" s="28"/>
      <c r="Z125" s="28"/>
      <c r="AA125" s="28"/>
      <c r="AB125" s="28"/>
      <c r="AC125" s="28"/>
      <c r="AD125" s="28"/>
      <c r="AE125" s="28"/>
    </row>
    <row r="126" spans="1:31" s="2" customFormat="1" ht="43.15" customHeight="1" x14ac:dyDescent="0.2">
      <c r="A126" s="28"/>
      <c r="B126" s="29"/>
      <c r="C126" s="25" t="s">
        <v>23</v>
      </c>
      <c r="D126" s="28"/>
      <c r="E126" s="28"/>
      <c r="F126" s="23" t="str">
        <f>IF(E16="","",E16)</f>
        <v xml:space="preserve"> </v>
      </c>
      <c r="G126" s="28"/>
      <c r="H126" s="28"/>
      <c r="I126" s="25" t="s">
        <v>29</v>
      </c>
      <c r="J126" s="26"/>
      <c r="K126" s="28"/>
      <c r="L126" s="38"/>
      <c r="S126" s="28"/>
      <c r="T126" s="28"/>
      <c r="U126" s="28"/>
      <c r="V126" s="179"/>
      <c r="W126" s="28"/>
      <c r="X126" s="28"/>
      <c r="Y126" s="28"/>
      <c r="Z126" s="28"/>
      <c r="AA126" s="28"/>
      <c r="AB126" s="28"/>
      <c r="AC126" s="28"/>
      <c r="AD126" s="28"/>
      <c r="AE126" s="28"/>
    </row>
    <row r="127" spans="1:31" s="2" customFormat="1" ht="10.35" customHeight="1" x14ac:dyDescent="0.2">
      <c r="A127" s="28"/>
      <c r="B127" s="29"/>
      <c r="C127" s="28"/>
      <c r="D127" s="28"/>
      <c r="E127" s="28"/>
      <c r="F127" s="28"/>
      <c r="G127" s="28"/>
      <c r="H127" s="28"/>
      <c r="I127" s="28"/>
      <c r="J127" s="28"/>
      <c r="K127" s="28"/>
      <c r="L127" s="38"/>
      <c r="S127" s="28"/>
      <c r="T127" s="28"/>
      <c r="U127" s="28"/>
      <c r="V127" s="179"/>
      <c r="W127" s="28"/>
      <c r="X127" s="28"/>
      <c r="Y127" s="28"/>
      <c r="Z127" s="28"/>
      <c r="AA127" s="28"/>
      <c r="AB127" s="28"/>
      <c r="AC127" s="28"/>
      <c r="AD127" s="28"/>
      <c r="AE127" s="28"/>
    </row>
    <row r="128" spans="1:31" s="11" customFormat="1" ht="29.25" customHeight="1" x14ac:dyDescent="0.2">
      <c r="A128" s="112"/>
      <c r="B128" s="113"/>
      <c r="C128" s="114" t="s">
        <v>100</v>
      </c>
      <c r="D128" s="115" t="s">
        <v>57</v>
      </c>
      <c r="E128" s="115" t="s">
        <v>53</v>
      </c>
      <c r="F128" s="115" t="s">
        <v>54</v>
      </c>
      <c r="G128" s="115" t="s">
        <v>101</v>
      </c>
      <c r="H128" s="115" t="s">
        <v>102</v>
      </c>
      <c r="I128" s="115" t="s">
        <v>103</v>
      </c>
      <c r="J128" s="116" t="s">
        <v>81</v>
      </c>
      <c r="K128" s="117" t="s">
        <v>104</v>
      </c>
      <c r="L128" s="118"/>
      <c r="M128" s="58" t="s">
        <v>1</v>
      </c>
      <c r="N128" s="59" t="s">
        <v>36</v>
      </c>
      <c r="O128" s="59" t="s">
        <v>105</v>
      </c>
      <c r="P128" s="59" t="s">
        <v>106</v>
      </c>
      <c r="Q128" s="59" t="s">
        <v>107</v>
      </c>
      <c r="R128" s="59" t="s">
        <v>108</v>
      </c>
      <c r="S128" s="59" t="s">
        <v>109</v>
      </c>
      <c r="T128" s="60" t="s">
        <v>110</v>
      </c>
      <c r="U128" s="112"/>
      <c r="V128" s="183"/>
      <c r="W128" s="112"/>
      <c r="X128" s="112"/>
      <c r="Y128" s="112"/>
      <c r="Z128" s="112"/>
      <c r="AA128" s="112"/>
      <c r="AB128" s="112"/>
      <c r="AC128" s="112"/>
      <c r="AD128" s="112"/>
      <c r="AE128" s="112"/>
    </row>
    <row r="129" spans="1:65" s="2" customFormat="1" ht="22.9" customHeight="1" x14ac:dyDescent="0.25">
      <c r="A129" s="28"/>
      <c r="B129" s="29"/>
      <c r="C129" s="65" t="s">
        <v>82</v>
      </c>
      <c r="D129" s="28"/>
      <c r="E129" s="28"/>
      <c r="F129" s="28"/>
      <c r="G129" s="28"/>
      <c r="H129" s="28"/>
      <c r="I129" s="28"/>
      <c r="J129" s="119">
        <f>J130+J224</f>
        <v>0</v>
      </c>
      <c r="K129" s="28"/>
      <c r="L129" s="29"/>
      <c r="M129" s="61"/>
      <c r="N129" s="52"/>
      <c r="O129" s="62"/>
      <c r="P129" s="120" t="e">
        <f>P130+P224</f>
        <v>#REF!</v>
      </c>
      <c r="Q129" s="62"/>
      <c r="R129" s="120" t="e">
        <f>R130+R224</f>
        <v>#REF!</v>
      </c>
      <c r="S129" s="62"/>
      <c r="T129" s="121" t="e">
        <f>T130+T224</f>
        <v>#REF!</v>
      </c>
      <c r="U129" s="28"/>
      <c r="V129" s="179"/>
      <c r="W129" s="28"/>
      <c r="X129" s="28"/>
      <c r="Y129" s="28"/>
      <c r="Z129" s="28"/>
      <c r="AA129" s="28"/>
      <c r="AB129" s="28"/>
      <c r="AC129" s="28"/>
      <c r="AD129" s="28"/>
      <c r="AE129" s="28"/>
      <c r="AT129" s="16" t="s">
        <v>71</v>
      </c>
      <c r="AU129" s="16" t="s">
        <v>83</v>
      </c>
      <c r="BK129" s="122" t="e">
        <f>BK130+BK224</f>
        <v>#REF!</v>
      </c>
    </row>
    <row r="130" spans="1:65" s="12" customFormat="1" ht="25.9" customHeight="1" x14ac:dyDescent="0.2">
      <c r="B130" s="123"/>
      <c r="D130" s="124" t="s">
        <v>71</v>
      </c>
      <c r="E130" s="125" t="s">
        <v>111</v>
      </c>
      <c r="F130" s="125" t="s">
        <v>112</v>
      </c>
      <c r="J130" s="126">
        <f>BK130</f>
        <v>0</v>
      </c>
      <c r="L130" s="123"/>
      <c r="M130" s="127"/>
      <c r="N130" s="128"/>
      <c r="O130" s="128"/>
      <c r="P130" s="129">
        <f>P131+P138+P149+P160+P173+P219</f>
        <v>641.63935732999994</v>
      </c>
      <c r="Q130" s="128"/>
      <c r="R130" s="129">
        <f>R131+R138+R149+R160+R173+R219</f>
        <v>52.078797649999998</v>
      </c>
      <c r="S130" s="128"/>
      <c r="T130" s="130">
        <f>T131+T138+T149+T160+T173+T219</f>
        <v>25.084475000000008</v>
      </c>
      <c r="V130" s="184"/>
      <c r="AR130" s="124" t="s">
        <v>77</v>
      </c>
      <c r="AT130" s="131" t="s">
        <v>71</v>
      </c>
      <c r="AU130" s="131" t="s">
        <v>72</v>
      </c>
      <c r="AY130" s="124" t="s">
        <v>113</v>
      </c>
      <c r="BK130" s="132">
        <f>BK131+BK138+BK149+BK160+BK173+BK219</f>
        <v>0</v>
      </c>
    </row>
    <row r="131" spans="1:65" s="12" customFormat="1" ht="22.9" customHeight="1" x14ac:dyDescent="0.2">
      <c r="B131" s="123"/>
      <c r="D131" s="124" t="s">
        <v>71</v>
      </c>
      <c r="E131" s="133" t="s">
        <v>77</v>
      </c>
      <c r="F131" s="133" t="s">
        <v>114</v>
      </c>
      <c r="J131" s="134">
        <f>BK131</f>
        <v>0</v>
      </c>
      <c r="L131" s="123"/>
      <c r="M131" s="127"/>
      <c r="N131" s="128"/>
      <c r="O131" s="128"/>
      <c r="P131" s="129">
        <f>SUM(P132:P137)</f>
        <v>2.2917083499999999</v>
      </c>
      <c r="Q131" s="128"/>
      <c r="R131" s="129">
        <f>SUM(R132:R137)</f>
        <v>0</v>
      </c>
      <c r="S131" s="128"/>
      <c r="T131" s="130">
        <f>SUM(T132:T137)</f>
        <v>0</v>
      </c>
      <c r="V131" s="184"/>
      <c r="AR131" s="124" t="s">
        <v>77</v>
      </c>
      <c r="AT131" s="131" t="s">
        <v>71</v>
      </c>
      <c r="AU131" s="131" t="s">
        <v>77</v>
      </c>
      <c r="AY131" s="124" t="s">
        <v>113</v>
      </c>
      <c r="BK131" s="132">
        <f>SUM(BK132:BK137)</f>
        <v>0</v>
      </c>
    </row>
    <row r="132" spans="1:65" s="2" customFormat="1" ht="24" customHeight="1" x14ac:dyDescent="0.2">
      <c r="A132" s="28"/>
      <c r="B132" s="135"/>
      <c r="C132" s="203" t="s">
        <v>77</v>
      </c>
      <c r="D132" s="136" t="s">
        <v>115</v>
      </c>
      <c r="E132" s="137" t="s">
        <v>116</v>
      </c>
      <c r="F132" s="138" t="s">
        <v>117</v>
      </c>
      <c r="G132" s="139" t="s">
        <v>118</v>
      </c>
      <c r="H132" s="140">
        <v>0.38100000000000001</v>
      </c>
      <c r="I132" s="141"/>
      <c r="J132" s="141">
        <f>ROUND(I132*H132,2)</f>
        <v>0</v>
      </c>
      <c r="K132" s="142"/>
      <c r="L132" s="29"/>
      <c r="M132" s="143" t="s">
        <v>1</v>
      </c>
      <c r="N132" s="144" t="s">
        <v>38</v>
      </c>
      <c r="O132" s="145">
        <v>3.8503500000000002</v>
      </c>
      <c r="P132" s="145">
        <f>O132*H132</f>
        <v>1.46698335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U132" s="28"/>
      <c r="V132" s="179"/>
      <c r="W132" s="28"/>
      <c r="X132" s="28"/>
      <c r="Y132" s="28"/>
      <c r="Z132" s="28"/>
      <c r="AA132" s="28"/>
      <c r="AB132" s="28"/>
      <c r="AC132" s="28"/>
      <c r="AD132" s="28"/>
      <c r="AE132" s="28"/>
      <c r="AR132" s="147" t="s">
        <v>119</v>
      </c>
      <c r="AT132" s="147" t="s">
        <v>115</v>
      </c>
      <c r="AU132" s="147" t="s">
        <v>120</v>
      </c>
      <c r="AY132" s="16" t="s">
        <v>113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6" t="s">
        <v>120</v>
      </c>
      <c r="BK132" s="148">
        <f>ROUND(I132*H132,2)</f>
        <v>0</v>
      </c>
      <c r="BL132" s="16" t="s">
        <v>119</v>
      </c>
      <c r="BM132" s="147" t="s">
        <v>121</v>
      </c>
    </row>
    <row r="133" spans="1:65" s="13" customFormat="1" x14ac:dyDescent="0.2">
      <c r="B133" s="149"/>
      <c r="C133" s="204"/>
      <c r="D133" s="150" t="s">
        <v>122</v>
      </c>
      <c r="E133" s="151" t="s">
        <v>1</v>
      </c>
      <c r="F133" s="152" t="s">
        <v>123</v>
      </c>
      <c r="H133" s="153">
        <v>0.38100000000000001</v>
      </c>
      <c r="L133" s="149"/>
      <c r="M133" s="154"/>
      <c r="N133" s="155"/>
      <c r="O133" s="155"/>
      <c r="P133" s="155"/>
      <c r="Q133" s="155"/>
      <c r="R133" s="155"/>
      <c r="S133" s="155"/>
      <c r="T133" s="156"/>
      <c r="V133" s="185"/>
      <c r="AT133" s="151" t="s">
        <v>122</v>
      </c>
      <c r="AU133" s="151" t="s">
        <v>120</v>
      </c>
      <c r="AV133" s="13" t="s">
        <v>120</v>
      </c>
      <c r="AW133" s="13" t="s">
        <v>28</v>
      </c>
      <c r="AX133" s="13" t="s">
        <v>77</v>
      </c>
      <c r="AY133" s="151" t="s">
        <v>113</v>
      </c>
    </row>
    <row r="134" spans="1:65" s="2" customFormat="1" ht="36" customHeight="1" x14ac:dyDescent="0.2">
      <c r="A134" s="28"/>
      <c r="B134" s="135"/>
      <c r="C134" s="203" t="s">
        <v>120</v>
      </c>
      <c r="D134" s="136" t="s">
        <v>115</v>
      </c>
      <c r="E134" s="137" t="s">
        <v>124</v>
      </c>
      <c r="F134" s="138" t="s">
        <v>125</v>
      </c>
      <c r="G134" s="139" t="s">
        <v>118</v>
      </c>
      <c r="H134" s="140">
        <v>14.994999999999999</v>
      </c>
      <c r="I134" s="141"/>
      <c r="J134" s="141">
        <f>ROUND(I134*H134,2)</f>
        <v>0</v>
      </c>
      <c r="K134" s="142"/>
      <c r="L134" s="29"/>
      <c r="M134" s="143" t="s">
        <v>1</v>
      </c>
      <c r="N134" s="144" t="s">
        <v>38</v>
      </c>
      <c r="O134" s="145">
        <v>5.5E-2</v>
      </c>
      <c r="P134" s="145">
        <f>O134*H134</f>
        <v>0.82472499999999993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U134" s="28"/>
      <c r="V134" s="179"/>
      <c r="W134" s="28"/>
      <c r="X134" s="28"/>
      <c r="Y134" s="28"/>
      <c r="Z134" s="28"/>
      <c r="AA134" s="28"/>
      <c r="AB134" s="28"/>
      <c r="AC134" s="28"/>
      <c r="AD134" s="28"/>
      <c r="AE134" s="28"/>
      <c r="AR134" s="147" t="s">
        <v>119</v>
      </c>
      <c r="AT134" s="147" t="s">
        <v>115</v>
      </c>
      <c r="AU134" s="147" t="s">
        <v>120</v>
      </c>
      <c r="AY134" s="16" t="s">
        <v>113</v>
      </c>
      <c r="BE134" s="148">
        <f>IF(N134="základná",J134,0)</f>
        <v>0</v>
      </c>
      <c r="BF134" s="148">
        <f>IF(N134="znížená",J134,0)</f>
        <v>0</v>
      </c>
      <c r="BG134" s="148">
        <f>IF(N134="zákl. prenesená",J134,0)</f>
        <v>0</v>
      </c>
      <c r="BH134" s="148">
        <f>IF(N134="zníž. prenesená",J134,0)</f>
        <v>0</v>
      </c>
      <c r="BI134" s="148">
        <f>IF(N134="nulová",J134,0)</f>
        <v>0</v>
      </c>
      <c r="BJ134" s="16" t="s">
        <v>120</v>
      </c>
      <c r="BK134" s="148">
        <f>ROUND(I134*H134,2)</f>
        <v>0</v>
      </c>
      <c r="BL134" s="16" t="s">
        <v>119</v>
      </c>
      <c r="BM134" s="147" t="s">
        <v>126</v>
      </c>
    </row>
    <row r="135" spans="1:65" s="13" customFormat="1" x14ac:dyDescent="0.2">
      <c r="B135" s="149"/>
      <c r="C135" s="204"/>
      <c r="D135" s="150" t="s">
        <v>122</v>
      </c>
      <c r="E135" s="151" t="s">
        <v>1</v>
      </c>
      <c r="F135" s="152" t="s">
        <v>1117</v>
      </c>
      <c r="H135" s="153">
        <v>5.6230000000000002</v>
      </c>
      <c r="L135" s="149"/>
      <c r="M135" s="154"/>
      <c r="N135" s="155"/>
      <c r="O135" s="155"/>
      <c r="P135" s="155"/>
      <c r="Q135" s="155"/>
      <c r="R135" s="155"/>
      <c r="S135" s="155"/>
      <c r="T135" s="156"/>
      <c r="V135" s="185"/>
      <c r="AT135" s="151" t="s">
        <v>122</v>
      </c>
      <c r="AU135" s="151" t="s">
        <v>120</v>
      </c>
      <c r="AV135" s="13" t="s">
        <v>120</v>
      </c>
      <c r="AW135" s="13" t="s">
        <v>28</v>
      </c>
      <c r="AX135" s="13" t="s">
        <v>72</v>
      </c>
      <c r="AY135" s="151" t="s">
        <v>113</v>
      </c>
    </row>
    <row r="136" spans="1:65" s="13" customFormat="1" x14ac:dyDescent="0.2">
      <c r="B136" s="149"/>
      <c r="C136" s="204"/>
      <c r="D136" s="150" t="s">
        <v>122</v>
      </c>
      <c r="E136" s="151" t="s">
        <v>1</v>
      </c>
      <c r="F136" s="152" t="s">
        <v>127</v>
      </c>
      <c r="H136" s="153">
        <v>9.3719999999999999</v>
      </c>
      <c r="L136" s="149"/>
      <c r="M136" s="154"/>
      <c r="N136" s="155"/>
      <c r="O136" s="155"/>
      <c r="P136" s="155"/>
      <c r="Q136" s="155"/>
      <c r="R136" s="155"/>
      <c r="S136" s="155"/>
      <c r="T136" s="156"/>
      <c r="V136" s="185"/>
      <c r="AT136" s="151" t="s">
        <v>122</v>
      </c>
      <c r="AU136" s="151" t="s">
        <v>120</v>
      </c>
      <c r="AV136" s="13" t="s">
        <v>120</v>
      </c>
      <c r="AW136" s="13" t="s">
        <v>28</v>
      </c>
      <c r="AX136" s="13" t="s">
        <v>72</v>
      </c>
      <c r="AY136" s="151" t="s">
        <v>113</v>
      </c>
    </row>
    <row r="137" spans="1:65" s="14" customFormat="1" x14ac:dyDescent="0.2">
      <c r="B137" s="157"/>
      <c r="C137" s="205"/>
      <c r="D137" s="150" t="s">
        <v>122</v>
      </c>
      <c r="E137" s="158" t="s">
        <v>1</v>
      </c>
      <c r="F137" s="159" t="s">
        <v>128</v>
      </c>
      <c r="H137" s="160">
        <f>H135+H136</f>
        <v>14.995000000000001</v>
      </c>
      <c r="L137" s="157"/>
      <c r="M137" s="161"/>
      <c r="N137" s="162"/>
      <c r="O137" s="162"/>
      <c r="P137" s="162"/>
      <c r="Q137" s="162"/>
      <c r="R137" s="162"/>
      <c r="S137" s="162"/>
      <c r="T137" s="163"/>
      <c r="V137" s="186"/>
      <c r="AT137" s="158" t="s">
        <v>122</v>
      </c>
      <c r="AU137" s="158" t="s">
        <v>120</v>
      </c>
      <c r="AV137" s="14" t="s">
        <v>119</v>
      </c>
      <c r="AW137" s="14" t="s">
        <v>28</v>
      </c>
      <c r="AX137" s="14" t="s">
        <v>77</v>
      </c>
      <c r="AY137" s="158" t="s">
        <v>113</v>
      </c>
    </row>
    <row r="138" spans="1:65" s="12" customFormat="1" ht="22.9" customHeight="1" x14ac:dyDescent="0.2">
      <c r="B138" s="123"/>
      <c r="C138" s="206"/>
      <c r="D138" s="124" t="s">
        <v>71</v>
      </c>
      <c r="E138" s="133" t="s">
        <v>120</v>
      </c>
      <c r="F138" s="133" t="s">
        <v>129</v>
      </c>
      <c r="J138" s="134">
        <f>BK138</f>
        <v>0</v>
      </c>
      <c r="L138" s="123"/>
      <c r="M138" s="127"/>
      <c r="N138" s="128"/>
      <c r="O138" s="128"/>
      <c r="P138" s="129">
        <f>SUM(P139:P148)</f>
        <v>10.511268849999999</v>
      </c>
      <c r="Q138" s="128"/>
      <c r="R138" s="129">
        <f>SUM(R139:R148)</f>
        <v>27.803154399999997</v>
      </c>
      <c r="S138" s="128"/>
      <c r="T138" s="130">
        <f>SUM(T139:T148)</f>
        <v>0</v>
      </c>
      <c r="V138" s="184"/>
      <c r="AR138" s="124" t="s">
        <v>77</v>
      </c>
      <c r="AT138" s="131" t="s">
        <v>71</v>
      </c>
      <c r="AU138" s="131" t="s">
        <v>77</v>
      </c>
      <c r="AY138" s="124" t="s">
        <v>113</v>
      </c>
      <c r="BK138" s="132">
        <f>SUM(BK139:BK148)</f>
        <v>0</v>
      </c>
    </row>
    <row r="139" spans="1:65" s="2" customFormat="1" ht="24" customHeight="1" x14ac:dyDescent="0.2">
      <c r="A139" s="28"/>
      <c r="B139" s="135"/>
      <c r="C139" s="203" t="s">
        <v>130</v>
      </c>
      <c r="D139" s="136" t="s">
        <v>115</v>
      </c>
      <c r="E139" s="137" t="s">
        <v>131</v>
      </c>
      <c r="F139" s="138" t="s">
        <v>132</v>
      </c>
      <c r="G139" s="139" t="s">
        <v>118</v>
      </c>
      <c r="H139" s="140">
        <v>4.9989999999999997</v>
      </c>
      <c r="I139" s="141"/>
      <c r="J139" s="141">
        <f>ROUND(I139*H139,2)</f>
        <v>0</v>
      </c>
      <c r="K139" s="142"/>
      <c r="L139" s="29"/>
      <c r="M139" s="143" t="s">
        <v>1</v>
      </c>
      <c r="N139" s="144" t="s">
        <v>38</v>
      </c>
      <c r="O139" s="145">
        <v>1.1317999999999999</v>
      </c>
      <c r="P139" s="145">
        <f>O139*H139</f>
        <v>5.6578681999999993</v>
      </c>
      <c r="Q139" s="145">
        <v>2.0699999999999998</v>
      </c>
      <c r="R139" s="145">
        <f>Q139*H139</f>
        <v>10.347929999999998</v>
      </c>
      <c r="S139" s="145">
        <v>0</v>
      </c>
      <c r="T139" s="146">
        <f>S139*H139</f>
        <v>0</v>
      </c>
      <c r="U139" s="28"/>
      <c r="V139" s="179"/>
      <c r="W139" s="28"/>
      <c r="X139" s="28"/>
      <c r="Y139" s="28"/>
      <c r="Z139" s="28"/>
      <c r="AA139" s="28"/>
      <c r="AB139" s="28"/>
      <c r="AC139" s="28"/>
      <c r="AD139" s="28"/>
      <c r="AE139" s="28"/>
      <c r="AR139" s="147" t="s">
        <v>119</v>
      </c>
      <c r="AT139" s="147" t="s">
        <v>115</v>
      </c>
      <c r="AU139" s="147" t="s">
        <v>120</v>
      </c>
      <c r="AY139" s="16" t="s">
        <v>113</v>
      </c>
      <c r="BE139" s="148">
        <f>IF(N139="základná",J139,0)</f>
        <v>0</v>
      </c>
      <c r="BF139" s="148">
        <f>IF(N139="znížená",J139,0)</f>
        <v>0</v>
      </c>
      <c r="BG139" s="148">
        <f>IF(N139="zákl. prenesená",J139,0)</f>
        <v>0</v>
      </c>
      <c r="BH139" s="148">
        <f>IF(N139="zníž. prenesená",J139,0)</f>
        <v>0</v>
      </c>
      <c r="BI139" s="148">
        <f>IF(N139="nulová",J139,0)</f>
        <v>0</v>
      </c>
      <c r="BJ139" s="16" t="s">
        <v>120</v>
      </c>
      <c r="BK139" s="148">
        <f>ROUND(I139*H139,2)</f>
        <v>0</v>
      </c>
      <c r="BL139" s="16" t="s">
        <v>119</v>
      </c>
      <c r="BM139" s="147" t="s">
        <v>133</v>
      </c>
    </row>
    <row r="140" spans="1:65" s="13" customFormat="1" x14ac:dyDescent="0.2">
      <c r="B140" s="149"/>
      <c r="C140" s="204"/>
      <c r="D140" s="150" t="s">
        <v>122</v>
      </c>
      <c r="E140" s="151" t="s">
        <v>1</v>
      </c>
      <c r="F140" s="152" t="s">
        <v>1118</v>
      </c>
      <c r="H140" s="153">
        <v>1.875</v>
      </c>
      <c r="L140" s="149"/>
      <c r="M140" s="154"/>
      <c r="N140" s="155"/>
      <c r="O140" s="155"/>
      <c r="P140" s="155"/>
      <c r="Q140" s="155"/>
      <c r="R140" s="155"/>
      <c r="S140" s="155"/>
      <c r="T140" s="156"/>
      <c r="V140" s="185"/>
      <c r="AT140" s="151" t="s">
        <v>122</v>
      </c>
      <c r="AU140" s="151" t="s">
        <v>120</v>
      </c>
      <c r="AV140" s="13" t="s">
        <v>120</v>
      </c>
      <c r="AW140" s="13" t="s">
        <v>28</v>
      </c>
      <c r="AX140" s="13" t="s">
        <v>72</v>
      </c>
      <c r="AY140" s="151" t="s">
        <v>113</v>
      </c>
    </row>
    <row r="141" spans="1:65" s="13" customFormat="1" x14ac:dyDescent="0.2">
      <c r="B141" s="149"/>
      <c r="C141" s="204"/>
      <c r="D141" s="150" t="s">
        <v>122</v>
      </c>
      <c r="E141" s="151" t="s">
        <v>1</v>
      </c>
      <c r="F141" s="152" t="s">
        <v>134</v>
      </c>
      <c r="H141" s="153">
        <v>3.1240000000000001</v>
      </c>
      <c r="L141" s="149"/>
      <c r="M141" s="154"/>
      <c r="N141" s="155"/>
      <c r="O141" s="155"/>
      <c r="P141" s="155"/>
      <c r="Q141" s="155"/>
      <c r="R141" s="155"/>
      <c r="S141" s="155"/>
      <c r="T141" s="156"/>
      <c r="V141" s="185"/>
      <c r="AT141" s="151" t="s">
        <v>122</v>
      </c>
      <c r="AU141" s="151" t="s">
        <v>120</v>
      </c>
      <c r="AV141" s="13" t="s">
        <v>120</v>
      </c>
      <c r="AW141" s="13" t="s">
        <v>28</v>
      </c>
      <c r="AX141" s="13" t="s">
        <v>72</v>
      </c>
      <c r="AY141" s="151" t="s">
        <v>113</v>
      </c>
    </row>
    <row r="142" spans="1:65" s="14" customFormat="1" x14ac:dyDescent="0.2">
      <c r="B142" s="157"/>
      <c r="C142" s="205"/>
      <c r="D142" s="150" t="s">
        <v>122</v>
      </c>
      <c r="E142" s="158" t="s">
        <v>1</v>
      </c>
      <c r="F142" s="159" t="s">
        <v>128</v>
      </c>
      <c r="H142" s="160">
        <f>H140+H141</f>
        <v>4.9990000000000006</v>
      </c>
      <c r="L142" s="157"/>
      <c r="M142" s="161"/>
      <c r="N142" s="162"/>
      <c r="O142" s="162"/>
      <c r="P142" s="162"/>
      <c r="Q142" s="162"/>
      <c r="R142" s="162"/>
      <c r="S142" s="162"/>
      <c r="T142" s="163"/>
      <c r="V142" s="186"/>
      <c r="AT142" s="158" t="s">
        <v>122</v>
      </c>
      <c r="AU142" s="158" t="s">
        <v>120</v>
      </c>
      <c r="AV142" s="14" t="s">
        <v>119</v>
      </c>
      <c r="AW142" s="14" t="s">
        <v>28</v>
      </c>
      <c r="AX142" s="14" t="s">
        <v>77</v>
      </c>
      <c r="AY142" s="158" t="s">
        <v>113</v>
      </c>
    </row>
    <row r="143" spans="1:65" s="2" customFormat="1" ht="16.5" customHeight="1" x14ac:dyDescent="0.2">
      <c r="A143" s="28"/>
      <c r="B143" s="135"/>
      <c r="C143" s="203" t="s">
        <v>119</v>
      </c>
      <c r="D143" s="136" t="s">
        <v>115</v>
      </c>
      <c r="E143" s="137" t="s">
        <v>135</v>
      </c>
      <c r="F143" s="138" t="s">
        <v>136</v>
      </c>
      <c r="G143" s="139" t="s">
        <v>118</v>
      </c>
      <c r="H143" s="140">
        <v>7.4989999999999997</v>
      </c>
      <c r="I143" s="141"/>
      <c r="J143" s="141">
        <f>ROUND(I143*H143,2)</f>
        <v>0</v>
      </c>
      <c r="K143" s="142"/>
      <c r="L143" s="29"/>
      <c r="M143" s="143" t="s">
        <v>1</v>
      </c>
      <c r="N143" s="144" t="s">
        <v>38</v>
      </c>
      <c r="O143" s="145">
        <v>0.61770999999999998</v>
      </c>
      <c r="P143" s="145">
        <f>O143*H143</f>
        <v>4.6322072899999993</v>
      </c>
      <c r="Q143" s="145">
        <v>2.2151299999999998</v>
      </c>
      <c r="R143" s="145">
        <f>Q143*H143</f>
        <v>16.611259869999998</v>
      </c>
      <c r="S143" s="145">
        <v>0</v>
      </c>
      <c r="T143" s="146">
        <f>S143*H143</f>
        <v>0</v>
      </c>
      <c r="U143" s="28"/>
      <c r="V143" s="179"/>
      <c r="W143" s="28"/>
      <c r="X143" s="28"/>
      <c r="Y143" s="28"/>
      <c r="Z143" s="28"/>
      <c r="AA143" s="28"/>
      <c r="AB143" s="28"/>
      <c r="AC143" s="28"/>
      <c r="AD143" s="28"/>
      <c r="AE143" s="28"/>
      <c r="AR143" s="147" t="s">
        <v>119</v>
      </c>
      <c r="AT143" s="147" t="s">
        <v>115</v>
      </c>
      <c r="AU143" s="147" t="s">
        <v>120</v>
      </c>
      <c r="AY143" s="16" t="s">
        <v>113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6" t="s">
        <v>120</v>
      </c>
      <c r="BK143" s="148">
        <f>ROUND(I143*H143,2)</f>
        <v>0</v>
      </c>
      <c r="BL143" s="16" t="s">
        <v>119</v>
      </c>
      <c r="BM143" s="147" t="s">
        <v>137</v>
      </c>
    </row>
    <row r="144" spans="1:65" s="13" customFormat="1" x14ac:dyDescent="0.2">
      <c r="B144" s="149"/>
      <c r="C144" s="204"/>
      <c r="D144" s="150" t="s">
        <v>122</v>
      </c>
      <c r="E144" s="151" t="s">
        <v>1</v>
      </c>
      <c r="F144" s="152" t="s">
        <v>1119</v>
      </c>
      <c r="H144" s="153">
        <v>2.8130000000000002</v>
      </c>
      <c r="L144" s="149"/>
      <c r="M144" s="154"/>
      <c r="N144" s="155"/>
      <c r="O144" s="155"/>
      <c r="P144" s="155"/>
      <c r="Q144" s="155"/>
      <c r="R144" s="155"/>
      <c r="S144" s="155"/>
      <c r="T144" s="156"/>
      <c r="V144" s="185"/>
      <c r="AT144" s="151" t="s">
        <v>122</v>
      </c>
      <c r="AU144" s="151" t="s">
        <v>120</v>
      </c>
      <c r="AV144" s="13" t="s">
        <v>120</v>
      </c>
      <c r="AW144" s="13" t="s">
        <v>28</v>
      </c>
      <c r="AX144" s="13" t="s">
        <v>72</v>
      </c>
      <c r="AY144" s="151" t="s">
        <v>113</v>
      </c>
    </row>
    <row r="145" spans="1:65" s="2" customFormat="1" ht="16.5" customHeight="1" x14ac:dyDescent="0.2">
      <c r="A145" s="364"/>
      <c r="B145" s="135"/>
      <c r="C145" s="365"/>
      <c r="D145" s="366"/>
      <c r="E145" s="367"/>
      <c r="F145" s="368" t="s">
        <v>1120</v>
      </c>
      <c r="G145" s="369"/>
      <c r="H145" s="370">
        <v>4.6859999999999999</v>
      </c>
      <c r="I145" s="371"/>
      <c r="J145" s="371"/>
      <c r="K145" s="372"/>
      <c r="L145" s="29"/>
      <c r="M145" s="143"/>
      <c r="N145" s="144"/>
      <c r="O145" s="145"/>
      <c r="P145" s="145"/>
      <c r="Q145" s="145"/>
      <c r="R145" s="145"/>
      <c r="S145" s="145"/>
      <c r="T145" s="146"/>
      <c r="U145" s="364"/>
      <c r="V145" s="179"/>
      <c r="W145" s="364"/>
      <c r="X145" s="364"/>
      <c r="Y145" s="364"/>
      <c r="Z145" s="364"/>
      <c r="AA145" s="364"/>
      <c r="AB145" s="364"/>
      <c r="AC145" s="364"/>
      <c r="AD145" s="364"/>
      <c r="AE145" s="364"/>
      <c r="AR145" s="147"/>
      <c r="AT145" s="147"/>
      <c r="AU145" s="147"/>
      <c r="AY145" s="16"/>
      <c r="BE145" s="148"/>
      <c r="BF145" s="148"/>
      <c r="BG145" s="148"/>
      <c r="BH145" s="148"/>
      <c r="BI145" s="148"/>
      <c r="BJ145" s="16"/>
      <c r="BK145" s="148"/>
      <c r="BL145" s="16"/>
      <c r="BM145" s="147"/>
    </row>
    <row r="146" spans="1:65" s="14" customFormat="1" x14ac:dyDescent="0.2">
      <c r="B146" s="157"/>
      <c r="C146" s="205"/>
      <c r="D146" s="150" t="s">
        <v>122</v>
      </c>
      <c r="E146" s="158" t="s">
        <v>1</v>
      </c>
      <c r="F146" s="159" t="s">
        <v>128</v>
      </c>
      <c r="H146" s="160">
        <f>H144+H145</f>
        <v>7.4990000000000006</v>
      </c>
      <c r="L146" s="157"/>
      <c r="M146" s="161"/>
      <c r="N146" s="162"/>
      <c r="O146" s="162"/>
      <c r="P146" s="162"/>
      <c r="Q146" s="162"/>
      <c r="R146" s="162"/>
      <c r="S146" s="162"/>
      <c r="T146" s="163"/>
      <c r="V146" s="186"/>
      <c r="AT146" s="158" t="s">
        <v>122</v>
      </c>
      <c r="AU146" s="158" t="s">
        <v>120</v>
      </c>
      <c r="AV146" s="14" t="s">
        <v>119</v>
      </c>
      <c r="AW146" s="14" t="s">
        <v>28</v>
      </c>
      <c r="AX146" s="14" t="s">
        <v>77</v>
      </c>
      <c r="AY146" s="158" t="s">
        <v>113</v>
      </c>
    </row>
    <row r="147" spans="1:65" s="2" customFormat="1" ht="16.5" customHeight="1" x14ac:dyDescent="0.2">
      <c r="A147" s="28"/>
      <c r="B147" s="135"/>
      <c r="C147" s="203" t="s">
        <v>138</v>
      </c>
      <c r="D147" s="136" t="s">
        <v>115</v>
      </c>
      <c r="E147" s="137" t="s">
        <v>139</v>
      </c>
      <c r="F147" s="138" t="s">
        <v>140</v>
      </c>
      <c r="G147" s="139" t="s">
        <v>118</v>
      </c>
      <c r="H147" s="140">
        <v>0.38100000000000001</v>
      </c>
      <c r="I147" s="141"/>
      <c r="J147" s="141">
        <f>ROUND(I147*H147,2)</f>
        <v>0</v>
      </c>
      <c r="K147" s="142"/>
      <c r="L147" s="29"/>
      <c r="M147" s="143" t="s">
        <v>1</v>
      </c>
      <c r="N147" s="144" t="s">
        <v>38</v>
      </c>
      <c r="O147" s="145">
        <v>0.58055999999999996</v>
      </c>
      <c r="P147" s="145">
        <f>O147*H147</f>
        <v>0.22119335999999998</v>
      </c>
      <c r="Q147" s="145">
        <v>2.2151299999999998</v>
      </c>
      <c r="R147" s="145">
        <f>Q147*H147</f>
        <v>0.84396452999999994</v>
      </c>
      <c r="S147" s="145">
        <v>0</v>
      </c>
      <c r="T147" s="146">
        <f>S147*H147</f>
        <v>0</v>
      </c>
      <c r="U147" s="28"/>
      <c r="V147" s="179"/>
      <c r="W147" s="28"/>
      <c r="X147" s="28"/>
      <c r="Y147" s="28"/>
      <c r="Z147" s="28"/>
      <c r="AA147" s="28"/>
      <c r="AB147" s="28"/>
      <c r="AC147" s="28"/>
      <c r="AD147" s="28"/>
      <c r="AE147" s="28"/>
      <c r="AR147" s="147" t="s">
        <v>119</v>
      </c>
      <c r="AT147" s="147" t="s">
        <v>115</v>
      </c>
      <c r="AU147" s="147" t="s">
        <v>120</v>
      </c>
      <c r="AY147" s="16" t="s">
        <v>113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6" t="s">
        <v>120</v>
      </c>
      <c r="BK147" s="148">
        <f>ROUND(I147*H147,2)</f>
        <v>0</v>
      </c>
      <c r="BL147" s="16" t="s">
        <v>119</v>
      </c>
      <c r="BM147" s="147" t="s">
        <v>141</v>
      </c>
    </row>
    <row r="148" spans="1:65" s="13" customFormat="1" x14ac:dyDescent="0.2">
      <c r="B148" s="149"/>
      <c r="C148" s="204"/>
      <c r="D148" s="150" t="s">
        <v>122</v>
      </c>
      <c r="E148" s="151" t="s">
        <v>1</v>
      </c>
      <c r="F148" s="152" t="s">
        <v>123</v>
      </c>
      <c r="H148" s="153">
        <v>0.38100000000000001</v>
      </c>
      <c r="L148" s="149"/>
      <c r="M148" s="154"/>
      <c r="N148" s="155"/>
      <c r="O148" s="155"/>
      <c r="P148" s="155"/>
      <c r="Q148" s="155"/>
      <c r="R148" s="155"/>
      <c r="S148" s="155"/>
      <c r="T148" s="156"/>
      <c r="V148" s="185"/>
      <c r="AT148" s="151" t="s">
        <v>122</v>
      </c>
      <c r="AU148" s="151" t="s">
        <v>120</v>
      </c>
      <c r="AV148" s="13" t="s">
        <v>120</v>
      </c>
      <c r="AW148" s="13" t="s">
        <v>28</v>
      </c>
      <c r="AX148" s="13" t="s">
        <v>77</v>
      </c>
      <c r="AY148" s="151" t="s">
        <v>113</v>
      </c>
    </row>
    <row r="149" spans="1:65" s="12" customFormat="1" ht="22.9" customHeight="1" x14ac:dyDescent="0.2">
      <c r="B149" s="123"/>
      <c r="C149" s="206"/>
      <c r="D149" s="124" t="s">
        <v>71</v>
      </c>
      <c r="E149" s="133" t="s">
        <v>130</v>
      </c>
      <c r="F149" s="133" t="s">
        <v>142</v>
      </c>
      <c r="J149" s="134">
        <f>BK149</f>
        <v>0</v>
      </c>
      <c r="L149" s="123"/>
      <c r="M149" s="127"/>
      <c r="N149" s="128"/>
      <c r="O149" s="128"/>
      <c r="P149" s="129">
        <f>SUM(P150:P159)</f>
        <v>29.135835</v>
      </c>
      <c r="Q149" s="128"/>
      <c r="R149" s="129">
        <f>SUM(R150:R159)</f>
        <v>3.4986526499999999</v>
      </c>
      <c r="S149" s="128"/>
      <c r="T149" s="130">
        <f>SUM(T150:T159)</f>
        <v>0</v>
      </c>
      <c r="V149" s="184"/>
      <c r="AR149" s="124" t="s">
        <v>77</v>
      </c>
      <c r="AT149" s="131" t="s">
        <v>71</v>
      </c>
      <c r="AU149" s="131" t="s">
        <v>77</v>
      </c>
      <c r="AY149" s="124" t="s">
        <v>113</v>
      </c>
      <c r="BK149" s="132">
        <f>SUM(BK150:BK159)</f>
        <v>0</v>
      </c>
    </row>
    <row r="150" spans="1:65" s="2" customFormat="1" ht="16.5" customHeight="1" x14ac:dyDescent="0.2">
      <c r="A150" s="28"/>
      <c r="B150" s="135"/>
      <c r="C150" s="203" t="s">
        <v>143</v>
      </c>
      <c r="D150" s="136" t="s">
        <v>115</v>
      </c>
      <c r="E150" s="137" t="s">
        <v>144</v>
      </c>
      <c r="F150" s="138" t="s">
        <v>145</v>
      </c>
      <c r="G150" s="139" t="s">
        <v>146</v>
      </c>
      <c r="H150" s="140">
        <v>5</v>
      </c>
      <c r="I150" s="141"/>
      <c r="J150" s="141">
        <f>ROUND(I150*H150,2)</f>
        <v>0</v>
      </c>
      <c r="K150" s="142"/>
      <c r="L150" s="29"/>
      <c r="M150" s="143" t="s">
        <v>1</v>
      </c>
      <c r="N150" s="144" t="s">
        <v>38</v>
      </c>
      <c r="O150" s="145">
        <v>0.50519999999999998</v>
      </c>
      <c r="P150" s="145">
        <f>O150*H150</f>
        <v>2.5259999999999998</v>
      </c>
      <c r="Q150" s="145">
        <v>1.5299999999999999E-3</v>
      </c>
      <c r="R150" s="145">
        <f>Q150*H150</f>
        <v>7.6499999999999997E-3</v>
      </c>
      <c r="S150" s="145">
        <v>0</v>
      </c>
      <c r="T150" s="146">
        <f>S150*H150</f>
        <v>0</v>
      </c>
      <c r="U150" s="28"/>
      <c r="V150" s="179"/>
      <c r="W150" s="28"/>
      <c r="X150" s="28"/>
      <c r="Y150" s="28"/>
      <c r="Z150" s="28"/>
      <c r="AA150" s="28"/>
      <c r="AB150" s="28"/>
      <c r="AC150" s="28"/>
      <c r="AD150" s="28"/>
      <c r="AE150" s="28"/>
      <c r="AR150" s="147" t="s">
        <v>119</v>
      </c>
      <c r="AT150" s="147" t="s">
        <v>115</v>
      </c>
      <c r="AU150" s="147" t="s">
        <v>120</v>
      </c>
      <c r="AY150" s="16" t="s">
        <v>113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6" t="s">
        <v>120</v>
      </c>
      <c r="BK150" s="148">
        <f>ROUND(I150*H150,2)</f>
        <v>0</v>
      </c>
      <c r="BL150" s="16" t="s">
        <v>119</v>
      </c>
      <c r="BM150" s="147" t="s">
        <v>147</v>
      </c>
    </row>
    <row r="151" spans="1:65" s="2" customFormat="1" ht="16.5" customHeight="1" x14ac:dyDescent="0.2">
      <c r="A151" s="28"/>
      <c r="B151" s="135"/>
      <c r="C151" s="203" t="s">
        <v>148</v>
      </c>
      <c r="D151" s="136" t="s">
        <v>115</v>
      </c>
      <c r="E151" s="137" t="s">
        <v>149</v>
      </c>
      <c r="F151" s="138" t="s">
        <v>150</v>
      </c>
      <c r="G151" s="139" t="s">
        <v>151</v>
      </c>
      <c r="H151" s="140">
        <v>12.855</v>
      </c>
      <c r="I151" s="141"/>
      <c r="J151" s="141">
        <f>ROUND(I151*H151,2)</f>
        <v>0</v>
      </c>
      <c r="K151" s="142"/>
      <c r="L151" s="29"/>
      <c r="M151" s="143" t="s">
        <v>1</v>
      </c>
      <c r="N151" s="144" t="s">
        <v>38</v>
      </c>
      <c r="O151" s="145">
        <v>0.50519999999999998</v>
      </c>
      <c r="P151" s="145">
        <f>O151*H151</f>
        <v>6.4943460000000002</v>
      </c>
      <c r="Q151" s="145">
        <v>1.5299999999999999E-3</v>
      </c>
      <c r="R151" s="145">
        <f>Q151*H151</f>
        <v>1.9668149999999999E-2</v>
      </c>
      <c r="S151" s="145">
        <v>0</v>
      </c>
      <c r="T151" s="146">
        <f>S151*H151</f>
        <v>0</v>
      </c>
      <c r="U151" s="28"/>
      <c r="V151" s="179"/>
      <c r="W151" s="28"/>
      <c r="X151" s="28"/>
      <c r="Y151" s="28"/>
      <c r="Z151" s="28"/>
      <c r="AA151" s="28"/>
      <c r="AB151" s="28"/>
      <c r="AC151" s="28"/>
      <c r="AD151" s="28"/>
      <c r="AE151" s="28"/>
      <c r="AR151" s="147" t="s">
        <v>119</v>
      </c>
      <c r="AT151" s="147" t="s">
        <v>115</v>
      </c>
      <c r="AU151" s="147" t="s">
        <v>120</v>
      </c>
      <c r="AY151" s="16" t="s">
        <v>113</v>
      </c>
      <c r="BE151" s="148">
        <f>IF(N151="základná",J151,0)</f>
        <v>0</v>
      </c>
      <c r="BF151" s="148">
        <f>IF(N151="znížená",J151,0)</f>
        <v>0</v>
      </c>
      <c r="BG151" s="148">
        <f>IF(N151="zákl. prenesená",J151,0)</f>
        <v>0</v>
      </c>
      <c r="BH151" s="148">
        <f>IF(N151="zníž. prenesená",J151,0)</f>
        <v>0</v>
      </c>
      <c r="BI151" s="148">
        <f>IF(N151="nulová",J151,0)</f>
        <v>0</v>
      </c>
      <c r="BJ151" s="16" t="s">
        <v>120</v>
      </c>
      <c r="BK151" s="148">
        <f>ROUND(I151*H151,2)</f>
        <v>0</v>
      </c>
      <c r="BL151" s="16" t="s">
        <v>119</v>
      </c>
      <c r="BM151" s="147" t="s">
        <v>152</v>
      </c>
    </row>
    <row r="152" spans="1:65" s="13" customFormat="1" x14ac:dyDescent="0.2">
      <c r="B152" s="149"/>
      <c r="C152" s="204"/>
      <c r="D152" s="150" t="s">
        <v>122</v>
      </c>
      <c r="E152" s="151" t="s">
        <v>1</v>
      </c>
      <c r="F152" s="152" t="s">
        <v>153</v>
      </c>
      <c r="H152" s="153">
        <v>12.855</v>
      </c>
      <c r="L152" s="149"/>
      <c r="M152" s="154"/>
      <c r="N152" s="155"/>
      <c r="O152" s="155"/>
      <c r="P152" s="155"/>
      <c r="Q152" s="155"/>
      <c r="R152" s="155"/>
      <c r="S152" s="155"/>
      <c r="T152" s="156"/>
      <c r="V152" s="185"/>
      <c r="AT152" s="151" t="s">
        <v>122</v>
      </c>
      <c r="AU152" s="151" t="s">
        <v>120</v>
      </c>
      <c r="AV152" s="13" t="s">
        <v>120</v>
      </c>
      <c r="AW152" s="13" t="s">
        <v>28</v>
      </c>
      <c r="AX152" s="13" t="s">
        <v>77</v>
      </c>
      <c r="AY152" s="151" t="s">
        <v>113</v>
      </c>
    </row>
    <row r="153" spans="1:65" s="2" customFormat="1" ht="24" customHeight="1" x14ac:dyDescent="0.2">
      <c r="A153" s="28"/>
      <c r="B153" s="135"/>
      <c r="C153" s="203" t="s">
        <v>154</v>
      </c>
      <c r="D153" s="136" t="s">
        <v>115</v>
      </c>
      <c r="E153" s="137" t="s">
        <v>155</v>
      </c>
      <c r="F153" s="138" t="s">
        <v>156</v>
      </c>
      <c r="G153" s="139" t="s">
        <v>146</v>
      </c>
      <c r="H153" s="140">
        <v>5</v>
      </c>
      <c r="I153" s="141"/>
      <c r="J153" s="141">
        <f>ROUND(I153*H153,2)</f>
        <v>0</v>
      </c>
      <c r="K153" s="142"/>
      <c r="L153" s="29"/>
      <c r="M153" s="143" t="s">
        <v>1</v>
      </c>
      <c r="N153" s="144" t="s">
        <v>38</v>
      </c>
      <c r="O153" s="145">
        <v>0.25336999999999998</v>
      </c>
      <c r="P153" s="145">
        <f>O153*H153</f>
        <v>1.2668499999999998</v>
      </c>
      <c r="Q153" s="145">
        <v>5.5079999999999997E-2</v>
      </c>
      <c r="R153" s="145">
        <f>Q153*H153</f>
        <v>0.27539999999999998</v>
      </c>
      <c r="S153" s="145">
        <v>0</v>
      </c>
      <c r="T153" s="146">
        <f>S153*H153</f>
        <v>0</v>
      </c>
      <c r="U153" s="28"/>
      <c r="V153" s="179"/>
      <c r="W153" s="28"/>
      <c r="X153" s="28"/>
      <c r="Y153" s="28"/>
      <c r="Z153" s="28"/>
      <c r="AA153" s="28"/>
      <c r="AB153" s="28"/>
      <c r="AC153" s="28"/>
      <c r="AD153" s="28"/>
      <c r="AE153" s="28"/>
      <c r="AR153" s="147" t="s">
        <v>119</v>
      </c>
      <c r="AT153" s="147" t="s">
        <v>115</v>
      </c>
      <c r="AU153" s="147" t="s">
        <v>120</v>
      </c>
      <c r="AY153" s="16" t="s">
        <v>113</v>
      </c>
      <c r="BE153" s="148">
        <f>IF(N153="základná",J153,0)</f>
        <v>0</v>
      </c>
      <c r="BF153" s="148">
        <f>IF(N153="znížená",J153,0)</f>
        <v>0</v>
      </c>
      <c r="BG153" s="148">
        <f>IF(N153="zákl. prenesená",J153,0)</f>
        <v>0</v>
      </c>
      <c r="BH153" s="148">
        <f>IF(N153="zníž. prenesená",J153,0)</f>
        <v>0</v>
      </c>
      <c r="BI153" s="148">
        <f>IF(N153="nulová",J153,0)</f>
        <v>0</v>
      </c>
      <c r="BJ153" s="16" t="s">
        <v>120</v>
      </c>
      <c r="BK153" s="148">
        <f>ROUND(I153*H153,2)</f>
        <v>0</v>
      </c>
      <c r="BL153" s="16" t="s">
        <v>119</v>
      </c>
      <c r="BM153" s="147" t="s">
        <v>157</v>
      </c>
    </row>
    <row r="154" spans="1:65" s="2" customFormat="1" ht="24" customHeight="1" x14ac:dyDescent="0.2">
      <c r="A154" s="188"/>
      <c r="B154" s="135"/>
      <c r="C154" s="203" t="s">
        <v>158</v>
      </c>
      <c r="D154" s="136" t="s">
        <v>115</v>
      </c>
      <c r="E154" s="137" t="s">
        <v>489</v>
      </c>
      <c r="F154" s="138" t="s">
        <v>490</v>
      </c>
      <c r="G154" s="139" t="s">
        <v>161</v>
      </c>
      <c r="H154" s="140">
        <v>1.08</v>
      </c>
      <c r="I154" s="141"/>
      <c r="J154" s="141">
        <f>ROUND(I154*H154,2)</f>
        <v>0</v>
      </c>
      <c r="K154" s="142"/>
      <c r="L154" s="29"/>
      <c r="M154" s="143" t="s">
        <v>1</v>
      </c>
      <c r="N154" s="144" t="s">
        <v>38</v>
      </c>
      <c r="O154" s="145">
        <v>0.42427999999999999</v>
      </c>
      <c r="P154" s="145">
        <f>O154*H154</f>
        <v>0.45822240000000003</v>
      </c>
      <c r="Q154" s="145">
        <v>7.1940000000000004E-2</v>
      </c>
      <c r="R154" s="145">
        <f>Q154*H154</f>
        <v>7.7695200000000006E-2</v>
      </c>
      <c r="S154" s="145">
        <v>0</v>
      </c>
      <c r="T154" s="146">
        <f>S154*H154</f>
        <v>0</v>
      </c>
      <c r="U154" s="188"/>
      <c r="V154" s="179"/>
      <c r="W154" s="188"/>
      <c r="X154" s="188"/>
      <c r="Y154" s="188"/>
      <c r="Z154" s="188"/>
      <c r="AA154" s="188"/>
      <c r="AB154" s="188"/>
      <c r="AC154" s="188"/>
      <c r="AD154" s="188"/>
      <c r="AE154" s="188"/>
      <c r="AR154" s="147" t="s">
        <v>119</v>
      </c>
      <c r="AT154" s="147" t="s">
        <v>115</v>
      </c>
      <c r="AU154" s="147" t="s">
        <v>120</v>
      </c>
      <c r="AY154" s="16" t="s">
        <v>113</v>
      </c>
      <c r="BE154" s="148">
        <f>IF(N154="základná",J154,0)</f>
        <v>0</v>
      </c>
      <c r="BF154" s="148">
        <f>IF(N154="znížená",J154,0)</f>
        <v>0</v>
      </c>
      <c r="BG154" s="148">
        <f>IF(N154="zákl. prenesená",J154,0)</f>
        <v>0</v>
      </c>
      <c r="BH154" s="148">
        <f>IF(N154="zníž. prenesená",J154,0)</f>
        <v>0</v>
      </c>
      <c r="BI154" s="148">
        <f>IF(N154="nulová",J154,0)</f>
        <v>0</v>
      </c>
      <c r="BJ154" s="16" t="s">
        <v>120</v>
      </c>
      <c r="BK154" s="148">
        <f>ROUND(I154*H154,2)</f>
        <v>0</v>
      </c>
      <c r="BL154" s="16" t="s">
        <v>119</v>
      </c>
      <c r="BM154" s="147" t="s">
        <v>162</v>
      </c>
    </row>
    <row r="155" spans="1:65" s="13" customFormat="1" x14ac:dyDescent="0.2">
      <c r="B155" s="149"/>
      <c r="C155" s="204"/>
      <c r="D155" s="150" t="s">
        <v>122</v>
      </c>
      <c r="E155" s="151" t="s">
        <v>1</v>
      </c>
      <c r="F155" s="152" t="s">
        <v>491</v>
      </c>
      <c r="H155" s="153">
        <v>1.08</v>
      </c>
      <c r="L155" s="149"/>
      <c r="M155" s="154"/>
      <c r="N155" s="155"/>
      <c r="O155" s="155"/>
      <c r="P155" s="155"/>
      <c r="Q155" s="155"/>
      <c r="R155" s="155"/>
      <c r="S155" s="155"/>
      <c r="T155" s="156"/>
      <c r="V155" s="185"/>
      <c r="AT155" s="151" t="s">
        <v>122</v>
      </c>
      <c r="AU155" s="151" t="s">
        <v>120</v>
      </c>
      <c r="AV155" s="13" t="s">
        <v>120</v>
      </c>
      <c r="AW155" s="13" t="s">
        <v>28</v>
      </c>
      <c r="AX155" s="13" t="s">
        <v>77</v>
      </c>
      <c r="AY155" s="151" t="s">
        <v>113</v>
      </c>
    </row>
    <row r="156" spans="1:65" s="2" customFormat="1" ht="24" customHeight="1" x14ac:dyDescent="0.2">
      <c r="A156" s="28"/>
      <c r="B156" s="135"/>
      <c r="C156" s="203">
        <v>10</v>
      </c>
      <c r="D156" s="136" t="s">
        <v>115</v>
      </c>
      <c r="E156" s="137" t="s">
        <v>159</v>
      </c>
      <c r="F156" s="138" t="s">
        <v>160</v>
      </c>
      <c r="G156" s="139" t="s">
        <v>161</v>
      </c>
      <c r="H156" s="140">
        <v>43.344999999999999</v>
      </c>
      <c r="I156" s="141"/>
      <c r="J156" s="141">
        <f>ROUND(I156*H156,2)</f>
        <v>0</v>
      </c>
      <c r="K156" s="142"/>
      <c r="L156" s="29"/>
      <c r="M156" s="143" t="s">
        <v>1</v>
      </c>
      <c r="N156" s="144" t="s">
        <v>38</v>
      </c>
      <c r="O156" s="145">
        <v>0.42427999999999999</v>
      </c>
      <c r="P156" s="145">
        <f>O156*H156</f>
        <v>18.390416599999998</v>
      </c>
      <c r="Q156" s="145">
        <v>7.1940000000000004E-2</v>
      </c>
      <c r="R156" s="145">
        <f>Q156*H156</f>
        <v>3.1182392999999999</v>
      </c>
      <c r="S156" s="145">
        <v>0</v>
      </c>
      <c r="T156" s="146">
        <f>S156*H156</f>
        <v>0</v>
      </c>
      <c r="U156" s="28"/>
      <c r="V156" s="179"/>
      <c r="W156" s="28"/>
      <c r="X156" s="28"/>
      <c r="Y156" s="28"/>
      <c r="Z156" s="28"/>
      <c r="AA156" s="28"/>
      <c r="AB156" s="28"/>
      <c r="AC156" s="28"/>
      <c r="AD156" s="28"/>
      <c r="AE156" s="28"/>
      <c r="AR156" s="147" t="s">
        <v>119</v>
      </c>
      <c r="AT156" s="147" t="s">
        <v>115</v>
      </c>
      <c r="AU156" s="147" t="s">
        <v>120</v>
      </c>
      <c r="AY156" s="16" t="s">
        <v>113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6" t="s">
        <v>120</v>
      </c>
      <c r="BK156" s="148">
        <f>ROUND(I156*H156,2)</f>
        <v>0</v>
      </c>
      <c r="BL156" s="16" t="s">
        <v>119</v>
      </c>
      <c r="BM156" s="147" t="s">
        <v>162</v>
      </c>
    </row>
    <row r="157" spans="1:65" s="13" customFormat="1" x14ac:dyDescent="0.2">
      <c r="B157" s="149"/>
      <c r="C157" s="204"/>
      <c r="D157" s="150" t="s">
        <v>122</v>
      </c>
      <c r="E157" s="151" t="s">
        <v>1</v>
      </c>
      <c r="F157" s="152" t="s">
        <v>163</v>
      </c>
      <c r="H157" s="153">
        <v>50.55</v>
      </c>
      <c r="L157" s="149"/>
      <c r="M157" s="154"/>
      <c r="N157" s="155"/>
      <c r="O157" s="155"/>
      <c r="P157" s="155"/>
      <c r="Q157" s="155"/>
      <c r="R157" s="155"/>
      <c r="S157" s="155"/>
      <c r="T157" s="156"/>
      <c r="V157" s="185"/>
      <c r="AT157" s="151" t="s">
        <v>122</v>
      </c>
      <c r="AU157" s="151" t="s">
        <v>120</v>
      </c>
      <c r="AV157" s="13" t="s">
        <v>120</v>
      </c>
      <c r="AW157" s="13" t="s">
        <v>28</v>
      </c>
      <c r="AX157" s="13" t="s">
        <v>72</v>
      </c>
      <c r="AY157" s="151" t="s">
        <v>113</v>
      </c>
    </row>
    <row r="158" spans="1:65" s="13" customFormat="1" x14ac:dyDescent="0.2">
      <c r="B158" s="149"/>
      <c r="C158" s="204"/>
      <c r="D158" s="150" t="s">
        <v>122</v>
      </c>
      <c r="E158" s="151" t="s">
        <v>1</v>
      </c>
      <c r="F158" s="152" t="s">
        <v>164</v>
      </c>
      <c r="H158" s="153">
        <v>-7.2050000000000001</v>
      </c>
      <c r="L158" s="149"/>
      <c r="M158" s="154"/>
      <c r="N158" s="155"/>
      <c r="O158" s="155"/>
      <c r="P158" s="155"/>
      <c r="Q158" s="155"/>
      <c r="R158" s="155"/>
      <c r="S158" s="155"/>
      <c r="T158" s="156"/>
      <c r="V158" s="185"/>
      <c r="AT158" s="151" t="s">
        <v>122</v>
      </c>
      <c r="AU158" s="151" t="s">
        <v>120</v>
      </c>
      <c r="AV158" s="13" t="s">
        <v>120</v>
      </c>
      <c r="AW158" s="13" t="s">
        <v>28</v>
      </c>
      <c r="AX158" s="13" t="s">
        <v>72</v>
      </c>
      <c r="AY158" s="151" t="s">
        <v>113</v>
      </c>
    </row>
    <row r="159" spans="1:65" s="14" customFormat="1" x14ac:dyDescent="0.2">
      <c r="B159" s="157"/>
      <c r="C159" s="205"/>
      <c r="D159" s="150" t="s">
        <v>122</v>
      </c>
      <c r="E159" s="158" t="s">
        <v>1</v>
      </c>
      <c r="F159" s="159" t="s">
        <v>128</v>
      </c>
      <c r="H159" s="160">
        <v>43.344999999999999</v>
      </c>
      <c r="L159" s="157"/>
      <c r="M159" s="161"/>
      <c r="N159" s="162"/>
      <c r="O159" s="162"/>
      <c r="P159" s="162"/>
      <c r="Q159" s="162"/>
      <c r="R159" s="162"/>
      <c r="S159" s="162"/>
      <c r="T159" s="163"/>
      <c r="V159" s="186"/>
      <c r="AT159" s="158" t="s">
        <v>122</v>
      </c>
      <c r="AU159" s="158" t="s">
        <v>120</v>
      </c>
      <c r="AV159" s="14" t="s">
        <v>119</v>
      </c>
      <c r="AW159" s="14" t="s">
        <v>28</v>
      </c>
      <c r="AX159" s="14" t="s">
        <v>77</v>
      </c>
      <c r="AY159" s="158" t="s">
        <v>113</v>
      </c>
    </row>
    <row r="160" spans="1:65" s="12" customFormat="1" ht="22.9" customHeight="1" x14ac:dyDescent="0.2">
      <c r="B160" s="123"/>
      <c r="C160" s="206"/>
      <c r="D160" s="124" t="s">
        <v>71</v>
      </c>
      <c r="E160" s="133" t="s">
        <v>143</v>
      </c>
      <c r="F160" s="133" t="s">
        <v>165</v>
      </c>
      <c r="J160" s="134">
        <f>J161+J165+J166+J167+J168+J169+J171+J172</f>
        <v>0</v>
      </c>
      <c r="L160" s="123"/>
      <c r="M160" s="127"/>
      <c r="N160" s="128"/>
      <c r="O160" s="128"/>
      <c r="P160" s="129">
        <f>SUM(P161:P172)</f>
        <v>289.57657750000004</v>
      </c>
      <c r="Q160" s="128"/>
      <c r="R160" s="129">
        <f>SUM(R161:R172)</f>
        <v>20.574828600000004</v>
      </c>
      <c r="S160" s="128"/>
      <c r="T160" s="130">
        <f>SUM(T161:T172)</f>
        <v>0</v>
      </c>
      <c r="V160" s="184"/>
      <c r="AR160" s="124" t="s">
        <v>77</v>
      </c>
      <c r="AT160" s="131" t="s">
        <v>71</v>
      </c>
      <c r="AU160" s="131" t="s">
        <v>77</v>
      </c>
      <c r="AY160" s="124" t="s">
        <v>113</v>
      </c>
      <c r="BK160" s="132">
        <f>SUM(BK161:BK172)</f>
        <v>0</v>
      </c>
    </row>
    <row r="161" spans="1:65" s="2" customFormat="1" ht="24" customHeight="1" x14ac:dyDescent="0.2">
      <c r="A161" s="28"/>
      <c r="B161" s="135"/>
      <c r="C161" s="203">
        <v>11</v>
      </c>
      <c r="D161" s="136" t="s">
        <v>115</v>
      </c>
      <c r="E161" s="137" t="s">
        <v>166</v>
      </c>
      <c r="F161" s="138" t="s">
        <v>167</v>
      </c>
      <c r="G161" s="139" t="s">
        <v>161</v>
      </c>
      <c r="H161" s="140">
        <v>326.38</v>
      </c>
      <c r="I161" s="141"/>
      <c r="J161" s="141">
        <f>ROUND(I161*H161,2)</f>
        <v>0</v>
      </c>
      <c r="K161" s="142"/>
      <c r="L161" s="29"/>
      <c r="M161" s="143" t="s">
        <v>1</v>
      </c>
      <c r="N161" s="144" t="s">
        <v>38</v>
      </c>
      <c r="O161" s="145">
        <v>0.11118</v>
      </c>
      <c r="P161" s="145">
        <f>O161*H161</f>
        <v>36.286928400000001</v>
      </c>
      <c r="Q161" s="145">
        <v>4.15E-3</v>
      </c>
      <c r="R161" s="145">
        <f>Q161*H161</f>
        <v>1.3544769999999999</v>
      </c>
      <c r="S161" s="145">
        <v>0</v>
      </c>
      <c r="T161" s="146">
        <f>S161*H161</f>
        <v>0</v>
      </c>
      <c r="U161" s="28"/>
      <c r="V161" s="179"/>
      <c r="W161" s="28"/>
      <c r="X161" s="28"/>
      <c r="Y161" s="28"/>
      <c r="Z161" s="28"/>
      <c r="AA161" s="28"/>
      <c r="AB161" s="28"/>
      <c r="AC161" s="28"/>
      <c r="AD161" s="28"/>
      <c r="AE161" s="28"/>
      <c r="AR161" s="147" t="s">
        <v>119</v>
      </c>
      <c r="AT161" s="147" t="s">
        <v>115</v>
      </c>
      <c r="AU161" s="147" t="s">
        <v>120</v>
      </c>
      <c r="AY161" s="16" t="s">
        <v>113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6" t="s">
        <v>120</v>
      </c>
      <c r="BK161" s="148">
        <f>ROUND(I161*H161,2)</f>
        <v>0</v>
      </c>
      <c r="BL161" s="16" t="s">
        <v>119</v>
      </c>
      <c r="BM161" s="147" t="s">
        <v>168</v>
      </c>
    </row>
    <row r="162" spans="1:65" s="13" customFormat="1" x14ac:dyDescent="0.2">
      <c r="B162" s="149"/>
      <c r="C162" s="204"/>
      <c r="D162" s="150" t="s">
        <v>122</v>
      </c>
      <c r="E162" s="151" t="s">
        <v>1</v>
      </c>
      <c r="F162" s="152" t="s">
        <v>169</v>
      </c>
      <c r="H162" s="153">
        <v>86.69</v>
      </c>
      <c r="L162" s="149"/>
      <c r="M162" s="154"/>
      <c r="N162" s="155"/>
      <c r="O162" s="155"/>
      <c r="P162" s="155"/>
      <c r="Q162" s="155"/>
      <c r="R162" s="155"/>
      <c r="S162" s="155"/>
      <c r="T162" s="156"/>
      <c r="V162" s="185"/>
      <c r="AT162" s="151" t="s">
        <v>122</v>
      </c>
      <c r="AU162" s="151" t="s">
        <v>120</v>
      </c>
      <c r="AV162" s="13" t="s">
        <v>120</v>
      </c>
      <c r="AW162" s="13" t="s">
        <v>28</v>
      </c>
      <c r="AX162" s="13" t="s">
        <v>77</v>
      </c>
      <c r="AY162" s="151" t="s">
        <v>113</v>
      </c>
    </row>
    <row r="163" spans="1:65" s="13" customFormat="1" x14ac:dyDescent="0.2">
      <c r="B163" s="149"/>
      <c r="C163" s="204"/>
      <c r="D163" s="150" t="s">
        <v>122</v>
      </c>
      <c r="E163" s="151" t="s">
        <v>1</v>
      </c>
      <c r="F163" s="152">
        <v>239.69</v>
      </c>
      <c r="H163" s="153">
        <v>239.69</v>
      </c>
      <c r="L163" s="149"/>
      <c r="M163" s="154"/>
      <c r="N163" s="155"/>
      <c r="O163" s="155"/>
      <c r="P163" s="155"/>
      <c r="Q163" s="155"/>
      <c r="R163" s="155"/>
      <c r="S163" s="155"/>
      <c r="T163" s="156"/>
      <c r="V163" s="185"/>
      <c r="AT163" s="151" t="s">
        <v>122</v>
      </c>
      <c r="AU163" s="151" t="s">
        <v>120</v>
      </c>
      <c r="AV163" s="13" t="s">
        <v>120</v>
      </c>
      <c r="AW163" s="13" t="s">
        <v>28</v>
      </c>
      <c r="AX163" s="13" t="s">
        <v>77</v>
      </c>
      <c r="AY163" s="151" t="s">
        <v>113</v>
      </c>
    </row>
    <row r="164" spans="1:65" s="14" customFormat="1" x14ac:dyDescent="0.2">
      <c r="B164" s="157"/>
      <c r="C164" s="205"/>
      <c r="D164" s="150" t="s">
        <v>122</v>
      </c>
      <c r="E164" s="158" t="s">
        <v>1</v>
      </c>
      <c r="F164" s="159" t="s">
        <v>128</v>
      </c>
      <c r="H164" s="160">
        <f>SUM(H162:H163)</f>
        <v>326.38</v>
      </c>
      <c r="L164" s="157"/>
      <c r="M164" s="161"/>
      <c r="N164" s="162"/>
      <c r="O164" s="162"/>
      <c r="P164" s="162"/>
      <c r="Q164" s="162"/>
      <c r="R164" s="162"/>
      <c r="S164" s="162"/>
      <c r="T164" s="163"/>
      <c r="V164" s="186"/>
      <c r="AT164" s="158" t="s">
        <v>122</v>
      </c>
      <c r="AU164" s="158" t="s">
        <v>120</v>
      </c>
      <c r="AV164" s="14" t="s">
        <v>119</v>
      </c>
      <c r="AW164" s="14" t="s">
        <v>28</v>
      </c>
      <c r="AX164" s="14" t="s">
        <v>77</v>
      </c>
      <c r="AY164" s="158" t="s">
        <v>113</v>
      </c>
    </row>
    <row r="165" spans="1:65" s="2" customFormat="1" ht="24" customHeight="1" x14ac:dyDescent="0.2">
      <c r="A165" s="28"/>
      <c r="B165" s="135"/>
      <c r="C165" s="203">
        <v>12</v>
      </c>
      <c r="D165" s="136" t="s">
        <v>115</v>
      </c>
      <c r="E165" s="137" t="s">
        <v>170</v>
      </c>
      <c r="F165" s="138" t="s">
        <v>471</v>
      </c>
      <c r="G165" s="139" t="s">
        <v>161</v>
      </c>
      <c r="H165" s="140">
        <v>326.38</v>
      </c>
      <c r="I165" s="141"/>
      <c r="J165" s="141">
        <f>ROUND(I165*H165,2)</f>
        <v>0</v>
      </c>
      <c r="K165" s="142"/>
      <c r="L165" s="29"/>
      <c r="M165" s="143" t="s">
        <v>1</v>
      </c>
      <c r="N165" s="144" t="s">
        <v>38</v>
      </c>
      <c r="O165" s="145">
        <v>9.2039999999999997E-2</v>
      </c>
      <c r="P165" s="145">
        <f>O165*H165</f>
        <v>30.040015199999999</v>
      </c>
      <c r="Q165" s="145">
        <v>2.1000000000000001E-4</v>
      </c>
      <c r="R165" s="145">
        <f>Q165*H165</f>
        <v>6.8539799999999998E-2</v>
      </c>
      <c r="S165" s="145">
        <v>0</v>
      </c>
      <c r="T165" s="146">
        <f>S165*H165</f>
        <v>0</v>
      </c>
      <c r="U165" s="28"/>
      <c r="V165" s="179"/>
      <c r="W165" s="28"/>
      <c r="X165" s="28"/>
      <c r="Y165" s="28"/>
      <c r="Z165" s="28"/>
      <c r="AA165" s="28"/>
      <c r="AB165" s="28"/>
      <c r="AC165" s="28"/>
      <c r="AD165" s="28"/>
      <c r="AE165" s="28"/>
      <c r="AR165" s="147" t="s">
        <v>119</v>
      </c>
      <c r="AT165" s="147" t="s">
        <v>115</v>
      </c>
      <c r="AU165" s="147" t="s">
        <v>120</v>
      </c>
      <c r="AY165" s="16" t="s">
        <v>113</v>
      </c>
      <c r="BE165" s="148">
        <f>IF(N165="základná",J165,0)</f>
        <v>0</v>
      </c>
      <c r="BF165" s="148">
        <f>IF(N165="znížená",J165,0)</f>
        <v>0</v>
      </c>
      <c r="BG165" s="148">
        <f>IF(N165="zákl. prenesená",J165,0)</f>
        <v>0</v>
      </c>
      <c r="BH165" s="148">
        <f>IF(N165="zníž. prenesená",J165,0)</f>
        <v>0</v>
      </c>
      <c r="BI165" s="148">
        <f>IF(N165="nulová",J165,0)</f>
        <v>0</v>
      </c>
      <c r="BJ165" s="16" t="s">
        <v>120</v>
      </c>
      <c r="BK165" s="148">
        <f>ROUND(I165*H165,2)</f>
        <v>0</v>
      </c>
      <c r="BL165" s="16" t="s">
        <v>119</v>
      </c>
      <c r="BM165" s="147" t="s">
        <v>171</v>
      </c>
    </row>
    <row r="166" spans="1:65" s="2" customFormat="1" ht="24" customHeight="1" x14ac:dyDescent="0.2">
      <c r="A166" s="28"/>
      <c r="B166" s="135"/>
      <c r="C166" s="203">
        <v>13</v>
      </c>
      <c r="D166" s="136" t="s">
        <v>115</v>
      </c>
      <c r="E166" s="137" t="s">
        <v>172</v>
      </c>
      <c r="F166" s="138" t="s">
        <v>173</v>
      </c>
      <c r="G166" s="139" t="s">
        <v>161</v>
      </c>
      <c r="H166" s="140">
        <v>326.38</v>
      </c>
      <c r="I166" s="141"/>
      <c r="J166" s="141">
        <f>ROUND(I166*H166,2)</f>
        <v>0</v>
      </c>
      <c r="K166" s="142"/>
      <c r="L166" s="29"/>
      <c r="M166" s="143" t="s">
        <v>1</v>
      </c>
      <c r="N166" s="144" t="s">
        <v>38</v>
      </c>
      <c r="O166" s="145">
        <v>0.31825999999999999</v>
      </c>
      <c r="P166" s="145">
        <f>O166*H166</f>
        <v>103.8736988</v>
      </c>
      <c r="Q166" s="145">
        <v>4.7200000000000002E-3</v>
      </c>
      <c r="R166" s="145">
        <f>Q166*H166</f>
        <v>1.5405136000000001</v>
      </c>
      <c r="S166" s="145">
        <v>0</v>
      </c>
      <c r="T166" s="146">
        <f>S166*H166</f>
        <v>0</v>
      </c>
      <c r="U166" s="28"/>
      <c r="V166" s="179"/>
      <c r="W166" s="28"/>
      <c r="X166" s="28"/>
      <c r="Y166" s="28"/>
      <c r="Z166" s="28"/>
      <c r="AA166" s="28"/>
      <c r="AB166" s="28"/>
      <c r="AC166" s="28"/>
      <c r="AD166" s="28"/>
      <c r="AE166" s="28"/>
      <c r="AR166" s="147" t="s">
        <v>119</v>
      </c>
      <c r="AT166" s="147" t="s">
        <v>115</v>
      </c>
      <c r="AU166" s="147" t="s">
        <v>120</v>
      </c>
      <c r="AY166" s="16" t="s">
        <v>113</v>
      </c>
      <c r="BE166" s="148">
        <f>IF(N166="základná",J166,0)</f>
        <v>0</v>
      </c>
      <c r="BF166" s="148">
        <f>IF(N166="znížená",J166,0)</f>
        <v>0</v>
      </c>
      <c r="BG166" s="148">
        <f>IF(N166="zákl. prenesená",J166,0)</f>
        <v>0</v>
      </c>
      <c r="BH166" s="148">
        <f>IF(N166="zníž. prenesená",J166,0)</f>
        <v>0</v>
      </c>
      <c r="BI166" s="148">
        <f>IF(N166="nulová",J166,0)</f>
        <v>0</v>
      </c>
      <c r="BJ166" s="16" t="s">
        <v>120</v>
      </c>
      <c r="BK166" s="148">
        <f>ROUND(I166*H166,2)</f>
        <v>0</v>
      </c>
      <c r="BL166" s="16" t="s">
        <v>119</v>
      </c>
      <c r="BM166" s="147" t="s">
        <v>174</v>
      </c>
    </row>
    <row r="167" spans="1:65" s="2" customFormat="1" ht="24" customHeight="1" x14ac:dyDescent="0.2">
      <c r="A167" s="364" t="s">
        <v>1130</v>
      </c>
      <c r="B167" s="135"/>
      <c r="C167" s="203">
        <v>14</v>
      </c>
      <c r="D167" s="136" t="s">
        <v>115</v>
      </c>
      <c r="E167" s="137" t="s">
        <v>1128</v>
      </c>
      <c r="F167" s="138" t="s">
        <v>1129</v>
      </c>
      <c r="G167" s="139" t="s">
        <v>151</v>
      </c>
      <c r="H167" s="140">
        <v>15.4</v>
      </c>
      <c r="I167" s="141"/>
      <c r="J167" s="141">
        <f>ROUND(I167*H167,2)</f>
        <v>0</v>
      </c>
      <c r="K167" s="142"/>
      <c r="L167" s="29"/>
      <c r="M167" s="143" t="s">
        <v>1</v>
      </c>
      <c r="N167" s="144" t="s">
        <v>38</v>
      </c>
      <c r="O167" s="145">
        <v>0.31825999999999999</v>
      </c>
      <c r="P167" s="145">
        <f>O167*H167</f>
        <v>4.9012039999999999</v>
      </c>
      <c r="Q167" s="145">
        <v>4.7200000000000002E-3</v>
      </c>
      <c r="R167" s="145">
        <f>Q167*H167</f>
        <v>7.2688000000000003E-2</v>
      </c>
      <c r="S167" s="145">
        <v>0</v>
      </c>
      <c r="T167" s="146">
        <f>S167*H167</f>
        <v>0</v>
      </c>
      <c r="U167" s="364"/>
      <c r="V167" s="179"/>
      <c r="W167" s="364"/>
      <c r="X167" s="364"/>
      <c r="Y167" s="364"/>
      <c r="Z167" s="364"/>
      <c r="AA167" s="364"/>
      <c r="AB167" s="364"/>
      <c r="AC167" s="364"/>
      <c r="AD167" s="364"/>
      <c r="AE167" s="364"/>
      <c r="AR167" s="147" t="s">
        <v>119</v>
      </c>
      <c r="AT167" s="147" t="s">
        <v>115</v>
      </c>
      <c r="AU167" s="147" t="s">
        <v>120</v>
      </c>
      <c r="AY167" s="16" t="s">
        <v>113</v>
      </c>
      <c r="BE167" s="148">
        <f>IF(N167="základná",J167,0)</f>
        <v>0</v>
      </c>
      <c r="BF167" s="148">
        <f>IF(N167="znížená",J167,0)</f>
        <v>0</v>
      </c>
      <c r="BG167" s="148">
        <f>IF(N167="zákl. prenesená",J167,0)</f>
        <v>0</v>
      </c>
      <c r="BH167" s="148">
        <f>IF(N167="zníž. prenesená",J167,0)</f>
        <v>0</v>
      </c>
      <c r="BI167" s="148">
        <f>IF(N167="nulová",J167,0)</f>
        <v>0</v>
      </c>
      <c r="BJ167" s="16" t="s">
        <v>120</v>
      </c>
      <c r="BK167" s="148">
        <f>ROUND(I167*H167,2)</f>
        <v>0</v>
      </c>
      <c r="BL167" s="16" t="s">
        <v>119</v>
      </c>
      <c r="BM167" s="147" t="s">
        <v>174</v>
      </c>
    </row>
    <row r="168" spans="1:65" s="2" customFormat="1" ht="24" customHeight="1" x14ac:dyDescent="0.2">
      <c r="A168" s="364" t="s">
        <v>1131</v>
      </c>
      <c r="B168" s="135"/>
      <c r="C168" s="203">
        <v>15</v>
      </c>
      <c r="D168" s="136" t="s">
        <v>115</v>
      </c>
      <c r="E168" s="137" t="s">
        <v>1132</v>
      </c>
      <c r="F168" s="138" t="s">
        <v>1133</v>
      </c>
      <c r="G168" s="139" t="s">
        <v>151</v>
      </c>
      <c r="H168" s="140">
        <v>30.8</v>
      </c>
      <c r="I168" s="141"/>
      <c r="J168" s="141">
        <f>ROUND(I168*H168,2)</f>
        <v>0</v>
      </c>
      <c r="K168" s="142"/>
      <c r="L168" s="29"/>
      <c r="M168" s="143"/>
      <c r="N168" s="144"/>
      <c r="O168" s="145"/>
      <c r="P168" s="145"/>
      <c r="Q168" s="145"/>
      <c r="R168" s="145"/>
      <c r="S168" s="145"/>
      <c r="T168" s="146"/>
      <c r="U168" s="364"/>
      <c r="V168" s="179"/>
      <c r="W168" s="364"/>
      <c r="X168" s="364"/>
      <c r="Y168" s="364"/>
      <c r="Z168" s="364"/>
      <c r="AA168" s="364"/>
      <c r="AB168" s="364"/>
      <c r="AC168" s="364"/>
      <c r="AD168" s="364"/>
      <c r="AE168" s="364"/>
      <c r="AR168" s="147"/>
      <c r="AT168" s="147"/>
      <c r="AU168" s="147"/>
      <c r="AY168" s="16"/>
      <c r="BE168" s="148"/>
      <c r="BF168" s="148"/>
      <c r="BG168" s="148"/>
      <c r="BH168" s="148"/>
      <c r="BI168" s="148"/>
      <c r="BJ168" s="16"/>
      <c r="BK168" s="148"/>
      <c r="BL168" s="16"/>
      <c r="BM168" s="147"/>
    </row>
    <row r="169" spans="1:65" s="2" customFormat="1" ht="37.5" customHeight="1" x14ac:dyDescent="0.2">
      <c r="A169" s="364"/>
      <c r="B169" s="135"/>
      <c r="C169" s="203">
        <v>16</v>
      </c>
      <c r="D169" s="136" t="s">
        <v>115</v>
      </c>
      <c r="E169" s="137" t="s">
        <v>1125</v>
      </c>
      <c r="F169" s="138" t="s">
        <v>1126</v>
      </c>
      <c r="G169" s="139" t="s">
        <v>161</v>
      </c>
      <c r="H169" s="140">
        <v>103.29</v>
      </c>
      <c r="I169" s="141"/>
      <c r="J169" s="141">
        <f>ROUND(I169*H169,2)</f>
        <v>0</v>
      </c>
      <c r="K169" s="142"/>
      <c r="L169" s="29"/>
      <c r="M169" s="143" t="s">
        <v>1</v>
      </c>
      <c r="N169" s="144" t="s">
        <v>38</v>
      </c>
      <c r="O169" s="145">
        <v>0.53734999999999999</v>
      </c>
      <c r="P169" s="145">
        <f>O169*H169</f>
        <v>55.502881500000001</v>
      </c>
      <c r="Q169" s="145">
        <v>9.2700000000000005E-2</v>
      </c>
      <c r="R169" s="145">
        <f>Q169*H169</f>
        <v>9.5749830000000014</v>
      </c>
      <c r="S169" s="145">
        <v>0</v>
      </c>
      <c r="T169" s="146">
        <f>S169*H169</f>
        <v>0</v>
      </c>
      <c r="U169" s="364"/>
      <c r="V169" s="179"/>
      <c r="W169" s="364"/>
      <c r="X169" s="364"/>
      <c r="Y169" s="364"/>
      <c r="Z169" s="364"/>
      <c r="AA169" s="364"/>
      <c r="AB169" s="364"/>
      <c r="AC169" s="364"/>
      <c r="AD169" s="364"/>
      <c r="AE169" s="364"/>
      <c r="AR169" s="147" t="s">
        <v>119</v>
      </c>
      <c r="AT169" s="147" t="s">
        <v>115</v>
      </c>
      <c r="AU169" s="147" t="s">
        <v>120</v>
      </c>
      <c r="AY169" s="16" t="s">
        <v>113</v>
      </c>
      <c r="BE169" s="148">
        <f>IF(N169="základná",J169,0)</f>
        <v>0</v>
      </c>
      <c r="BF169" s="148">
        <f>IF(N169="znížená",J169,0)</f>
        <v>0</v>
      </c>
      <c r="BG169" s="148">
        <f>IF(N169="zákl. prenesená",J169,0)</f>
        <v>0</v>
      </c>
      <c r="BH169" s="148">
        <f>IF(N169="zníž. prenesená",J169,0)</f>
        <v>0</v>
      </c>
      <c r="BI169" s="148">
        <f>IF(N169="nulová",J169,0)</f>
        <v>0</v>
      </c>
      <c r="BJ169" s="16" t="s">
        <v>120</v>
      </c>
      <c r="BK169" s="148">
        <f>ROUND(I169*H169,2)</f>
        <v>0</v>
      </c>
      <c r="BL169" s="16" t="s">
        <v>119</v>
      </c>
      <c r="BM169" s="147" t="s">
        <v>177</v>
      </c>
    </row>
    <row r="170" spans="1:65" s="13" customFormat="1" ht="11.25" customHeight="1" x14ac:dyDescent="0.2">
      <c r="B170" s="149"/>
      <c r="C170" s="204"/>
      <c r="D170" s="150" t="s">
        <v>122</v>
      </c>
      <c r="E170" s="151" t="s">
        <v>1</v>
      </c>
      <c r="F170" s="152" t="s">
        <v>1127</v>
      </c>
      <c r="H170" s="153">
        <v>103.29</v>
      </c>
      <c r="L170" s="149"/>
      <c r="M170" s="154"/>
      <c r="N170" s="155"/>
      <c r="O170" s="155"/>
      <c r="P170" s="155"/>
      <c r="Q170" s="155"/>
      <c r="R170" s="155"/>
      <c r="S170" s="155"/>
      <c r="T170" s="156"/>
      <c r="V170" s="152"/>
      <c r="AT170" s="151" t="s">
        <v>122</v>
      </c>
      <c r="AU170" s="151" t="s">
        <v>120</v>
      </c>
      <c r="AV170" s="13" t="s">
        <v>120</v>
      </c>
      <c r="AW170" s="13" t="s">
        <v>28</v>
      </c>
      <c r="AX170" s="13" t="s">
        <v>77</v>
      </c>
      <c r="AY170" s="151" t="s">
        <v>113</v>
      </c>
    </row>
    <row r="171" spans="1:65" s="2" customFormat="1" ht="24" customHeight="1" x14ac:dyDescent="0.2">
      <c r="A171" s="28"/>
      <c r="B171" s="135"/>
      <c r="C171" s="203">
        <v>17</v>
      </c>
      <c r="D171" s="136" t="s">
        <v>115</v>
      </c>
      <c r="E171" s="137" t="s">
        <v>175</v>
      </c>
      <c r="F171" s="138" t="s">
        <v>176</v>
      </c>
      <c r="G171" s="139" t="s">
        <v>161</v>
      </c>
      <c r="H171" s="140">
        <v>78.56</v>
      </c>
      <c r="I171" s="141"/>
      <c r="J171" s="141">
        <f>ROUND(I171*H171,2)</f>
        <v>0</v>
      </c>
      <c r="K171" s="142"/>
      <c r="L171" s="29"/>
      <c r="M171" s="143" t="s">
        <v>1</v>
      </c>
      <c r="N171" s="144" t="s">
        <v>38</v>
      </c>
      <c r="O171" s="145">
        <v>0.53734999999999999</v>
      </c>
      <c r="P171" s="145">
        <f>O171*H171</f>
        <v>42.214216</v>
      </c>
      <c r="Q171" s="145">
        <v>9.2700000000000005E-2</v>
      </c>
      <c r="R171" s="145">
        <f>Q171*H171</f>
        <v>7.2825120000000005</v>
      </c>
      <c r="S171" s="145">
        <v>0</v>
      </c>
      <c r="T171" s="146">
        <f>S171*H171</f>
        <v>0</v>
      </c>
      <c r="U171" s="28"/>
      <c r="V171" s="179"/>
      <c r="W171" s="28"/>
      <c r="X171" s="28"/>
      <c r="Y171" s="28"/>
      <c r="Z171" s="28"/>
      <c r="AA171" s="28"/>
      <c r="AB171" s="28"/>
      <c r="AC171" s="28"/>
      <c r="AD171" s="28"/>
      <c r="AE171" s="28"/>
      <c r="AR171" s="147" t="s">
        <v>119</v>
      </c>
      <c r="AT171" s="147" t="s">
        <v>115</v>
      </c>
      <c r="AU171" s="147" t="s">
        <v>120</v>
      </c>
      <c r="AY171" s="16" t="s">
        <v>113</v>
      </c>
      <c r="BE171" s="148">
        <f>IF(N171="základná",J171,0)</f>
        <v>0</v>
      </c>
      <c r="BF171" s="148">
        <f>IF(N171="znížená",J171,0)</f>
        <v>0</v>
      </c>
      <c r="BG171" s="148">
        <f>IF(N171="zákl. prenesená",J171,0)</f>
        <v>0</v>
      </c>
      <c r="BH171" s="148">
        <f>IF(N171="zníž. prenesená",J171,0)</f>
        <v>0</v>
      </c>
      <c r="BI171" s="148">
        <f>IF(N171="nulová",J171,0)</f>
        <v>0</v>
      </c>
      <c r="BJ171" s="16" t="s">
        <v>120</v>
      </c>
      <c r="BK171" s="148">
        <f>ROUND(I171*H171,2)</f>
        <v>0</v>
      </c>
      <c r="BL171" s="16" t="s">
        <v>119</v>
      </c>
      <c r="BM171" s="147" t="s">
        <v>177</v>
      </c>
    </row>
    <row r="172" spans="1:65" s="2" customFormat="1" ht="24" customHeight="1" x14ac:dyDescent="0.2">
      <c r="A172" s="28"/>
      <c r="B172" s="135"/>
      <c r="C172" s="203">
        <v>18</v>
      </c>
      <c r="D172" s="136" t="s">
        <v>115</v>
      </c>
      <c r="E172" s="137" t="s">
        <v>178</v>
      </c>
      <c r="F172" s="138" t="s">
        <v>179</v>
      </c>
      <c r="G172" s="139" t="s">
        <v>161</v>
      </c>
      <c r="H172" s="140">
        <v>78.56</v>
      </c>
      <c r="I172" s="141"/>
      <c r="J172" s="141">
        <f>ROUND(I172*H172,2)</f>
        <v>0</v>
      </c>
      <c r="K172" s="142"/>
      <c r="L172" s="29"/>
      <c r="M172" s="143" t="s">
        <v>1</v>
      </c>
      <c r="N172" s="144" t="s">
        <v>38</v>
      </c>
      <c r="O172" s="145">
        <v>0.21331</v>
      </c>
      <c r="P172" s="145">
        <f>O172*H172</f>
        <v>16.757633600000002</v>
      </c>
      <c r="Q172" s="145">
        <v>8.6700000000000006E-3</v>
      </c>
      <c r="R172" s="145">
        <f>Q172*H172</f>
        <v>0.68111520000000003</v>
      </c>
      <c r="S172" s="145">
        <v>0</v>
      </c>
      <c r="T172" s="146">
        <f>S172*H172</f>
        <v>0</v>
      </c>
      <c r="U172" s="28"/>
      <c r="V172" s="179"/>
      <c r="W172" s="28"/>
      <c r="X172" s="28"/>
      <c r="Y172" s="28"/>
      <c r="Z172" s="28"/>
      <c r="AA172" s="28"/>
      <c r="AB172" s="28"/>
      <c r="AC172" s="28"/>
      <c r="AD172" s="28"/>
      <c r="AE172" s="28"/>
      <c r="AR172" s="147" t="s">
        <v>119</v>
      </c>
      <c r="AT172" s="147" t="s">
        <v>115</v>
      </c>
      <c r="AU172" s="147" t="s">
        <v>120</v>
      </c>
      <c r="AY172" s="16" t="s">
        <v>113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6" t="s">
        <v>120</v>
      </c>
      <c r="BK172" s="148">
        <f>ROUND(I172*H172,2)</f>
        <v>0</v>
      </c>
      <c r="BL172" s="16" t="s">
        <v>119</v>
      </c>
      <c r="BM172" s="147" t="s">
        <v>180</v>
      </c>
    </row>
    <row r="173" spans="1:65" s="12" customFormat="1" ht="22.9" customHeight="1" x14ac:dyDescent="0.2">
      <c r="B173" s="123"/>
      <c r="C173" s="206"/>
      <c r="D173" s="124" t="s">
        <v>71</v>
      </c>
      <c r="E173" s="133" t="s">
        <v>158</v>
      </c>
      <c r="F173" s="133" t="s">
        <v>181</v>
      </c>
      <c r="J173" s="134">
        <f>BK173</f>
        <v>0</v>
      </c>
      <c r="L173" s="123"/>
      <c r="M173" s="127"/>
      <c r="N173" s="128"/>
      <c r="O173" s="128"/>
      <c r="P173" s="129">
        <f>SUM(P174:P218)</f>
        <v>264.16492763000002</v>
      </c>
      <c r="Q173" s="128"/>
      <c r="R173" s="129">
        <f>SUM(R174:R218)</f>
        <v>0.20216200000000001</v>
      </c>
      <c r="S173" s="128"/>
      <c r="T173" s="130">
        <f>SUM(T174:T218)</f>
        <v>25.084475000000008</v>
      </c>
      <c r="V173" s="184"/>
      <c r="AR173" s="124" t="s">
        <v>77</v>
      </c>
      <c r="AT173" s="131" t="s">
        <v>71</v>
      </c>
      <c r="AU173" s="131" t="s">
        <v>77</v>
      </c>
      <c r="AY173" s="124" t="s">
        <v>113</v>
      </c>
      <c r="BK173" s="132">
        <f>SUM(BK174:BK218)</f>
        <v>0</v>
      </c>
    </row>
    <row r="174" spans="1:65" s="2" customFormat="1" ht="24" customHeight="1" x14ac:dyDescent="0.2">
      <c r="A174" s="28"/>
      <c r="B174" s="135"/>
      <c r="C174" s="203">
        <v>19</v>
      </c>
      <c r="D174" s="136" t="s">
        <v>115</v>
      </c>
      <c r="E174" s="137" t="s">
        <v>182</v>
      </c>
      <c r="F174" s="138" t="s">
        <v>183</v>
      </c>
      <c r="G174" s="139" t="s">
        <v>161</v>
      </c>
      <c r="H174" s="140">
        <v>94.9</v>
      </c>
      <c r="I174" s="141"/>
      <c r="J174" s="141">
        <f>ROUND(I174*H174,2)</f>
        <v>0</v>
      </c>
      <c r="K174" s="142"/>
      <c r="L174" s="29"/>
      <c r="M174" s="143" t="s">
        <v>1</v>
      </c>
      <c r="N174" s="144" t="s">
        <v>38</v>
      </c>
      <c r="O174" s="145">
        <v>0.13827999999999999</v>
      </c>
      <c r="P174" s="145">
        <f>O174*H174</f>
        <v>13.122771999999999</v>
      </c>
      <c r="Q174" s="145">
        <v>1.92E-3</v>
      </c>
      <c r="R174" s="145">
        <f>Q174*H174</f>
        <v>0.18220800000000001</v>
      </c>
      <c r="S174" s="145">
        <v>0</v>
      </c>
      <c r="T174" s="146">
        <f>S174*H174</f>
        <v>0</v>
      </c>
      <c r="U174" s="28"/>
      <c r="V174" s="179"/>
      <c r="W174" s="28"/>
      <c r="X174" s="28"/>
      <c r="Y174" s="28"/>
      <c r="Z174" s="28"/>
      <c r="AA174" s="28"/>
      <c r="AB174" s="28"/>
      <c r="AC174" s="28"/>
      <c r="AD174" s="28"/>
      <c r="AE174" s="28"/>
      <c r="AR174" s="147" t="s">
        <v>119</v>
      </c>
      <c r="AT174" s="147" t="s">
        <v>115</v>
      </c>
      <c r="AU174" s="147" t="s">
        <v>120</v>
      </c>
      <c r="AY174" s="16" t="s">
        <v>113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6" t="s">
        <v>120</v>
      </c>
      <c r="BK174" s="148">
        <f>ROUND(I174*H174,2)</f>
        <v>0</v>
      </c>
      <c r="BL174" s="16" t="s">
        <v>119</v>
      </c>
      <c r="BM174" s="147" t="s">
        <v>184</v>
      </c>
    </row>
    <row r="175" spans="1:65" s="13" customFormat="1" x14ac:dyDescent="0.2">
      <c r="B175" s="149"/>
      <c r="C175" s="204"/>
      <c r="D175" s="150" t="s">
        <v>122</v>
      </c>
      <c r="E175" s="151" t="s">
        <v>1</v>
      </c>
      <c r="F175" s="152" t="s">
        <v>185</v>
      </c>
      <c r="H175" s="153">
        <v>94.9</v>
      </c>
      <c r="L175" s="149"/>
      <c r="M175" s="154"/>
      <c r="N175" s="155"/>
      <c r="O175" s="155"/>
      <c r="P175" s="155"/>
      <c r="Q175" s="155"/>
      <c r="R175" s="155"/>
      <c r="S175" s="155"/>
      <c r="T175" s="156"/>
      <c r="V175" s="185"/>
      <c r="AT175" s="151" t="s">
        <v>122</v>
      </c>
      <c r="AU175" s="151" t="s">
        <v>120</v>
      </c>
      <c r="AV175" s="13" t="s">
        <v>120</v>
      </c>
      <c r="AW175" s="13" t="s">
        <v>28</v>
      </c>
      <c r="AX175" s="13" t="s">
        <v>77</v>
      </c>
      <c r="AY175" s="151" t="s">
        <v>113</v>
      </c>
    </row>
    <row r="176" spans="1:65" s="2" customFormat="1" ht="24" customHeight="1" x14ac:dyDescent="0.2">
      <c r="A176" s="28"/>
      <c r="B176" s="135"/>
      <c r="C176" s="203">
        <v>20</v>
      </c>
      <c r="D176" s="136" t="s">
        <v>115</v>
      </c>
      <c r="E176" s="137" t="s">
        <v>187</v>
      </c>
      <c r="F176" s="138" t="s">
        <v>188</v>
      </c>
      <c r="G176" s="139" t="s">
        <v>146</v>
      </c>
      <c r="H176" s="140">
        <v>8</v>
      </c>
      <c r="I176" s="141"/>
      <c r="J176" s="141">
        <f>ROUND(I176*H176,2)</f>
        <v>0</v>
      </c>
      <c r="K176" s="142"/>
      <c r="L176" s="29"/>
      <c r="M176" s="143" t="s">
        <v>1</v>
      </c>
      <c r="N176" s="144" t="s">
        <v>38</v>
      </c>
      <c r="O176" s="145">
        <v>6.0999999999999999E-2</v>
      </c>
      <c r="P176" s="145">
        <f>O176*H176</f>
        <v>0.48799999999999999</v>
      </c>
      <c r="Q176" s="145">
        <v>0</v>
      </c>
      <c r="R176" s="145">
        <f>Q176*H176</f>
        <v>0</v>
      </c>
      <c r="S176" s="145">
        <v>1.6E-2</v>
      </c>
      <c r="T176" s="146">
        <f>S176*H176</f>
        <v>0.128</v>
      </c>
      <c r="U176" s="28"/>
      <c r="V176" s="179"/>
      <c r="W176" s="28"/>
      <c r="X176" s="28"/>
      <c r="Y176" s="28"/>
      <c r="Z176" s="28"/>
      <c r="AA176" s="28"/>
      <c r="AB176" s="28"/>
      <c r="AC176" s="28"/>
      <c r="AD176" s="28"/>
      <c r="AE176" s="28"/>
      <c r="AR176" s="147" t="s">
        <v>119</v>
      </c>
      <c r="AT176" s="147" t="s">
        <v>115</v>
      </c>
      <c r="AU176" s="147" t="s">
        <v>120</v>
      </c>
      <c r="AY176" s="16" t="s">
        <v>113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6" t="s">
        <v>120</v>
      </c>
      <c r="BK176" s="148">
        <f>ROUND(I176*H176,2)</f>
        <v>0</v>
      </c>
      <c r="BL176" s="16" t="s">
        <v>119</v>
      </c>
      <c r="BM176" s="147" t="s">
        <v>189</v>
      </c>
    </row>
    <row r="177" spans="1:65" s="13" customFormat="1" x14ac:dyDescent="0.2">
      <c r="B177" s="149"/>
      <c r="C177" s="204"/>
      <c r="D177" s="150" t="s">
        <v>122</v>
      </c>
      <c r="E177" s="151" t="s">
        <v>1</v>
      </c>
      <c r="F177" s="152">
        <v>8</v>
      </c>
      <c r="H177" s="153">
        <v>8</v>
      </c>
      <c r="L177" s="149"/>
      <c r="M177" s="154"/>
      <c r="N177" s="155"/>
      <c r="O177" s="155"/>
      <c r="P177" s="155"/>
      <c r="Q177" s="155"/>
      <c r="R177" s="155"/>
      <c r="S177" s="155"/>
      <c r="T177" s="156"/>
      <c r="V177" s="185"/>
      <c r="AT177" s="151" t="s">
        <v>122</v>
      </c>
      <c r="AU177" s="151" t="s">
        <v>120</v>
      </c>
      <c r="AV177" s="13" t="s">
        <v>120</v>
      </c>
      <c r="AW177" s="13" t="s">
        <v>28</v>
      </c>
      <c r="AX177" s="13" t="s">
        <v>77</v>
      </c>
      <c r="AY177" s="151" t="s">
        <v>113</v>
      </c>
    </row>
    <row r="178" spans="1:65" s="2" customFormat="1" ht="16.5" customHeight="1" x14ac:dyDescent="0.2">
      <c r="A178" s="28"/>
      <c r="B178" s="135"/>
      <c r="C178" s="203">
        <v>21</v>
      </c>
      <c r="D178" s="136" t="s">
        <v>115</v>
      </c>
      <c r="E178" s="137" t="s">
        <v>190</v>
      </c>
      <c r="F178" s="138" t="s">
        <v>191</v>
      </c>
      <c r="G178" s="139" t="s">
        <v>151</v>
      </c>
      <c r="H178" s="140">
        <v>52.8</v>
      </c>
      <c r="I178" s="141"/>
      <c r="J178" s="141">
        <f>ROUND(I178*H178,2)</f>
        <v>0</v>
      </c>
      <c r="K178" s="142"/>
      <c r="L178" s="29"/>
      <c r="M178" s="143" t="s">
        <v>1</v>
      </c>
      <c r="N178" s="144" t="s">
        <v>38</v>
      </c>
      <c r="O178" s="145">
        <v>0.188</v>
      </c>
      <c r="P178" s="145">
        <f>O178*H178</f>
        <v>9.9263999999999992</v>
      </c>
      <c r="Q178" s="145">
        <v>0</v>
      </c>
      <c r="R178" s="145">
        <f>Q178*H178</f>
        <v>0</v>
      </c>
      <c r="S178" s="145">
        <v>8.0000000000000002E-3</v>
      </c>
      <c r="T178" s="146">
        <f>S178*H178</f>
        <v>0.4224</v>
      </c>
      <c r="U178" s="28"/>
      <c r="V178" s="179"/>
      <c r="W178" s="28"/>
      <c r="X178" s="28"/>
      <c r="Y178" s="28"/>
      <c r="Z178" s="28"/>
      <c r="AA178" s="28"/>
      <c r="AB178" s="28"/>
      <c r="AC178" s="28"/>
      <c r="AD178" s="28"/>
      <c r="AE178" s="28"/>
      <c r="AR178" s="147" t="s">
        <v>119</v>
      </c>
      <c r="AT178" s="147" t="s">
        <v>115</v>
      </c>
      <c r="AU178" s="147" t="s">
        <v>120</v>
      </c>
      <c r="AY178" s="16" t="s">
        <v>113</v>
      </c>
      <c r="BE178" s="148">
        <f>IF(N178="základná",J178,0)</f>
        <v>0</v>
      </c>
      <c r="BF178" s="148">
        <f>IF(N178="znížená",J178,0)</f>
        <v>0</v>
      </c>
      <c r="BG178" s="148">
        <f>IF(N178="zákl. prenesená",J178,0)</f>
        <v>0</v>
      </c>
      <c r="BH178" s="148">
        <f>IF(N178="zníž. prenesená",J178,0)</f>
        <v>0</v>
      </c>
      <c r="BI178" s="148">
        <f>IF(N178="nulová",J178,0)</f>
        <v>0</v>
      </c>
      <c r="BJ178" s="16" t="s">
        <v>120</v>
      </c>
      <c r="BK178" s="148">
        <f>ROUND(I178*H178,2)</f>
        <v>0</v>
      </c>
      <c r="BL178" s="16" t="s">
        <v>119</v>
      </c>
      <c r="BM178" s="147" t="s">
        <v>192</v>
      </c>
    </row>
    <row r="179" spans="1:65" s="13" customFormat="1" x14ac:dyDescent="0.2">
      <c r="B179" s="149"/>
      <c r="D179" s="150" t="s">
        <v>122</v>
      </c>
      <c r="E179" s="151" t="s">
        <v>1</v>
      </c>
      <c r="F179" s="152" t="s">
        <v>193</v>
      </c>
      <c r="H179" s="153">
        <v>52.8</v>
      </c>
      <c r="L179" s="149"/>
      <c r="M179" s="154"/>
      <c r="N179" s="155"/>
      <c r="O179" s="155"/>
      <c r="P179" s="155"/>
      <c r="Q179" s="155"/>
      <c r="R179" s="155"/>
      <c r="S179" s="155"/>
      <c r="T179" s="156"/>
      <c r="V179" s="185"/>
      <c r="AT179" s="151" t="s">
        <v>122</v>
      </c>
      <c r="AU179" s="151" t="s">
        <v>120</v>
      </c>
      <c r="AV179" s="13" t="s">
        <v>120</v>
      </c>
      <c r="AW179" s="13" t="s">
        <v>28</v>
      </c>
      <c r="AX179" s="13" t="s">
        <v>77</v>
      </c>
      <c r="AY179" s="151" t="s">
        <v>113</v>
      </c>
    </row>
    <row r="180" spans="1:65" s="2" customFormat="1" ht="24" customHeight="1" x14ac:dyDescent="0.2">
      <c r="A180" s="28"/>
      <c r="B180" s="135"/>
      <c r="C180" s="203">
        <v>22</v>
      </c>
      <c r="D180" s="136" t="s">
        <v>115</v>
      </c>
      <c r="E180" s="137" t="s">
        <v>194</v>
      </c>
      <c r="F180" s="138" t="s">
        <v>195</v>
      </c>
      <c r="G180" s="139" t="s">
        <v>146</v>
      </c>
      <c r="H180" s="140">
        <v>14</v>
      </c>
      <c r="I180" s="141"/>
      <c r="J180" s="141">
        <f>ROUND(I180*H180,2)</f>
        <v>0</v>
      </c>
      <c r="K180" s="142"/>
      <c r="L180" s="29"/>
      <c r="M180" s="143" t="s">
        <v>1</v>
      </c>
      <c r="N180" s="144" t="s">
        <v>38</v>
      </c>
      <c r="O180" s="145">
        <v>4.9000000000000002E-2</v>
      </c>
      <c r="P180" s="145">
        <f>O180*H180</f>
        <v>0.68600000000000005</v>
      </c>
      <c r="Q180" s="145">
        <v>0</v>
      </c>
      <c r="R180" s="145">
        <f>Q180*H180</f>
        <v>0</v>
      </c>
      <c r="S180" s="145">
        <v>2.4E-2</v>
      </c>
      <c r="T180" s="146">
        <f>S180*H180</f>
        <v>0.33600000000000002</v>
      </c>
      <c r="U180" s="28"/>
      <c r="V180" s="179"/>
      <c r="W180" s="28"/>
      <c r="X180" s="28"/>
      <c r="Y180" s="28"/>
      <c r="Z180" s="28"/>
      <c r="AA180" s="28"/>
      <c r="AB180" s="28"/>
      <c r="AC180" s="28"/>
      <c r="AD180" s="28"/>
      <c r="AE180" s="28"/>
      <c r="AR180" s="147" t="s">
        <v>119</v>
      </c>
      <c r="AT180" s="147" t="s">
        <v>115</v>
      </c>
      <c r="AU180" s="147" t="s">
        <v>120</v>
      </c>
      <c r="AY180" s="16" t="s">
        <v>113</v>
      </c>
      <c r="BE180" s="148">
        <f>IF(N180="základná",J180,0)</f>
        <v>0</v>
      </c>
      <c r="BF180" s="148">
        <f>IF(N180="znížená",J180,0)</f>
        <v>0</v>
      </c>
      <c r="BG180" s="148">
        <f>IF(N180="zákl. prenesená",J180,0)</f>
        <v>0</v>
      </c>
      <c r="BH180" s="148">
        <f>IF(N180="zníž. prenesená",J180,0)</f>
        <v>0</v>
      </c>
      <c r="BI180" s="148">
        <f>IF(N180="nulová",J180,0)</f>
        <v>0</v>
      </c>
      <c r="BJ180" s="16" t="s">
        <v>120</v>
      </c>
      <c r="BK180" s="148">
        <f>ROUND(I180*H180,2)</f>
        <v>0</v>
      </c>
      <c r="BL180" s="16" t="s">
        <v>119</v>
      </c>
      <c r="BM180" s="147" t="s">
        <v>196</v>
      </c>
    </row>
    <row r="181" spans="1:65" s="13" customFormat="1" x14ac:dyDescent="0.2">
      <c r="B181" s="149"/>
      <c r="C181" s="204"/>
      <c r="D181" s="150" t="s">
        <v>122</v>
      </c>
      <c r="E181" s="151" t="s">
        <v>1</v>
      </c>
      <c r="F181" s="152" t="s">
        <v>77</v>
      </c>
      <c r="H181" s="153">
        <v>14</v>
      </c>
      <c r="L181" s="149"/>
      <c r="M181" s="154"/>
      <c r="N181" s="155"/>
      <c r="O181" s="155"/>
      <c r="P181" s="155"/>
      <c r="Q181" s="155"/>
      <c r="R181" s="155"/>
      <c r="S181" s="155"/>
      <c r="T181" s="156"/>
      <c r="V181" s="185"/>
      <c r="AT181" s="151" t="s">
        <v>122</v>
      </c>
      <c r="AU181" s="151" t="s">
        <v>120</v>
      </c>
      <c r="AV181" s="13" t="s">
        <v>120</v>
      </c>
      <c r="AW181" s="13" t="s">
        <v>28</v>
      </c>
      <c r="AX181" s="13" t="s">
        <v>72</v>
      </c>
      <c r="AY181" s="151" t="s">
        <v>113</v>
      </c>
    </row>
    <row r="182" spans="1:65" s="2" customFormat="1" ht="24" customHeight="1" x14ac:dyDescent="0.2">
      <c r="A182" s="28"/>
      <c r="B182" s="135"/>
      <c r="C182" s="203">
        <v>23</v>
      </c>
      <c r="D182" s="136" t="s">
        <v>115</v>
      </c>
      <c r="E182" s="137" t="s">
        <v>197</v>
      </c>
      <c r="F182" s="138" t="s">
        <v>198</v>
      </c>
      <c r="G182" s="139" t="s">
        <v>151</v>
      </c>
      <c r="H182" s="140">
        <v>33.299999999999997</v>
      </c>
      <c r="I182" s="141"/>
      <c r="J182" s="141">
        <f>ROUND(I182*H182,2)</f>
        <v>0</v>
      </c>
      <c r="K182" s="142"/>
      <c r="L182" s="29"/>
      <c r="M182" s="143" t="s">
        <v>1</v>
      </c>
      <c r="N182" s="144" t="s">
        <v>38</v>
      </c>
      <c r="O182" s="145">
        <v>0.188</v>
      </c>
      <c r="P182" s="145">
        <f>O182*H182</f>
        <v>6.2603999999999997</v>
      </c>
      <c r="Q182" s="145">
        <v>0</v>
      </c>
      <c r="R182" s="145">
        <f>Q182*H182</f>
        <v>0</v>
      </c>
      <c r="S182" s="145">
        <v>1.2E-2</v>
      </c>
      <c r="T182" s="146">
        <f>S182*H182</f>
        <v>0.39959999999999996</v>
      </c>
      <c r="U182" s="28"/>
      <c r="V182" s="179"/>
      <c r="W182" s="28"/>
      <c r="X182" s="28"/>
      <c r="Y182" s="28"/>
      <c r="Z182" s="28"/>
      <c r="AA182" s="28"/>
      <c r="AB182" s="28"/>
      <c r="AC182" s="28"/>
      <c r="AD182" s="28"/>
      <c r="AE182" s="28"/>
      <c r="AR182" s="147" t="s">
        <v>119</v>
      </c>
      <c r="AT182" s="147" t="s">
        <v>115</v>
      </c>
      <c r="AU182" s="147" t="s">
        <v>120</v>
      </c>
      <c r="AY182" s="16" t="s">
        <v>113</v>
      </c>
      <c r="BE182" s="148">
        <f>IF(N182="základná",J182,0)</f>
        <v>0</v>
      </c>
      <c r="BF182" s="148">
        <f>IF(N182="znížená",J182,0)</f>
        <v>0</v>
      </c>
      <c r="BG182" s="148">
        <f>IF(N182="zákl. prenesená",J182,0)</f>
        <v>0</v>
      </c>
      <c r="BH182" s="148">
        <f>IF(N182="zníž. prenesená",J182,0)</f>
        <v>0</v>
      </c>
      <c r="BI182" s="148">
        <f>IF(N182="nulová",J182,0)</f>
        <v>0</v>
      </c>
      <c r="BJ182" s="16" t="s">
        <v>120</v>
      </c>
      <c r="BK182" s="148">
        <f>ROUND(I182*H182,2)</f>
        <v>0</v>
      </c>
      <c r="BL182" s="16" t="s">
        <v>119</v>
      </c>
      <c r="BM182" s="147" t="s">
        <v>199</v>
      </c>
    </row>
    <row r="183" spans="1:65" s="13" customFormat="1" ht="11.25" customHeight="1" x14ac:dyDescent="0.2">
      <c r="B183" s="149"/>
      <c r="C183" s="204"/>
      <c r="D183" s="150" t="s">
        <v>122</v>
      </c>
      <c r="E183" s="151" t="s">
        <v>1</v>
      </c>
      <c r="F183" s="152" t="s">
        <v>200</v>
      </c>
      <c r="H183" s="153">
        <v>6.8</v>
      </c>
      <c r="L183" s="149"/>
      <c r="M183" s="154"/>
      <c r="N183" s="155"/>
      <c r="O183" s="155"/>
      <c r="P183" s="155"/>
      <c r="Q183" s="155"/>
      <c r="R183" s="155"/>
      <c r="S183" s="155"/>
      <c r="T183" s="156"/>
      <c r="V183" s="152"/>
      <c r="AT183" s="151" t="s">
        <v>122</v>
      </c>
      <c r="AU183" s="151" t="s">
        <v>120</v>
      </c>
      <c r="AV183" s="13" t="s">
        <v>120</v>
      </c>
      <c r="AW183" s="13" t="s">
        <v>28</v>
      </c>
      <c r="AX183" s="13" t="s">
        <v>77</v>
      </c>
      <c r="AY183" s="151" t="s">
        <v>113</v>
      </c>
    </row>
    <row r="184" spans="1:65" s="13" customFormat="1" ht="11.25" customHeight="1" x14ac:dyDescent="0.2">
      <c r="B184" s="149"/>
      <c r="C184" s="204"/>
      <c r="D184" s="150" t="s">
        <v>122</v>
      </c>
      <c r="E184" s="151" t="s">
        <v>1</v>
      </c>
      <c r="F184" s="152" t="s">
        <v>472</v>
      </c>
      <c r="H184" s="153">
        <v>10.3</v>
      </c>
      <c r="L184" s="149"/>
      <c r="M184" s="154"/>
      <c r="N184" s="155"/>
      <c r="O184" s="155"/>
      <c r="P184" s="155"/>
      <c r="Q184" s="155"/>
      <c r="R184" s="155"/>
      <c r="S184" s="155"/>
      <c r="T184" s="156"/>
      <c r="V184" s="152"/>
      <c r="AT184" s="151" t="s">
        <v>122</v>
      </c>
      <c r="AU184" s="151" t="s">
        <v>120</v>
      </c>
      <c r="AV184" s="13" t="s">
        <v>120</v>
      </c>
      <c r="AW184" s="13" t="s">
        <v>28</v>
      </c>
      <c r="AX184" s="13" t="s">
        <v>77</v>
      </c>
      <c r="AY184" s="151" t="s">
        <v>113</v>
      </c>
    </row>
    <row r="185" spans="1:65" s="13" customFormat="1" ht="11.25" customHeight="1" x14ac:dyDescent="0.2">
      <c r="B185" s="149"/>
      <c r="C185" s="204"/>
      <c r="D185" s="150" t="s">
        <v>122</v>
      </c>
      <c r="E185" s="151" t="s">
        <v>1</v>
      </c>
      <c r="F185" s="152" t="s">
        <v>473</v>
      </c>
      <c r="H185" s="153">
        <v>6.8</v>
      </c>
      <c r="L185" s="149"/>
      <c r="M185" s="154"/>
      <c r="N185" s="155"/>
      <c r="O185" s="155"/>
      <c r="P185" s="155"/>
      <c r="Q185" s="155"/>
      <c r="R185" s="155"/>
      <c r="S185" s="155"/>
      <c r="T185" s="156"/>
      <c r="V185" s="152"/>
      <c r="AT185" s="151" t="s">
        <v>122</v>
      </c>
      <c r="AU185" s="151" t="s">
        <v>120</v>
      </c>
      <c r="AV185" s="13" t="s">
        <v>120</v>
      </c>
      <c r="AW185" s="13" t="s">
        <v>28</v>
      </c>
      <c r="AX185" s="13" t="s">
        <v>77</v>
      </c>
      <c r="AY185" s="151" t="s">
        <v>113</v>
      </c>
    </row>
    <row r="186" spans="1:65" s="13" customFormat="1" ht="11.25" customHeight="1" x14ac:dyDescent="0.2">
      <c r="B186" s="149"/>
      <c r="C186" s="204"/>
      <c r="D186" s="150" t="s">
        <v>122</v>
      </c>
      <c r="E186" s="151" t="s">
        <v>1</v>
      </c>
      <c r="F186" s="152" t="s">
        <v>474</v>
      </c>
      <c r="H186" s="153">
        <v>9.4</v>
      </c>
      <c r="L186" s="149"/>
      <c r="M186" s="154"/>
      <c r="N186" s="155"/>
      <c r="O186" s="155"/>
      <c r="P186" s="155"/>
      <c r="Q186" s="155"/>
      <c r="R186" s="155"/>
      <c r="S186" s="155"/>
      <c r="T186" s="156"/>
      <c r="V186" s="152"/>
      <c r="AT186" s="151" t="s">
        <v>122</v>
      </c>
      <c r="AU186" s="151" t="s">
        <v>120</v>
      </c>
      <c r="AV186" s="13" t="s">
        <v>120</v>
      </c>
      <c r="AW186" s="13" t="s">
        <v>28</v>
      </c>
      <c r="AX186" s="13" t="s">
        <v>77</v>
      </c>
      <c r="AY186" s="151" t="s">
        <v>113</v>
      </c>
    </row>
    <row r="187" spans="1:65" s="14" customFormat="1" x14ac:dyDescent="0.2">
      <c r="B187" s="157"/>
      <c r="C187" s="205"/>
      <c r="D187" s="150" t="s">
        <v>122</v>
      </c>
      <c r="E187" s="158" t="s">
        <v>1</v>
      </c>
      <c r="F187" s="159" t="s">
        <v>128</v>
      </c>
      <c r="H187" s="160">
        <f>SUM(H183:H186)</f>
        <v>33.300000000000004</v>
      </c>
      <c r="L187" s="157"/>
      <c r="M187" s="161"/>
      <c r="N187" s="162"/>
      <c r="O187" s="162"/>
      <c r="P187" s="162"/>
      <c r="Q187" s="162"/>
      <c r="R187" s="162"/>
      <c r="S187" s="162"/>
      <c r="T187" s="163"/>
      <c r="V187" s="186"/>
      <c r="AT187" s="158" t="s">
        <v>122</v>
      </c>
      <c r="AU187" s="158" t="s">
        <v>120</v>
      </c>
      <c r="AV187" s="14" t="s">
        <v>119</v>
      </c>
      <c r="AW187" s="14" t="s">
        <v>28</v>
      </c>
      <c r="AX187" s="14" t="s">
        <v>77</v>
      </c>
      <c r="AY187" s="158" t="s">
        <v>113</v>
      </c>
    </row>
    <row r="188" spans="1:65" s="2" customFormat="1" ht="24" customHeight="1" x14ac:dyDescent="0.2">
      <c r="A188" s="28"/>
      <c r="B188" s="135"/>
      <c r="C188" s="203">
        <v>24</v>
      </c>
      <c r="D188" s="136" t="s">
        <v>115</v>
      </c>
      <c r="E188" s="137" t="s">
        <v>201</v>
      </c>
      <c r="F188" s="138" t="s">
        <v>202</v>
      </c>
      <c r="G188" s="139" t="s">
        <v>161</v>
      </c>
      <c r="H188" s="140">
        <v>43.344999999999999</v>
      </c>
      <c r="I188" s="141"/>
      <c r="J188" s="141">
        <f>ROUND(I188*H188,2)</f>
        <v>0</v>
      </c>
      <c r="K188" s="142"/>
      <c r="L188" s="29"/>
      <c r="M188" s="143" t="s">
        <v>1</v>
      </c>
      <c r="N188" s="144" t="s">
        <v>38</v>
      </c>
      <c r="O188" s="145">
        <v>0.19800000000000001</v>
      </c>
      <c r="P188" s="145">
        <f>O188*H188</f>
        <v>8.5823099999999997</v>
      </c>
      <c r="Q188" s="145">
        <v>0</v>
      </c>
      <c r="R188" s="145">
        <f>Q188*H188</f>
        <v>0</v>
      </c>
      <c r="S188" s="145">
        <v>7.4999999999999997E-2</v>
      </c>
      <c r="T188" s="146">
        <f>S188*H188</f>
        <v>3.2508749999999997</v>
      </c>
      <c r="U188" s="28"/>
      <c r="V188" s="179"/>
      <c r="W188" s="28"/>
      <c r="X188" s="28"/>
      <c r="Y188" s="28"/>
      <c r="Z188" s="28"/>
      <c r="AA188" s="28"/>
      <c r="AB188" s="28"/>
      <c r="AC188" s="28"/>
      <c r="AD188" s="28"/>
      <c r="AE188" s="28"/>
      <c r="AR188" s="147" t="s">
        <v>119</v>
      </c>
      <c r="AT188" s="147" t="s">
        <v>115</v>
      </c>
      <c r="AU188" s="147" t="s">
        <v>120</v>
      </c>
      <c r="AY188" s="16" t="s">
        <v>113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6" t="s">
        <v>120</v>
      </c>
      <c r="BK188" s="148">
        <f>ROUND(I188*H188,2)</f>
        <v>0</v>
      </c>
      <c r="BL188" s="16" t="s">
        <v>119</v>
      </c>
      <c r="BM188" s="147" t="s">
        <v>203</v>
      </c>
    </row>
    <row r="189" spans="1:65" s="13" customFormat="1" x14ac:dyDescent="0.2">
      <c r="B189" s="149"/>
      <c r="C189" s="204"/>
      <c r="D189" s="150" t="s">
        <v>122</v>
      </c>
      <c r="E189" s="151" t="s">
        <v>1</v>
      </c>
      <c r="F189" s="152" t="s">
        <v>163</v>
      </c>
      <c r="H189" s="153">
        <v>50.55</v>
      </c>
      <c r="L189" s="149"/>
      <c r="M189" s="154"/>
      <c r="N189" s="155"/>
      <c r="O189" s="155"/>
      <c r="P189" s="155"/>
      <c r="Q189" s="155"/>
      <c r="R189" s="155"/>
      <c r="S189" s="155"/>
      <c r="T189" s="156"/>
      <c r="V189" s="185"/>
      <c r="AT189" s="151" t="s">
        <v>122</v>
      </c>
      <c r="AU189" s="151" t="s">
        <v>120</v>
      </c>
      <c r="AV189" s="13" t="s">
        <v>120</v>
      </c>
      <c r="AW189" s="13" t="s">
        <v>28</v>
      </c>
      <c r="AX189" s="13" t="s">
        <v>72</v>
      </c>
      <c r="AY189" s="151" t="s">
        <v>113</v>
      </c>
    </row>
    <row r="190" spans="1:65" s="13" customFormat="1" x14ac:dyDescent="0.2">
      <c r="B190" s="149"/>
      <c r="C190" s="204"/>
      <c r="D190" s="150" t="s">
        <v>122</v>
      </c>
      <c r="E190" s="151" t="s">
        <v>1</v>
      </c>
      <c r="F190" s="152" t="s">
        <v>164</v>
      </c>
      <c r="H190" s="153">
        <v>-7.2050000000000001</v>
      </c>
      <c r="L190" s="149"/>
      <c r="M190" s="154"/>
      <c r="N190" s="155"/>
      <c r="O190" s="155"/>
      <c r="P190" s="155"/>
      <c r="Q190" s="155"/>
      <c r="R190" s="155"/>
      <c r="S190" s="155"/>
      <c r="T190" s="156"/>
      <c r="V190" s="185"/>
      <c r="AT190" s="151" t="s">
        <v>122</v>
      </c>
      <c r="AU190" s="151" t="s">
        <v>120</v>
      </c>
      <c r="AV190" s="13" t="s">
        <v>120</v>
      </c>
      <c r="AW190" s="13" t="s">
        <v>28</v>
      </c>
      <c r="AX190" s="13" t="s">
        <v>72</v>
      </c>
      <c r="AY190" s="151" t="s">
        <v>113</v>
      </c>
    </row>
    <row r="191" spans="1:65" s="14" customFormat="1" x14ac:dyDescent="0.2">
      <c r="B191" s="157"/>
      <c r="C191" s="205"/>
      <c r="D191" s="150" t="s">
        <v>122</v>
      </c>
      <c r="E191" s="158" t="s">
        <v>1</v>
      </c>
      <c r="F191" s="159" t="s">
        <v>128</v>
      </c>
      <c r="H191" s="160">
        <v>43.344999999999999</v>
      </c>
      <c r="L191" s="157"/>
      <c r="M191" s="161"/>
      <c r="N191" s="162"/>
      <c r="O191" s="162"/>
      <c r="P191" s="162"/>
      <c r="Q191" s="162"/>
      <c r="R191" s="162"/>
      <c r="S191" s="162"/>
      <c r="T191" s="163"/>
      <c r="V191" s="186"/>
      <c r="AT191" s="158" t="s">
        <v>122</v>
      </c>
      <c r="AU191" s="158" t="s">
        <v>120</v>
      </c>
      <c r="AV191" s="14" t="s">
        <v>119</v>
      </c>
      <c r="AW191" s="14" t="s">
        <v>28</v>
      </c>
      <c r="AX191" s="14" t="s">
        <v>77</v>
      </c>
      <c r="AY191" s="158" t="s">
        <v>113</v>
      </c>
    </row>
    <row r="192" spans="1:65" s="2" customFormat="1" ht="24" customHeight="1" x14ac:dyDescent="0.2">
      <c r="A192" s="28"/>
      <c r="B192" s="135"/>
      <c r="C192" s="203">
        <v>25</v>
      </c>
      <c r="D192" s="136" t="s">
        <v>115</v>
      </c>
      <c r="E192" s="137" t="s">
        <v>204</v>
      </c>
      <c r="F192" s="138" t="s">
        <v>205</v>
      </c>
      <c r="G192" s="139" t="s">
        <v>151</v>
      </c>
      <c r="H192" s="140">
        <v>35.700000000000003</v>
      </c>
      <c r="I192" s="141"/>
      <c r="J192" s="141">
        <f>ROUND(I192*H192,2)</f>
        <v>0</v>
      </c>
      <c r="K192" s="142"/>
      <c r="L192" s="29"/>
      <c r="M192" s="143" t="s">
        <v>1</v>
      </c>
      <c r="N192" s="144" t="s">
        <v>38</v>
      </c>
      <c r="O192" s="145">
        <v>2.11402</v>
      </c>
      <c r="P192" s="145">
        <f>O192*H192</f>
        <v>75.470514000000009</v>
      </c>
      <c r="Q192" s="145">
        <v>2.0000000000000002E-5</v>
      </c>
      <c r="R192" s="145">
        <f>Q192*H192</f>
        <v>7.1400000000000012E-4</v>
      </c>
      <c r="S192" s="145">
        <v>0</v>
      </c>
      <c r="T192" s="146">
        <f>S192*H192</f>
        <v>0</v>
      </c>
      <c r="U192" s="28"/>
      <c r="V192" s="179"/>
      <c r="W192" s="28"/>
      <c r="X192" s="28"/>
      <c r="Y192" s="28"/>
      <c r="Z192" s="28"/>
      <c r="AA192" s="28"/>
      <c r="AB192" s="28"/>
      <c r="AC192" s="28"/>
      <c r="AD192" s="28"/>
      <c r="AE192" s="28"/>
      <c r="AR192" s="147" t="s">
        <v>119</v>
      </c>
      <c r="AT192" s="147" t="s">
        <v>115</v>
      </c>
      <c r="AU192" s="147" t="s">
        <v>120</v>
      </c>
      <c r="AY192" s="16" t="s">
        <v>113</v>
      </c>
      <c r="BE192" s="148">
        <f>IF(N192="základná",J192,0)</f>
        <v>0</v>
      </c>
      <c r="BF192" s="148">
        <f>IF(N192="znížená",J192,0)</f>
        <v>0</v>
      </c>
      <c r="BG192" s="148">
        <f>IF(N192="zákl. prenesená",J192,0)</f>
        <v>0</v>
      </c>
      <c r="BH192" s="148">
        <f>IF(N192="zníž. prenesená",J192,0)</f>
        <v>0</v>
      </c>
      <c r="BI192" s="148">
        <f>IF(N192="nulová",J192,0)</f>
        <v>0</v>
      </c>
      <c r="BJ192" s="16" t="s">
        <v>120</v>
      </c>
      <c r="BK192" s="148">
        <f>ROUND(I192*H192,2)</f>
        <v>0</v>
      </c>
      <c r="BL192" s="16" t="s">
        <v>119</v>
      </c>
      <c r="BM192" s="147" t="s">
        <v>206</v>
      </c>
    </row>
    <row r="193" spans="1:65" s="13" customFormat="1" x14ac:dyDescent="0.2">
      <c r="B193" s="149"/>
      <c r="C193" s="204"/>
      <c r="D193" s="150" t="s">
        <v>122</v>
      </c>
      <c r="E193" s="151" t="s">
        <v>1</v>
      </c>
      <c r="F193" s="152" t="s">
        <v>207</v>
      </c>
      <c r="H193" s="153">
        <v>12.5</v>
      </c>
      <c r="L193" s="149"/>
      <c r="M193" s="154"/>
      <c r="N193" s="155"/>
      <c r="O193" s="155"/>
      <c r="P193" s="155"/>
      <c r="Q193" s="155"/>
      <c r="R193" s="155"/>
      <c r="S193" s="155"/>
      <c r="T193" s="156"/>
      <c r="V193" s="185"/>
      <c r="AT193" s="151" t="s">
        <v>122</v>
      </c>
      <c r="AU193" s="151" t="s">
        <v>120</v>
      </c>
      <c r="AV193" s="13" t="s">
        <v>120</v>
      </c>
      <c r="AW193" s="13" t="s">
        <v>28</v>
      </c>
      <c r="AX193" s="13" t="s">
        <v>72</v>
      </c>
      <c r="AY193" s="151" t="s">
        <v>113</v>
      </c>
    </row>
    <row r="194" spans="1:65" s="13" customFormat="1" x14ac:dyDescent="0.2">
      <c r="B194" s="149"/>
      <c r="C194" s="204"/>
      <c r="D194" s="150" t="s">
        <v>122</v>
      </c>
      <c r="E194" s="151" t="s">
        <v>1</v>
      </c>
      <c r="F194" s="152" t="s">
        <v>477</v>
      </c>
      <c r="H194" s="153">
        <v>23.2</v>
      </c>
      <c r="L194" s="149"/>
      <c r="M194" s="154"/>
      <c r="N194" s="155"/>
      <c r="O194" s="155"/>
      <c r="P194" s="155"/>
      <c r="Q194" s="155"/>
      <c r="R194" s="155"/>
      <c r="S194" s="155"/>
      <c r="T194" s="156"/>
      <c r="V194" s="152"/>
      <c r="AT194" s="151" t="s">
        <v>122</v>
      </c>
      <c r="AU194" s="151" t="s">
        <v>120</v>
      </c>
      <c r="AV194" s="13" t="s">
        <v>120</v>
      </c>
      <c r="AW194" s="13" t="s">
        <v>28</v>
      </c>
      <c r="AX194" s="13" t="s">
        <v>72</v>
      </c>
      <c r="AY194" s="151" t="s">
        <v>113</v>
      </c>
    </row>
    <row r="195" spans="1:65" s="14" customFormat="1" x14ac:dyDescent="0.2">
      <c r="B195" s="157"/>
      <c r="C195" s="205"/>
      <c r="D195" s="150" t="s">
        <v>122</v>
      </c>
      <c r="E195" s="158" t="s">
        <v>1</v>
      </c>
      <c r="F195" s="159" t="s">
        <v>128</v>
      </c>
      <c r="H195" s="160">
        <v>35.700000000000003</v>
      </c>
      <c r="L195" s="157"/>
      <c r="M195" s="161"/>
      <c r="N195" s="162"/>
      <c r="O195" s="162"/>
      <c r="P195" s="162"/>
      <c r="Q195" s="162"/>
      <c r="R195" s="162"/>
      <c r="S195" s="162"/>
      <c r="T195" s="163"/>
      <c r="V195" s="186"/>
      <c r="AT195" s="158" t="s">
        <v>122</v>
      </c>
      <c r="AU195" s="158" t="s">
        <v>120</v>
      </c>
      <c r="AV195" s="14" t="s">
        <v>119</v>
      </c>
      <c r="AW195" s="14" t="s">
        <v>28</v>
      </c>
      <c r="AX195" s="14" t="s">
        <v>77</v>
      </c>
      <c r="AY195" s="158" t="s">
        <v>113</v>
      </c>
    </row>
    <row r="196" spans="1:65" s="2" customFormat="1" ht="36" customHeight="1" x14ac:dyDescent="0.2">
      <c r="A196" s="28"/>
      <c r="B196" s="135"/>
      <c r="C196" s="203">
        <v>26</v>
      </c>
      <c r="D196" s="136" t="s">
        <v>115</v>
      </c>
      <c r="E196" s="137" t="s">
        <v>208</v>
      </c>
      <c r="F196" s="138" t="s">
        <v>209</v>
      </c>
      <c r="G196" s="139" t="s">
        <v>118</v>
      </c>
      <c r="H196" s="140">
        <v>8.5030000000000001</v>
      </c>
      <c r="I196" s="141"/>
      <c r="J196" s="141">
        <f>ROUND(I196*H196,2)</f>
        <v>0</v>
      </c>
      <c r="K196" s="142"/>
      <c r="L196" s="29"/>
      <c r="M196" s="143" t="s">
        <v>1</v>
      </c>
      <c r="N196" s="144" t="s">
        <v>38</v>
      </c>
      <c r="O196" s="145">
        <v>6.6262100000000004</v>
      </c>
      <c r="P196" s="145">
        <f>O196*H196</f>
        <v>56.342663630000004</v>
      </c>
      <c r="Q196" s="145">
        <v>0</v>
      </c>
      <c r="R196" s="145">
        <f>Q196*H196</f>
        <v>0</v>
      </c>
      <c r="S196" s="145">
        <v>2.2000000000000002</v>
      </c>
      <c r="T196" s="146">
        <f>S196*H196</f>
        <v>18.706600000000002</v>
      </c>
      <c r="U196" s="28"/>
      <c r="V196" s="179"/>
      <c r="W196" s="28"/>
      <c r="X196" s="28"/>
      <c r="Y196" s="28"/>
      <c r="Z196" s="28"/>
      <c r="AA196" s="28"/>
      <c r="AB196" s="28"/>
      <c r="AC196" s="28"/>
      <c r="AD196" s="28"/>
      <c r="AE196" s="28"/>
      <c r="AR196" s="147" t="s">
        <v>119</v>
      </c>
      <c r="AT196" s="147" t="s">
        <v>115</v>
      </c>
      <c r="AU196" s="147" t="s">
        <v>120</v>
      </c>
      <c r="AY196" s="16" t="s">
        <v>113</v>
      </c>
      <c r="BE196" s="148">
        <f>IF(N196="základná",J196,0)</f>
        <v>0</v>
      </c>
      <c r="BF196" s="148">
        <f>IF(N196="znížená",J196,0)</f>
        <v>0</v>
      </c>
      <c r="BG196" s="148">
        <f>IF(N196="zákl. prenesená",J196,0)</f>
        <v>0</v>
      </c>
      <c r="BH196" s="148">
        <f>IF(N196="zníž. prenesená",J196,0)</f>
        <v>0</v>
      </c>
      <c r="BI196" s="148">
        <f>IF(N196="nulová",J196,0)</f>
        <v>0</v>
      </c>
      <c r="BJ196" s="16" t="s">
        <v>120</v>
      </c>
      <c r="BK196" s="148">
        <f>ROUND(I196*H196,2)</f>
        <v>0</v>
      </c>
      <c r="BL196" s="16" t="s">
        <v>119</v>
      </c>
      <c r="BM196" s="147" t="s">
        <v>210</v>
      </c>
    </row>
    <row r="197" spans="1:65" s="13" customFormat="1" x14ac:dyDescent="0.2">
      <c r="B197" s="149"/>
      <c r="C197" s="204"/>
      <c r="D197" s="150" t="s">
        <v>122</v>
      </c>
      <c r="E197" s="151" t="s">
        <v>1</v>
      </c>
      <c r="F197" s="152" t="s">
        <v>211</v>
      </c>
      <c r="H197" s="153">
        <v>0.32100000000000001</v>
      </c>
      <c r="L197" s="149"/>
      <c r="M197" s="154"/>
      <c r="N197" s="155"/>
      <c r="O197" s="155"/>
      <c r="P197" s="155"/>
      <c r="Q197" s="155"/>
      <c r="R197" s="155"/>
      <c r="S197" s="155"/>
      <c r="T197" s="156"/>
      <c r="V197" s="185"/>
      <c r="AT197" s="151" t="s">
        <v>122</v>
      </c>
      <c r="AU197" s="151" t="s">
        <v>120</v>
      </c>
      <c r="AV197" s="13" t="s">
        <v>120</v>
      </c>
      <c r="AW197" s="13" t="s">
        <v>28</v>
      </c>
      <c r="AX197" s="13" t="s">
        <v>72</v>
      </c>
      <c r="AY197" s="151" t="s">
        <v>113</v>
      </c>
    </row>
    <row r="198" spans="1:65" s="13" customFormat="1" x14ac:dyDescent="0.2">
      <c r="B198" s="149"/>
      <c r="C198" s="204"/>
      <c r="D198" s="150" t="s">
        <v>122</v>
      </c>
      <c r="E198" s="151" t="s">
        <v>1</v>
      </c>
      <c r="F198" s="152" t="s">
        <v>212</v>
      </c>
      <c r="H198" s="153">
        <v>0.998</v>
      </c>
      <c r="L198" s="149"/>
      <c r="M198" s="154"/>
      <c r="N198" s="155"/>
      <c r="O198" s="155"/>
      <c r="P198" s="155"/>
      <c r="Q198" s="155"/>
      <c r="R198" s="155"/>
      <c r="S198" s="155"/>
      <c r="T198" s="156"/>
      <c r="V198" s="185"/>
      <c r="AT198" s="151" t="s">
        <v>122</v>
      </c>
      <c r="AU198" s="151" t="s">
        <v>120</v>
      </c>
      <c r="AV198" s="13" t="s">
        <v>120</v>
      </c>
      <c r="AW198" s="13" t="s">
        <v>28</v>
      </c>
      <c r="AX198" s="13" t="s">
        <v>72</v>
      </c>
      <c r="AY198" s="151" t="s">
        <v>113</v>
      </c>
    </row>
    <row r="199" spans="1:65" s="13" customFormat="1" x14ac:dyDescent="0.2">
      <c r="B199" s="149"/>
      <c r="C199" s="204"/>
      <c r="D199" s="150" t="s">
        <v>122</v>
      </c>
      <c r="E199" s="151" t="s">
        <v>1</v>
      </c>
      <c r="F199" s="152" t="s">
        <v>213</v>
      </c>
      <c r="H199" s="153">
        <v>1.5620000000000001</v>
      </c>
      <c r="L199" s="149"/>
      <c r="M199" s="154"/>
      <c r="N199" s="155"/>
      <c r="O199" s="155"/>
      <c r="P199" s="155"/>
      <c r="Q199" s="155"/>
      <c r="R199" s="155"/>
      <c r="S199" s="155"/>
      <c r="T199" s="156"/>
      <c r="V199" s="185"/>
      <c r="AT199" s="151" t="s">
        <v>122</v>
      </c>
      <c r="AU199" s="151" t="s">
        <v>120</v>
      </c>
      <c r="AV199" s="13" t="s">
        <v>120</v>
      </c>
      <c r="AW199" s="13" t="s">
        <v>28</v>
      </c>
      <c r="AX199" s="13" t="s">
        <v>72</v>
      </c>
      <c r="AY199" s="151" t="s">
        <v>113</v>
      </c>
    </row>
    <row r="200" spans="1:65" s="13" customFormat="1" x14ac:dyDescent="0.2">
      <c r="B200" s="149"/>
      <c r="C200" s="204"/>
      <c r="D200" s="150" t="s">
        <v>122</v>
      </c>
      <c r="E200" s="151" t="s">
        <v>1</v>
      </c>
      <c r="F200" s="152" t="s">
        <v>214</v>
      </c>
      <c r="H200" s="153">
        <v>4.3739999999999997</v>
      </c>
      <c r="L200" s="149"/>
      <c r="M200" s="154"/>
      <c r="N200" s="155"/>
      <c r="O200" s="155"/>
      <c r="P200" s="155"/>
      <c r="Q200" s="155"/>
      <c r="R200" s="155"/>
      <c r="S200" s="155"/>
      <c r="T200" s="156"/>
      <c r="V200" s="185"/>
      <c r="AT200" s="151" t="s">
        <v>122</v>
      </c>
      <c r="AU200" s="151" t="s">
        <v>120</v>
      </c>
      <c r="AV200" s="13" t="s">
        <v>120</v>
      </c>
      <c r="AW200" s="13" t="s">
        <v>28</v>
      </c>
      <c r="AX200" s="13" t="s">
        <v>72</v>
      </c>
      <c r="AY200" s="151" t="s">
        <v>113</v>
      </c>
    </row>
    <row r="201" spans="1:65" s="13" customFormat="1" x14ac:dyDescent="0.2">
      <c r="B201" s="149"/>
      <c r="C201" s="204"/>
      <c r="D201" s="150"/>
      <c r="E201" s="151"/>
      <c r="F201" s="152" t="s">
        <v>478</v>
      </c>
      <c r="H201" s="153">
        <v>1.248</v>
      </c>
      <c r="L201" s="149"/>
      <c r="M201" s="154"/>
      <c r="N201" s="155"/>
      <c r="O201" s="155"/>
      <c r="P201" s="155"/>
      <c r="Q201" s="155"/>
      <c r="R201" s="155"/>
      <c r="S201" s="155"/>
      <c r="T201" s="156"/>
      <c r="V201" s="152"/>
      <c r="AT201" s="151"/>
      <c r="AU201" s="151"/>
      <c r="AY201" s="151"/>
    </row>
    <row r="202" spans="1:65" s="14" customFormat="1" x14ac:dyDescent="0.2">
      <c r="B202" s="157"/>
      <c r="C202" s="205"/>
      <c r="D202" s="150" t="s">
        <v>122</v>
      </c>
      <c r="E202" s="158" t="s">
        <v>1</v>
      </c>
      <c r="F202" s="159" t="s">
        <v>128</v>
      </c>
      <c r="H202" s="160">
        <f>SUM(H197:H201)</f>
        <v>8.5030000000000001</v>
      </c>
      <c r="L202" s="157"/>
      <c r="M202" s="161"/>
      <c r="N202" s="162"/>
      <c r="O202" s="162"/>
      <c r="P202" s="162"/>
      <c r="Q202" s="162"/>
      <c r="R202" s="162"/>
      <c r="S202" s="162"/>
      <c r="T202" s="163"/>
      <c r="V202" s="186"/>
      <c r="AT202" s="158" t="s">
        <v>122</v>
      </c>
      <c r="AU202" s="158" t="s">
        <v>120</v>
      </c>
      <c r="AV202" s="14" t="s">
        <v>119</v>
      </c>
      <c r="AW202" s="14" t="s">
        <v>28</v>
      </c>
      <c r="AX202" s="14" t="s">
        <v>77</v>
      </c>
      <c r="AY202" s="158" t="s">
        <v>113</v>
      </c>
    </row>
    <row r="203" spans="1:65" s="2" customFormat="1" ht="24" customHeight="1" x14ac:dyDescent="0.2">
      <c r="A203" s="28"/>
      <c r="B203" s="135"/>
      <c r="C203" s="203">
        <v>27</v>
      </c>
      <c r="D203" s="136" t="s">
        <v>115</v>
      </c>
      <c r="E203" s="137" t="s">
        <v>215</v>
      </c>
      <c r="F203" s="138" t="s">
        <v>216</v>
      </c>
      <c r="G203" s="139" t="s">
        <v>161</v>
      </c>
      <c r="H203" s="140">
        <v>41.35</v>
      </c>
      <c r="I203" s="141"/>
      <c r="J203" s="141">
        <f>ROUND(I203*H203,2)</f>
        <v>0</v>
      </c>
      <c r="K203" s="142"/>
      <c r="L203" s="29"/>
      <c r="M203" s="143" t="s">
        <v>1</v>
      </c>
      <c r="N203" s="144" t="s">
        <v>38</v>
      </c>
      <c r="O203" s="145">
        <v>0.16600000000000001</v>
      </c>
      <c r="P203" s="145">
        <f>O203*H203</f>
        <v>6.8641000000000005</v>
      </c>
      <c r="Q203" s="145">
        <v>0</v>
      </c>
      <c r="R203" s="145">
        <f>Q203*H203</f>
        <v>0</v>
      </c>
      <c r="S203" s="145">
        <v>0.02</v>
      </c>
      <c r="T203" s="146">
        <f>S203*H203</f>
        <v>0.82700000000000007</v>
      </c>
      <c r="U203" s="28"/>
      <c r="V203" s="179"/>
      <c r="W203" s="28"/>
      <c r="X203" s="28"/>
      <c r="Y203" s="28"/>
      <c r="Z203" s="28"/>
      <c r="AA203" s="28"/>
      <c r="AB203" s="28"/>
      <c r="AC203" s="28"/>
      <c r="AD203" s="28"/>
      <c r="AE203" s="28"/>
      <c r="AR203" s="147" t="s">
        <v>119</v>
      </c>
      <c r="AT203" s="147" t="s">
        <v>115</v>
      </c>
      <c r="AU203" s="147" t="s">
        <v>120</v>
      </c>
      <c r="AY203" s="16" t="s">
        <v>113</v>
      </c>
      <c r="BE203" s="148">
        <f>IF(N203="základná",J203,0)</f>
        <v>0</v>
      </c>
      <c r="BF203" s="148">
        <f>IF(N203="znížená",J203,0)</f>
        <v>0</v>
      </c>
      <c r="BG203" s="148">
        <f>IF(N203="zákl. prenesená",J203,0)</f>
        <v>0</v>
      </c>
      <c r="BH203" s="148">
        <f>IF(N203="zníž. prenesená",J203,0)</f>
        <v>0</v>
      </c>
      <c r="BI203" s="148">
        <f>IF(N203="nulová",J203,0)</f>
        <v>0</v>
      </c>
      <c r="BJ203" s="16" t="s">
        <v>120</v>
      </c>
      <c r="BK203" s="148">
        <f>ROUND(I203*H203,2)</f>
        <v>0</v>
      </c>
      <c r="BL203" s="16" t="s">
        <v>119</v>
      </c>
      <c r="BM203" s="147" t="s">
        <v>217</v>
      </c>
    </row>
    <row r="204" spans="1:65" s="13" customFormat="1" x14ac:dyDescent="0.2">
      <c r="B204" s="149"/>
      <c r="C204" s="204"/>
      <c r="D204" s="150" t="s">
        <v>122</v>
      </c>
      <c r="E204" s="151" t="s">
        <v>1</v>
      </c>
      <c r="F204" s="152">
        <v>13.61</v>
      </c>
      <c r="H204" s="153">
        <v>13.61</v>
      </c>
      <c r="L204" s="149"/>
      <c r="M204" s="154"/>
      <c r="N204" s="155"/>
      <c r="O204" s="155"/>
      <c r="P204" s="155"/>
      <c r="Q204" s="155"/>
      <c r="R204" s="155"/>
      <c r="S204" s="155"/>
      <c r="T204" s="156"/>
      <c r="V204" s="185"/>
      <c r="AT204" s="151" t="s">
        <v>122</v>
      </c>
      <c r="AU204" s="151" t="s">
        <v>120</v>
      </c>
      <c r="AV204" s="13" t="s">
        <v>120</v>
      </c>
      <c r="AW204" s="13" t="s">
        <v>28</v>
      </c>
      <c r="AX204" s="13" t="s">
        <v>77</v>
      </c>
      <c r="AY204" s="151" t="s">
        <v>113</v>
      </c>
    </row>
    <row r="205" spans="1:65" s="13" customFormat="1" x14ac:dyDescent="0.2">
      <c r="B205" s="149"/>
      <c r="C205" s="204"/>
      <c r="D205" s="150"/>
      <c r="E205" s="151"/>
      <c r="F205" s="152">
        <v>27.74</v>
      </c>
      <c r="H205" s="153">
        <v>27.74</v>
      </c>
      <c r="L205" s="149"/>
      <c r="M205" s="154"/>
      <c r="N205" s="155"/>
      <c r="O205" s="155"/>
      <c r="P205" s="155"/>
      <c r="Q205" s="155"/>
      <c r="R205" s="155"/>
      <c r="S205" s="155"/>
      <c r="T205" s="156"/>
      <c r="V205" s="185"/>
      <c r="AT205" s="151"/>
      <c r="AU205" s="151"/>
      <c r="AY205" s="151"/>
    </row>
    <row r="206" spans="1:65" s="14" customFormat="1" x14ac:dyDescent="0.2">
      <c r="B206" s="157"/>
      <c r="D206" s="150" t="s">
        <v>122</v>
      </c>
      <c r="E206" s="158" t="s">
        <v>1</v>
      </c>
      <c r="F206" s="159" t="s">
        <v>128</v>
      </c>
      <c r="H206" s="160">
        <f>SUM(H204:H205)</f>
        <v>41.349999999999994</v>
      </c>
      <c r="L206" s="157"/>
      <c r="M206" s="161"/>
      <c r="N206" s="162"/>
      <c r="O206" s="162"/>
      <c r="P206" s="162"/>
      <c r="Q206" s="162"/>
      <c r="R206" s="162"/>
      <c r="S206" s="162"/>
      <c r="T206" s="163"/>
      <c r="V206" s="186"/>
      <c r="AT206" s="158" t="s">
        <v>122</v>
      </c>
      <c r="AU206" s="158" t="s">
        <v>120</v>
      </c>
      <c r="AV206" s="14" t="s">
        <v>119</v>
      </c>
      <c r="AW206" s="14" t="s">
        <v>28</v>
      </c>
      <c r="AX206" s="14" t="s">
        <v>77</v>
      </c>
      <c r="AY206" s="158" t="s">
        <v>113</v>
      </c>
    </row>
    <row r="207" spans="1:65" s="2" customFormat="1" ht="16.5" customHeight="1" x14ac:dyDescent="0.2">
      <c r="A207" s="28"/>
      <c r="B207" s="135"/>
      <c r="C207" s="203">
        <v>28</v>
      </c>
      <c r="D207" s="136" t="s">
        <v>115</v>
      </c>
      <c r="E207" s="137" t="s">
        <v>218</v>
      </c>
      <c r="F207" s="138" t="s">
        <v>219</v>
      </c>
      <c r="G207" s="139" t="s">
        <v>161</v>
      </c>
      <c r="H207" s="140">
        <v>50.7</v>
      </c>
      <c r="I207" s="141"/>
      <c r="J207" s="141">
        <f t="shared" ref="J207:J212" si="0">ROUND(I207*H207,2)</f>
        <v>0</v>
      </c>
      <c r="K207" s="142"/>
      <c r="L207" s="29"/>
      <c r="M207" s="143" t="s">
        <v>1</v>
      </c>
      <c r="N207" s="144" t="s">
        <v>38</v>
      </c>
      <c r="O207" s="145">
        <v>6.3E-2</v>
      </c>
      <c r="P207" s="145">
        <f t="shared" ref="P207:P212" si="1">O207*H207</f>
        <v>3.1941000000000002</v>
      </c>
      <c r="Q207" s="145">
        <v>0</v>
      </c>
      <c r="R207" s="145">
        <f t="shared" ref="R207:R212" si="2">Q207*H207</f>
        <v>0</v>
      </c>
      <c r="S207" s="145">
        <v>1.4E-2</v>
      </c>
      <c r="T207" s="146">
        <f t="shared" ref="T207:T212" si="3">S207*H207</f>
        <v>0.7098000000000001</v>
      </c>
      <c r="U207" s="28"/>
      <c r="V207" s="179"/>
      <c r="W207" s="28"/>
      <c r="X207" s="28"/>
      <c r="Y207" s="28"/>
      <c r="Z207" s="28"/>
      <c r="AA207" s="28"/>
      <c r="AB207" s="28"/>
      <c r="AC207" s="28"/>
      <c r="AD207" s="28"/>
      <c r="AE207" s="28"/>
      <c r="AR207" s="147" t="s">
        <v>186</v>
      </c>
      <c r="AT207" s="147" t="s">
        <v>115</v>
      </c>
      <c r="AU207" s="147" t="s">
        <v>120</v>
      </c>
      <c r="AY207" s="16" t="s">
        <v>113</v>
      </c>
      <c r="BE207" s="148">
        <f t="shared" ref="BE207:BE212" si="4">IF(N207="základná",J207,0)</f>
        <v>0</v>
      </c>
      <c r="BF207" s="148">
        <f t="shared" ref="BF207:BF212" si="5">IF(N207="znížená",J207,0)</f>
        <v>0</v>
      </c>
      <c r="BG207" s="148">
        <f t="shared" ref="BG207:BG212" si="6">IF(N207="zákl. prenesená",J207,0)</f>
        <v>0</v>
      </c>
      <c r="BH207" s="148">
        <f t="shared" ref="BH207:BH212" si="7">IF(N207="zníž. prenesená",J207,0)</f>
        <v>0</v>
      </c>
      <c r="BI207" s="148">
        <f t="shared" ref="BI207:BI212" si="8">IF(N207="nulová",J207,0)</f>
        <v>0</v>
      </c>
      <c r="BJ207" s="16" t="s">
        <v>120</v>
      </c>
      <c r="BK207" s="148">
        <f t="shared" ref="BK207:BK212" si="9">ROUND(I207*H207,2)</f>
        <v>0</v>
      </c>
      <c r="BL207" s="16" t="s">
        <v>186</v>
      </c>
      <c r="BM207" s="147" t="s">
        <v>220</v>
      </c>
    </row>
    <row r="208" spans="1:65" s="2" customFormat="1" ht="24" customHeight="1" x14ac:dyDescent="0.2">
      <c r="A208" s="28"/>
      <c r="B208" s="135"/>
      <c r="C208" s="203">
        <v>29</v>
      </c>
      <c r="D208" s="136" t="s">
        <v>115</v>
      </c>
      <c r="E208" s="137" t="s">
        <v>221</v>
      </c>
      <c r="F208" s="138" t="s">
        <v>222</v>
      </c>
      <c r="G208" s="139" t="s">
        <v>161</v>
      </c>
      <c r="H208" s="140">
        <v>50.7</v>
      </c>
      <c r="I208" s="141"/>
      <c r="J208" s="141">
        <f t="shared" si="0"/>
        <v>0</v>
      </c>
      <c r="K208" s="142"/>
      <c r="L208" s="29"/>
      <c r="M208" s="143" t="s">
        <v>1</v>
      </c>
      <c r="N208" s="144" t="s">
        <v>38</v>
      </c>
      <c r="O208" s="145">
        <v>6.0000000000000001E-3</v>
      </c>
      <c r="P208" s="145">
        <f t="shared" si="1"/>
        <v>0.30420000000000003</v>
      </c>
      <c r="Q208" s="145">
        <v>0</v>
      </c>
      <c r="R208" s="145">
        <f t="shared" si="2"/>
        <v>0</v>
      </c>
      <c r="S208" s="145">
        <v>6.0000000000000001E-3</v>
      </c>
      <c r="T208" s="146">
        <f t="shared" si="3"/>
        <v>0.30420000000000003</v>
      </c>
      <c r="U208" s="28"/>
      <c r="V208" s="179"/>
      <c r="W208" s="28"/>
      <c r="X208" s="28"/>
      <c r="Y208" s="28"/>
      <c r="Z208" s="28"/>
      <c r="AA208" s="28"/>
      <c r="AB208" s="28"/>
      <c r="AC208" s="28"/>
      <c r="AD208" s="28"/>
      <c r="AE208" s="28"/>
      <c r="AR208" s="147" t="s">
        <v>186</v>
      </c>
      <c r="AT208" s="147" t="s">
        <v>115</v>
      </c>
      <c r="AU208" s="147" t="s">
        <v>120</v>
      </c>
      <c r="AY208" s="16" t="s">
        <v>113</v>
      </c>
      <c r="BE208" s="148">
        <f t="shared" si="4"/>
        <v>0</v>
      </c>
      <c r="BF208" s="148">
        <f t="shared" si="5"/>
        <v>0</v>
      </c>
      <c r="BG208" s="148">
        <f t="shared" si="6"/>
        <v>0</v>
      </c>
      <c r="BH208" s="148">
        <f t="shared" si="7"/>
        <v>0</v>
      </c>
      <c r="BI208" s="148">
        <f t="shared" si="8"/>
        <v>0</v>
      </c>
      <c r="BJ208" s="16" t="s">
        <v>120</v>
      </c>
      <c r="BK208" s="148">
        <f t="shared" si="9"/>
        <v>0</v>
      </c>
      <c r="BL208" s="16" t="s">
        <v>186</v>
      </c>
      <c r="BM208" s="147" t="s">
        <v>223</v>
      </c>
    </row>
    <row r="209" spans="1:65" s="2" customFormat="1" ht="16.5" customHeight="1" x14ac:dyDescent="0.2">
      <c r="A209" s="28"/>
      <c r="B209" s="135"/>
      <c r="C209" s="203">
        <v>30</v>
      </c>
      <c r="D209" s="136" t="s">
        <v>115</v>
      </c>
      <c r="E209" s="137" t="s">
        <v>224</v>
      </c>
      <c r="F209" s="138" t="s">
        <v>225</v>
      </c>
      <c r="G209" s="139" t="s">
        <v>146</v>
      </c>
      <c r="H209" s="140">
        <v>1</v>
      </c>
      <c r="I209" s="141"/>
      <c r="J209" s="141">
        <f t="shared" si="0"/>
        <v>0</v>
      </c>
      <c r="K209" s="142"/>
      <c r="L209" s="29"/>
      <c r="M209" s="143" t="s">
        <v>1</v>
      </c>
      <c r="N209" s="144" t="s">
        <v>38</v>
      </c>
      <c r="O209" s="145">
        <v>1.27166</v>
      </c>
      <c r="P209" s="145">
        <f t="shared" si="1"/>
        <v>1.27166</v>
      </c>
      <c r="Q209" s="145">
        <v>1.924E-2</v>
      </c>
      <c r="R209" s="145">
        <f t="shared" si="2"/>
        <v>1.924E-2</v>
      </c>
      <c r="S209" s="145">
        <v>0</v>
      </c>
      <c r="T209" s="146">
        <f t="shared" si="3"/>
        <v>0</v>
      </c>
      <c r="U209" s="28"/>
      <c r="V209" s="179"/>
      <c r="W209" s="28"/>
      <c r="X209" s="28"/>
      <c r="Y209" s="28"/>
      <c r="Z209" s="28"/>
      <c r="AA209" s="28"/>
      <c r="AB209" s="28"/>
      <c r="AC209" s="28"/>
      <c r="AD209" s="28"/>
      <c r="AE209" s="28"/>
      <c r="AR209" s="147" t="s">
        <v>119</v>
      </c>
      <c r="AT209" s="147" t="s">
        <v>115</v>
      </c>
      <c r="AU209" s="147" t="s">
        <v>120</v>
      </c>
      <c r="AY209" s="16" t="s">
        <v>113</v>
      </c>
      <c r="BE209" s="148">
        <f t="shared" si="4"/>
        <v>0</v>
      </c>
      <c r="BF209" s="148">
        <f t="shared" si="5"/>
        <v>0</v>
      </c>
      <c r="BG209" s="148">
        <f t="shared" si="6"/>
        <v>0</v>
      </c>
      <c r="BH209" s="148">
        <f t="shared" si="7"/>
        <v>0</v>
      </c>
      <c r="BI209" s="148">
        <f t="shared" si="8"/>
        <v>0</v>
      </c>
      <c r="BJ209" s="16" t="s">
        <v>120</v>
      </c>
      <c r="BK209" s="148">
        <f t="shared" si="9"/>
        <v>0</v>
      </c>
      <c r="BL209" s="16" t="s">
        <v>119</v>
      </c>
      <c r="BM209" s="147" t="s">
        <v>226</v>
      </c>
    </row>
    <row r="210" spans="1:65" s="2" customFormat="1" ht="24" customHeight="1" x14ac:dyDescent="0.2">
      <c r="A210" s="28"/>
      <c r="B210" s="135"/>
      <c r="C210" s="203">
        <v>31</v>
      </c>
      <c r="D210" s="136" t="s">
        <v>115</v>
      </c>
      <c r="E210" s="137" t="s">
        <v>227</v>
      </c>
      <c r="F210" s="138" t="s">
        <v>228</v>
      </c>
      <c r="G210" s="139" t="s">
        <v>229</v>
      </c>
      <c r="H210" s="140">
        <v>27.446000000000002</v>
      </c>
      <c r="I210" s="141"/>
      <c r="J210" s="141">
        <f t="shared" si="0"/>
        <v>0</v>
      </c>
      <c r="K210" s="142"/>
      <c r="L210" s="29"/>
      <c r="M210" s="143" t="s">
        <v>1</v>
      </c>
      <c r="N210" s="144" t="s">
        <v>38</v>
      </c>
      <c r="O210" s="145">
        <v>0.88200000000000001</v>
      </c>
      <c r="P210" s="145">
        <f t="shared" si="1"/>
        <v>24.207372000000003</v>
      </c>
      <c r="Q210" s="145">
        <v>0</v>
      </c>
      <c r="R210" s="145">
        <f t="shared" si="2"/>
        <v>0</v>
      </c>
      <c r="S210" s="145">
        <v>0</v>
      </c>
      <c r="T210" s="146">
        <f t="shared" si="3"/>
        <v>0</v>
      </c>
      <c r="U210" s="28"/>
      <c r="V210" s="179"/>
      <c r="W210" s="28"/>
      <c r="X210" s="28"/>
      <c r="Y210" s="28"/>
      <c r="Z210" s="28"/>
      <c r="AA210" s="28"/>
      <c r="AB210" s="28"/>
      <c r="AC210" s="28"/>
      <c r="AD210" s="28"/>
      <c r="AE210" s="28"/>
      <c r="AR210" s="147" t="s">
        <v>119</v>
      </c>
      <c r="AT210" s="147" t="s">
        <v>115</v>
      </c>
      <c r="AU210" s="147" t="s">
        <v>120</v>
      </c>
      <c r="AY210" s="16" t="s">
        <v>113</v>
      </c>
      <c r="BE210" s="148">
        <f t="shared" si="4"/>
        <v>0</v>
      </c>
      <c r="BF210" s="148">
        <f t="shared" si="5"/>
        <v>0</v>
      </c>
      <c r="BG210" s="148">
        <f t="shared" si="6"/>
        <v>0</v>
      </c>
      <c r="BH210" s="148">
        <f t="shared" si="7"/>
        <v>0</v>
      </c>
      <c r="BI210" s="148">
        <f t="shared" si="8"/>
        <v>0</v>
      </c>
      <c r="BJ210" s="16" t="s">
        <v>120</v>
      </c>
      <c r="BK210" s="148">
        <f t="shared" si="9"/>
        <v>0</v>
      </c>
      <c r="BL210" s="16" t="s">
        <v>119</v>
      </c>
      <c r="BM210" s="147" t="s">
        <v>230</v>
      </c>
    </row>
    <row r="211" spans="1:65" s="2" customFormat="1" ht="16.5" customHeight="1" x14ac:dyDescent="0.2">
      <c r="A211" s="28"/>
      <c r="B211" s="135"/>
      <c r="C211" s="203">
        <v>32</v>
      </c>
      <c r="D211" s="136" t="s">
        <v>115</v>
      </c>
      <c r="E211" s="137" t="s">
        <v>231</v>
      </c>
      <c r="F211" s="138" t="s">
        <v>232</v>
      </c>
      <c r="G211" s="139" t="s">
        <v>229</v>
      </c>
      <c r="H211" s="140">
        <v>27.446000000000002</v>
      </c>
      <c r="I211" s="141"/>
      <c r="J211" s="141">
        <f t="shared" si="0"/>
        <v>0</v>
      </c>
      <c r="K211" s="142"/>
      <c r="L211" s="29"/>
      <c r="M211" s="143" t="s">
        <v>1</v>
      </c>
      <c r="N211" s="144" t="s">
        <v>38</v>
      </c>
      <c r="O211" s="145">
        <v>0.59799999999999998</v>
      </c>
      <c r="P211" s="145">
        <f t="shared" si="1"/>
        <v>16.412707999999999</v>
      </c>
      <c r="Q211" s="145">
        <v>0</v>
      </c>
      <c r="R211" s="145">
        <f t="shared" si="2"/>
        <v>0</v>
      </c>
      <c r="S211" s="145">
        <v>0</v>
      </c>
      <c r="T211" s="146">
        <f t="shared" si="3"/>
        <v>0</v>
      </c>
      <c r="U211" s="28"/>
      <c r="V211" s="179"/>
      <c r="W211" s="28"/>
      <c r="X211" s="28"/>
      <c r="Y211" s="28"/>
      <c r="Z211" s="28"/>
      <c r="AA211" s="28"/>
      <c r="AB211" s="28"/>
      <c r="AC211" s="28"/>
      <c r="AD211" s="28"/>
      <c r="AE211" s="28"/>
      <c r="AR211" s="147" t="s">
        <v>119</v>
      </c>
      <c r="AT211" s="147" t="s">
        <v>115</v>
      </c>
      <c r="AU211" s="147" t="s">
        <v>120</v>
      </c>
      <c r="AY211" s="16" t="s">
        <v>113</v>
      </c>
      <c r="BE211" s="148">
        <f t="shared" si="4"/>
        <v>0</v>
      </c>
      <c r="BF211" s="148">
        <f t="shared" si="5"/>
        <v>0</v>
      </c>
      <c r="BG211" s="148">
        <f t="shared" si="6"/>
        <v>0</v>
      </c>
      <c r="BH211" s="148">
        <f t="shared" si="7"/>
        <v>0</v>
      </c>
      <c r="BI211" s="148">
        <f t="shared" si="8"/>
        <v>0</v>
      </c>
      <c r="BJ211" s="16" t="s">
        <v>120</v>
      </c>
      <c r="BK211" s="148">
        <f t="shared" si="9"/>
        <v>0</v>
      </c>
      <c r="BL211" s="16" t="s">
        <v>119</v>
      </c>
      <c r="BM211" s="147" t="s">
        <v>233</v>
      </c>
    </row>
    <row r="212" spans="1:65" s="2" customFormat="1" ht="24" customHeight="1" x14ac:dyDescent="0.2">
      <c r="A212" s="28"/>
      <c r="B212" s="135"/>
      <c r="C212" s="203">
        <v>33</v>
      </c>
      <c r="D212" s="136" t="s">
        <v>115</v>
      </c>
      <c r="E212" s="137" t="s">
        <v>234</v>
      </c>
      <c r="F212" s="138" t="s">
        <v>235</v>
      </c>
      <c r="G212" s="139" t="s">
        <v>229</v>
      </c>
      <c r="H212" s="140">
        <v>411.68400000000003</v>
      </c>
      <c r="I212" s="141"/>
      <c r="J212" s="141">
        <f t="shared" si="0"/>
        <v>0</v>
      </c>
      <c r="K212" s="142"/>
      <c r="L212" s="29"/>
      <c r="M212" s="143" t="s">
        <v>1</v>
      </c>
      <c r="N212" s="144" t="s">
        <v>38</v>
      </c>
      <c r="O212" s="145">
        <v>7.0000000000000001E-3</v>
      </c>
      <c r="P212" s="145">
        <f t="shared" si="1"/>
        <v>2.8817880000000002</v>
      </c>
      <c r="Q212" s="145">
        <v>0</v>
      </c>
      <c r="R212" s="145">
        <f t="shared" si="2"/>
        <v>0</v>
      </c>
      <c r="S212" s="145">
        <v>0</v>
      </c>
      <c r="T212" s="146">
        <f t="shared" si="3"/>
        <v>0</v>
      </c>
      <c r="U212" s="28"/>
      <c r="V212" s="179"/>
      <c r="W212" s="28"/>
      <c r="X212" s="28"/>
      <c r="Y212" s="28"/>
      <c r="Z212" s="28"/>
      <c r="AA212" s="28"/>
      <c r="AB212" s="28"/>
      <c r="AC212" s="28"/>
      <c r="AD212" s="28"/>
      <c r="AE212" s="28"/>
      <c r="AR212" s="147" t="s">
        <v>119</v>
      </c>
      <c r="AT212" s="147" t="s">
        <v>115</v>
      </c>
      <c r="AU212" s="147" t="s">
        <v>120</v>
      </c>
      <c r="AY212" s="16" t="s">
        <v>113</v>
      </c>
      <c r="BE212" s="148">
        <f t="shared" si="4"/>
        <v>0</v>
      </c>
      <c r="BF212" s="148">
        <f t="shared" si="5"/>
        <v>0</v>
      </c>
      <c r="BG212" s="148">
        <f t="shared" si="6"/>
        <v>0</v>
      </c>
      <c r="BH212" s="148">
        <f t="shared" si="7"/>
        <v>0</v>
      </c>
      <c r="BI212" s="148">
        <f t="shared" si="8"/>
        <v>0</v>
      </c>
      <c r="BJ212" s="16" t="s">
        <v>120</v>
      </c>
      <c r="BK212" s="148">
        <f t="shared" si="9"/>
        <v>0</v>
      </c>
      <c r="BL212" s="16" t="s">
        <v>119</v>
      </c>
      <c r="BM212" s="147" t="s">
        <v>236</v>
      </c>
    </row>
    <row r="213" spans="1:65" s="13" customFormat="1" x14ac:dyDescent="0.2">
      <c r="B213" s="149"/>
      <c r="C213" s="204"/>
      <c r="D213" s="150" t="s">
        <v>122</v>
      </c>
      <c r="F213" s="152" t="s">
        <v>479</v>
      </c>
      <c r="H213" s="153">
        <v>411.68400000000003</v>
      </c>
      <c r="L213" s="149"/>
      <c r="M213" s="154"/>
      <c r="N213" s="155"/>
      <c r="O213" s="155"/>
      <c r="P213" s="155"/>
      <c r="Q213" s="155"/>
      <c r="R213" s="155"/>
      <c r="S213" s="155"/>
      <c r="T213" s="156"/>
      <c r="V213" s="185"/>
      <c r="AT213" s="151" t="s">
        <v>122</v>
      </c>
      <c r="AU213" s="151" t="s">
        <v>120</v>
      </c>
      <c r="AV213" s="13" t="s">
        <v>120</v>
      </c>
      <c r="AW213" s="13" t="s">
        <v>3</v>
      </c>
      <c r="AX213" s="13" t="s">
        <v>77</v>
      </c>
      <c r="AY213" s="151" t="s">
        <v>113</v>
      </c>
    </row>
    <row r="214" spans="1:65" s="2" customFormat="1" ht="24" customHeight="1" x14ac:dyDescent="0.2">
      <c r="A214" s="28"/>
      <c r="B214" s="135"/>
      <c r="C214" s="203">
        <v>34</v>
      </c>
      <c r="D214" s="136" t="s">
        <v>115</v>
      </c>
      <c r="E214" s="137" t="s">
        <v>238</v>
      </c>
      <c r="F214" s="138" t="s">
        <v>239</v>
      </c>
      <c r="G214" s="139" t="s">
        <v>229</v>
      </c>
      <c r="H214" s="140">
        <v>27.446000000000002</v>
      </c>
      <c r="I214" s="141"/>
      <c r="J214" s="141">
        <f>ROUND(I214*H214,2)</f>
        <v>0</v>
      </c>
      <c r="K214" s="142"/>
      <c r="L214" s="29"/>
      <c r="M214" s="143" t="s">
        <v>1</v>
      </c>
      <c r="N214" s="144" t="s">
        <v>38</v>
      </c>
      <c r="O214" s="145">
        <v>0.89</v>
      </c>
      <c r="P214" s="145">
        <f>O214*H214</f>
        <v>24.426940000000002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U214" s="28"/>
      <c r="V214" s="179"/>
      <c r="W214" s="28"/>
      <c r="X214" s="28"/>
      <c r="Y214" s="28"/>
      <c r="Z214" s="28"/>
      <c r="AA214" s="28"/>
      <c r="AB214" s="28"/>
      <c r="AC214" s="28"/>
      <c r="AD214" s="28"/>
      <c r="AE214" s="28"/>
      <c r="AR214" s="147" t="s">
        <v>119</v>
      </c>
      <c r="AT214" s="147" t="s">
        <v>115</v>
      </c>
      <c r="AU214" s="147" t="s">
        <v>120</v>
      </c>
      <c r="AY214" s="16" t="s">
        <v>113</v>
      </c>
      <c r="BE214" s="148">
        <f>IF(N214="základná",J214,0)</f>
        <v>0</v>
      </c>
      <c r="BF214" s="148">
        <f>IF(N214="znížená",J214,0)</f>
        <v>0</v>
      </c>
      <c r="BG214" s="148">
        <f>IF(N214="zákl. prenesená",J214,0)</f>
        <v>0</v>
      </c>
      <c r="BH214" s="148">
        <f>IF(N214="zníž. prenesená",J214,0)</f>
        <v>0</v>
      </c>
      <c r="BI214" s="148">
        <f>IF(N214="nulová",J214,0)</f>
        <v>0</v>
      </c>
      <c r="BJ214" s="16" t="s">
        <v>120</v>
      </c>
      <c r="BK214" s="148">
        <f>ROUND(I214*H214,2)</f>
        <v>0</v>
      </c>
      <c r="BL214" s="16" t="s">
        <v>119</v>
      </c>
      <c r="BM214" s="147" t="s">
        <v>240</v>
      </c>
    </row>
    <row r="215" spans="1:65" s="2" customFormat="1" ht="24" customHeight="1" x14ac:dyDescent="0.2">
      <c r="A215" s="28"/>
      <c r="B215" s="135"/>
      <c r="C215" s="203">
        <v>35</v>
      </c>
      <c r="D215" s="136" t="s">
        <v>115</v>
      </c>
      <c r="E215" s="137" t="s">
        <v>241</v>
      </c>
      <c r="F215" s="138" t="s">
        <v>242</v>
      </c>
      <c r="G215" s="139" t="s">
        <v>229</v>
      </c>
      <c r="H215" s="140">
        <v>137.22999999999999</v>
      </c>
      <c r="I215" s="141"/>
      <c r="J215" s="141">
        <f>ROUND(I215*H215,2)</f>
        <v>0</v>
      </c>
      <c r="K215" s="142"/>
      <c r="L215" s="29"/>
      <c r="M215" s="143" t="s">
        <v>1</v>
      </c>
      <c r="N215" s="144" t="s">
        <v>38</v>
      </c>
      <c r="O215" s="145">
        <v>0.1</v>
      </c>
      <c r="P215" s="145">
        <f>O215*H215</f>
        <v>13.722999999999999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U215" s="28"/>
      <c r="V215" s="179"/>
      <c r="W215" s="28"/>
      <c r="X215" s="28"/>
      <c r="Y215" s="28"/>
      <c r="Z215" s="28"/>
      <c r="AA215" s="28"/>
      <c r="AB215" s="28"/>
      <c r="AC215" s="28"/>
      <c r="AD215" s="28"/>
      <c r="AE215" s="28"/>
      <c r="AR215" s="147" t="s">
        <v>119</v>
      </c>
      <c r="AT215" s="147" t="s">
        <v>115</v>
      </c>
      <c r="AU215" s="147" t="s">
        <v>120</v>
      </c>
      <c r="AY215" s="16" t="s">
        <v>113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6" t="s">
        <v>120</v>
      </c>
      <c r="BK215" s="148">
        <f>ROUND(I215*H215,2)</f>
        <v>0</v>
      </c>
      <c r="BL215" s="16" t="s">
        <v>119</v>
      </c>
      <c r="BM215" s="147" t="s">
        <v>243</v>
      </c>
    </row>
    <row r="216" spans="1:65" s="13" customFormat="1" x14ac:dyDescent="0.2">
      <c r="B216" s="149"/>
      <c r="C216" s="204"/>
      <c r="D216" s="150" t="s">
        <v>122</v>
      </c>
      <c r="F216" s="152" t="s">
        <v>480</v>
      </c>
      <c r="H216" s="153">
        <v>137.22999999999999</v>
      </c>
      <c r="L216" s="149"/>
      <c r="M216" s="154"/>
      <c r="N216" s="155"/>
      <c r="O216" s="155"/>
      <c r="P216" s="155"/>
      <c r="Q216" s="155"/>
      <c r="R216" s="155"/>
      <c r="S216" s="155"/>
      <c r="T216" s="156"/>
      <c r="V216" s="185"/>
      <c r="AT216" s="151" t="s">
        <v>122</v>
      </c>
      <c r="AU216" s="151" t="s">
        <v>120</v>
      </c>
      <c r="AV216" s="13" t="s">
        <v>120</v>
      </c>
      <c r="AW216" s="13" t="s">
        <v>3</v>
      </c>
      <c r="AX216" s="13" t="s">
        <v>77</v>
      </c>
      <c r="AY216" s="151" t="s">
        <v>113</v>
      </c>
    </row>
    <row r="217" spans="1:65" s="2" customFormat="1" ht="24" customHeight="1" x14ac:dyDescent="0.2">
      <c r="A217" s="28"/>
      <c r="B217" s="135"/>
      <c r="C217" s="203">
        <v>36</v>
      </c>
      <c r="D217" s="136" t="s">
        <v>115</v>
      </c>
      <c r="E217" s="137" t="s">
        <v>244</v>
      </c>
      <c r="F217" s="138" t="s">
        <v>245</v>
      </c>
      <c r="G217" s="139" t="s">
        <v>229</v>
      </c>
      <c r="H217" s="140">
        <v>27.446000000000002</v>
      </c>
      <c r="I217" s="141"/>
      <c r="J217" s="141">
        <f>ROUND(I217*H217,2)</f>
        <v>0</v>
      </c>
      <c r="K217" s="142"/>
      <c r="L217" s="29"/>
      <c r="M217" s="143" t="s">
        <v>1</v>
      </c>
      <c r="N217" s="144" t="s">
        <v>38</v>
      </c>
      <c r="O217" s="145">
        <v>0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U217" s="28"/>
      <c r="V217" s="179"/>
      <c r="W217" s="28"/>
      <c r="X217" s="28"/>
      <c r="Y217" s="28"/>
      <c r="Z217" s="28"/>
      <c r="AA217" s="28"/>
      <c r="AB217" s="28"/>
      <c r="AC217" s="28"/>
      <c r="AD217" s="28"/>
      <c r="AE217" s="28"/>
      <c r="AR217" s="147" t="s">
        <v>119</v>
      </c>
      <c r="AT217" s="147" t="s">
        <v>115</v>
      </c>
      <c r="AU217" s="147" t="s">
        <v>120</v>
      </c>
      <c r="AY217" s="16" t="s">
        <v>113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6" t="s">
        <v>120</v>
      </c>
      <c r="BK217" s="148">
        <f>ROUND(I217*H217,2)</f>
        <v>0</v>
      </c>
      <c r="BL217" s="16" t="s">
        <v>119</v>
      </c>
      <c r="BM217" s="147" t="s">
        <v>246</v>
      </c>
    </row>
    <row r="218" spans="1:65" s="2" customFormat="1" ht="16.5" customHeight="1" x14ac:dyDescent="0.2">
      <c r="A218" s="28"/>
      <c r="B218" s="135"/>
      <c r="C218" s="203">
        <v>37</v>
      </c>
      <c r="D218" s="136" t="s">
        <v>115</v>
      </c>
      <c r="E218" s="137" t="s">
        <v>247</v>
      </c>
      <c r="F218" s="138" t="s">
        <v>248</v>
      </c>
      <c r="G218" s="139" t="s">
        <v>146</v>
      </c>
      <c r="H218" s="140">
        <v>27.446000000000002</v>
      </c>
      <c r="I218" s="141"/>
      <c r="J218" s="141">
        <f>ROUND(I218*H218,2)</f>
        <v>0</v>
      </c>
      <c r="K218" s="142"/>
      <c r="L218" s="29"/>
      <c r="M218" s="143" t="s">
        <v>1</v>
      </c>
      <c r="N218" s="144" t="s">
        <v>38</v>
      </c>
      <c r="O218" s="145">
        <v>0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U218" s="28"/>
      <c r="V218" s="179"/>
      <c r="W218" s="28"/>
      <c r="X218" s="28"/>
      <c r="Y218" s="28"/>
      <c r="Z218" s="28"/>
      <c r="AA218" s="28"/>
      <c r="AB218" s="28"/>
      <c r="AC218" s="28"/>
      <c r="AD218" s="28"/>
      <c r="AE218" s="28"/>
      <c r="AR218" s="147" t="s">
        <v>119</v>
      </c>
      <c r="AT218" s="147" t="s">
        <v>115</v>
      </c>
      <c r="AU218" s="147" t="s">
        <v>120</v>
      </c>
      <c r="AY218" s="16" t="s">
        <v>113</v>
      </c>
      <c r="BE218" s="148">
        <f>IF(N218="základná",J218,0)</f>
        <v>0</v>
      </c>
      <c r="BF218" s="148">
        <f>IF(N218="znížená",J218,0)</f>
        <v>0</v>
      </c>
      <c r="BG218" s="148">
        <f>IF(N218="zákl. prenesená",J218,0)</f>
        <v>0</v>
      </c>
      <c r="BH218" s="148">
        <f>IF(N218="zníž. prenesená",J218,0)</f>
        <v>0</v>
      </c>
      <c r="BI218" s="148">
        <f>IF(N218="nulová",J218,0)</f>
        <v>0</v>
      </c>
      <c r="BJ218" s="16" t="s">
        <v>120</v>
      </c>
      <c r="BK218" s="148">
        <f>ROUND(I218*H218,2)</f>
        <v>0</v>
      </c>
      <c r="BL218" s="16" t="s">
        <v>119</v>
      </c>
      <c r="BM218" s="147" t="s">
        <v>249</v>
      </c>
    </row>
    <row r="219" spans="1:65" s="12" customFormat="1" ht="22.9" customHeight="1" x14ac:dyDescent="0.2">
      <c r="B219" s="123"/>
      <c r="C219" s="206"/>
      <c r="D219" s="124" t="s">
        <v>71</v>
      </c>
      <c r="E219" s="133" t="s">
        <v>250</v>
      </c>
      <c r="F219" s="133" t="s">
        <v>251</v>
      </c>
      <c r="J219" s="134">
        <f>BK219</f>
        <v>0</v>
      </c>
      <c r="L219" s="123"/>
      <c r="M219" s="127"/>
      <c r="N219" s="128"/>
      <c r="O219" s="128"/>
      <c r="P219" s="129">
        <f>SUM(P220:P223)</f>
        <v>45.959040000000002</v>
      </c>
      <c r="Q219" s="128"/>
      <c r="R219" s="129">
        <f>SUM(R220:R223)</f>
        <v>0</v>
      </c>
      <c r="S219" s="128"/>
      <c r="T219" s="130">
        <f>SUM(T220:T223)</f>
        <v>0</v>
      </c>
      <c r="V219" s="184"/>
      <c r="AR219" s="124" t="s">
        <v>77</v>
      </c>
      <c r="AT219" s="131" t="s">
        <v>71</v>
      </c>
      <c r="AU219" s="131" t="s">
        <v>77</v>
      </c>
      <c r="AY219" s="124" t="s">
        <v>113</v>
      </c>
      <c r="BK219" s="132">
        <f>SUM(BK220:BK223)</f>
        <v>0</v>
      </c>
    </row>
    <row r="220" spans="1:65" s="2" customFormat="1" ht="24" customHeight="1" x14ac:dyDescent="0.2">
      <c r="A220" s="28"/>
      <c r="B220" s="135"/>
      <c r="C220" s="203">
        <v>38</v>
      </c>
      <c r="D220" s="136" t="s">
        <v>115</v>
      </c>
      <c r="E220" s="137" t="s">
        <v>252</v>
      </c>
      <c r="F220" s="138" t="s">
        <v>253</v>
      </c>
      <c r="G220" s="139" t="s">
        <v>229</v>
      </c>
      <c r="H220" s="140">
        <v>38.783999999999999</v>
      </c>
      <c r="I220" s="141"/>
      <c r="J220" s="141">
        <f>ROUND(I220*H220,2)</f>
        <v>0</v>
      </c>
      <c r="K220" s="142"/>
      <c r="L220" s="29"/>
      <c r="M220" s="143" t="s">
        <v>1</v>
      </c>
      <c r="N220" s="144" t="s">
        <v>38</v>
      </c>
      <c r="O220" s="145">
        <v>0.89800000000000002</v>
      </c>
      <c r="P220" s="145">
        <f>O220*H220</f>
        <v>34.828032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U220" s="28"/>
      <c r="V220" s="179"/>
      <c r="W220" s="28"/>
      <c r="X220" s="28"/>
      <c r="Y220" s="28"/>
      <c r="Z220" s="28"/>
      <c r="AA220" s="28"/>
      <c r="AB220" s="28"/>
      <c r="AC220" s="28"/>
      <c r="AD220" s="28"/>
      <c r="AE220" s="28"/>
      <c r="AR220" s="147" t="s">
        <v>119</v>
      </c>
      <c r="AT220" s="147" t="s">
        <v>115</v>
      </c>
      <c r="AU220" s="147" t="s">
        <v>120</v>
      </c>
      <c r="AY220" s="16" t="s">
        <v>113</v>
      </c>
      <c r="BE220" s="148">
        <f>IF(N220="základná",J220,0)</f>
        <v>0</v>
      </c>
      <c r="BF220" s="148">
        <f>IF(N220="znížená",J220,0)</f>
        <v>0</v>
      </c>
      <c r="BG220" s="148">
        <f>IF(N220="zákl. prenesená",J220,0)</f>
        <v>0</v>
      </c>
      <c r="BH220" s="148">
        <f>IF(N220="zníž. prenesená",J220,0)</f>
        <v>0</v>
      </c>
      <c r="BI220" s="148">
        <f>IF(N220="nulová",J220,0)</f>
        <v>0</v>
      </c>
      <c r="BJ220" s="16" t="s">
        <v>120</v>
      </c>
      <c r="BK220" s="148">
        <f>ROUND(I220*H220,2)</f>
        <v>0</v>
      </c>
      <c r="BL220" s="16" t="s">
        <v>119</v>
      </c>
      <c r="BM220" s="147" t="s">
        <v>254</v>
      </c>
    </row>
    <row r="221" spans="1:65" s="2" customFormat="1" ht="36" customHeight="1" x14ac:dyDescent="0.2">
      <c r="A221" s="28"/>
      <c r="B221" s="135"/>
      <c r="C221" s="203">
        <v>39</v>
      </c>
      <c r="D221" s="136" t="s">
        <v>115</v>
      </c>
      <c r="E221" s="137" t="s">
        <v>255</v>
      </c>
      <c r="F221" s="138" t="s">
        <v>256</v>
      </c>
      <c r="G221" s="139" t="s">
        <v>229</v>
      </c>
      <c r="H221" s="140">
        <v>38.783999999999999</v>
      </c>
      <c r="I221" s="141"/>
      <c r="J221" s="141">
        <f>ROUND(I221*H221,2)</f>
        <v>0</v>
      </c>
      <c r="K221" s="142"/>
      <c r="L221" s="29"/>
      <c r="M221" s="143" t="s">
        <v>1</v>
      </c>
      <c r="N221" s="144" t="s">
        <v>38</v>
      </c>
      <c r="O221" s="145">
        <v>0.23899999999999999</v>
      </c>
      <c r="P221" s="145">
        <f>O221*H221</f>
        <v>9.2693759999999994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U221" s="28"/>
      <c r="V221" s="179"/>
      <c r="W221" s="28"/>
      <c r="X221" s="28"/>
      <c r="Y221" s="28"/>
      <c r="Z221" s="28"/>
      <c r="AA221" s="28"/>
      <c r="AB221" s="28"/>
      <c r="AC221" s="28"/>
      <c r="AD221" s="28"/>
      <c r="AE221" s="28"/>
      <c r="AR221" s="147" t="s">
        <v>119</v>
      </c>
      <c r="AT221" s="147" t="s">
        <v>115</v>
      </c>
      <c r="AU221" s="147" t="s">
        <v>120</v>
      </c>
      <c r="AY221" s="16" t="s">
        <v>113</v>
      </c>
      <c r="BE221" s="148">
        <f>IF(N221="základná",J221,0)</f>
        <v>0</v>
      </c>
      <c r="BF221" s="148">
        <f>IF(N221="znížená",J221,0)</f>
        <v>0</v>
      </c>
      <c r="BG221" s="148">
        <f>IF(N221="zákl. prenesená",J221,0)</f>
        <v>0</v>
      </c>
      <c r="BH221" s="148">
        <f>IF(N221="zníž. prenesená",J221,0)</f>
        <v>0</v>
      </c>
      <c r="BI221" s="148">
        <f>IF(N221="nulová",J221,0)</f>
        <v>0</v>
      </c>
      <c r="BJ221" s="16" t="s">
        <v>120</v>
      </c>
      <c r="BK221" s="148">
        <f>ROUND(I221*H221,2)</f>
        <v>0</v>
      </c>
      <c r="BL221" s="16" t="s">
        <v>119</v>
      </c>
      <c r="BM221" s="147" t="s">
        <v>257</v>
      </c>
    </row>
    <row r="222" spans="1:65" s="2" customFormat="1" ht="24" customHeight="1" x14ac:dyDescent="0.2">
      <c r="A222" s="28"/>
      <c r="B222" s="135"/>
      <c r="C222" s="203">
        <v>40</v>
      </c>
      <c r="D222" s="136" t="s">
        <v>115</v>
      </c>
      <c r="E222" s="137" t="s">
        <v>258</v>
      </c>
      <c r="F222" s="138" t="s">
        <v>259</v>
      </c>
      <c r="G222" s="139" t="s">
        <v>229</v>
      </c>
      <c r="H222" s="140">
        <v>116.352</v>
      </c>
      <c r="I222" s="141"/>
      <c r="J222" s="141">
        <f>ROUND(I222*H222,2)</f>
        <v>0</v>
      </c>
      <c r="K222" s="142"/>
      <c r="L222" s="29"/>
      <c r="M222" s="143" t="s">
        <v>1</v>
      </c>
      <c r="N222" s="144" t="s">
        <v>38</v>
      </c>
      <c r="O222" s="145">
        <v>1.6E-2</v>
      </c>
      <c r="P222" s="145">
        <f>O222*H222</f>
        <v>1.8616320000000002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U222" s="28"/>
      <c r="V222" s="179"/>
      <c r="W222" s="28"/>
      <c r="X222" s="28"/>
      <c r="Y222" s="28"/>
      <c r="Z222" s="28"/>
      <c r="AA222" s="28"/>
      <c r="AB222" s="28"/>
      <c r="AC222" s="28"/>
      <c r="AD222" s="28"/>
      <c r="AE222" s="28"/>
      <c r="AR222" s="147" t="s">
        <v>119</v>
      </c>
      <c r="AT222" s="147" t="s">
        <v>115</v>
      </c>
      <c r="AU222" s="147" t="s">
        <v>120</v>
      </c>
      <c r="AY222" s="16" t="s">
        <v>113</v>
      </c>
      <c r="BE222" s="148">
        <f>IF(N222="základná",J222,0)</f>
        <v>0</v>
      </c>
      <c r="BF222" s="148">
        <f>IF(N222="znížená",J222,0)</f>
        <v>0</v>
      </c>
      <c r="BG222" s="148">
        <f>IF(N222="zákl. prenesená",J222,0)</f>
        <v>0</v>
      </c>
      <c r="BH222" s="148">
        <f>IF(N222="zníž. prenesená",J222,0)</f>
        <v>0</v>
      </c>
      <c r="BI222" s="148">
        <f>IF(N222="nulová",J222,0)</f>
        <v>0</v>
      </c>
      <c r="BJ222" s="16" t="s">
        <v>120</v>
      </c>
      <c r="BK222" s="148">
        <f>ROUND(I222*H222,2)</f>
        <v>0</v>
      </c>
      <c r="BL222" s="16" t="s">
        <v>119</v>
      </c>
      <c r="BM222" s="147" t="s">
        <v>260</v>
      </c>
    </row>
    <row r="223" spans="1:65" s="13" customFormat="1" x14ac:dyDescent="0.2">
      <c r="B223" s="149"/>
      <c r="D223" s="150" t="s">
        <v>122</v>
      </c>
      <c r="F223" s="152" t="s">
        <v>481</v>
      </c>
      <c r="H223" s="153">
        <v>116.352</v>
      </c>
      <c r="L223" s="149"/>
      <c r="M223" s="154"/>
      <c r="N223" s="155"/>
      <c r="O223" s="155"/>
      <c r="P223" s="155"/>
      <c r="Q223" s="155"/>
      <c r="R223" s="155"/>
      <c r="S223" s="155"/>
      <c r="T223" s="156"/>
      <c r="V223" s="185"/>
      <c r="AT223" s="151" t="s">
        <v>122</v>
      </c>
      <c r="AU223" s="151" t="s">
        <v>120</v>
      </c>
      <c r="AV223" s="13" t="s">
        <v>120</v>
      </c>
      <c r="AW223" s="13" t="s">
        <v>3</v>
      </c>
      <c r="AX223" s="13" t="s">
        <v>77</v>
      </c>
      <c r="AY223" s="151" t="s">
        <v>113</v>
      </c>
    </row>
    <row r="224" spans="1:65" s="12" customFormat="1" ht="25.9" customHeight="1" x14ac:dyDescent="0.2">
      <c r="B224" s="123"/>
      <c r="D224" s="124" t="s">
        <v>71</v>
      </c>
      <c r="E224" s="125" t="s">
        <v>261</v>
      </c>
      <c r="F224" s="125" t="s">
        <v>262</v>
      </c>
      <c r="J224" s="126">
        <f>J225+J237+J244+J254+J302+J312+J315+J331+J358</f>
        <v>0</v>
      </c>
      <c r="L224" s="123"/>
      <c r="M224" s="127"/>
      <c r="N224" s="128"/>
      <c r="O224" s="128"/>
      <c r="P224" s="129" t="e">
        <f>P225+P237+#REF!+P244+P254+#REF!+P315+#REF!+P331+P358</f>
        <v>#REF!</v>
      </c>
      <c r="Q224" s="128"/>
      <c r="R224" s="129" t="e">
        <f>R225+R237+#REF!+R244+R254+#REF!+R315+#REF!+R331+R358</f>
        <v>#REF!</v>
      </c>
      <c r="S224" s="128"/>
      <c r="T224" s="130" t="e">
        <f>T225+T237+#REF!+T244+T254+#REF!+T315+#REF!+T331+T358</f>
        <v>#REF!</v>
      </c>
      <c r="V224" s="184"/>
      <c r="AR224" s="124" t="s">
        <v>120</v>
      </c>
      <c r="AT224" s="131" t="s">
        <v>71</v>
      </c>
      <c r="AU224" s="131" t="s">
        <v>72</v>
      </c>
      <c r="AY224" s="124" t="s">
        <v>113</v>
      </c>
      <c r="BK224" s="132" t="e">
        <f>BK225+BK237+#REF!+BK244+BK254+#REF!+BK315+#REF!+BK331+BK358</f>
        <v>#REF!</v>
      </c>
    </row>
    <row r="225" spans="1:65" s="12" customFormat="1" ht="22.9" customHeight="1" x14ac:dyDescent="0.2">
      <c r="B225" s="123"/>
      <c r="D225" s="124" t="s">
        <v>71</v>
      </c>
      <c r="E225" s="133" t="s">
        <v>263</v>
      </c>
      <c r="F225" s="133" t="s">
        <v>264</v>
      </c>
      <c r="J225" s="134">
        <f>BK225</f>
        <v>0</v>
      </c>
      <c r="L225" s="123"/>
      <c r="M225" s="127"/>
      <c r="N225" s="128"/>
      <c r="O225" s="128"/>
      <c r="P225" s="129">
        <f>SUM(P226:P236)</f>
        <v>8.5381574000000011</v>
      </c>
      <c r="Q225" s="128"/>
      <c r="R225" s="129">
        <f>SUM(R226:R236)</f>
        <v>0.58770699999999998</v>
      </c>
      <c r="S225" s="128"/>
      <c r="T225" s="130">
        <f>SUM(T226:T236)</f>
        <v>0</v>
      </c>
      <c r="V225" s="184"/>
      <c r="AR225" s="124" t="s">
        <v>120</v>
      </c>
      <c r="AT225" s="131" t="s">
        <v>71</v>
      </c>
      <c r="AU225" s="131" t="s">
        <v>77</v>
      </c>
      <c r="AY225" s="124" t="s">
        <v>113</v>
      </c>
      <c r="BK225" s="132">
        <f>SUM(BK226:BK236)</f>
        <v>0</v>
      </c>
    </row>
    <row r="226" spans="1:65" s="2" customFormat="1" ht="24" customHeight="1" x14ac:dyDescent="0.2">
      <c r="A226" s="28"/>
      <c r="B226" s="135"/>
      <c r="C226" s="203">
        <v>41</v>
      </c>
      <c r="D226" s="136" t="s">
        <v>115</v>
      </c>
      <c r="E226" s="137" t="s">
        <v>265</v>
      </c>
      <c r="F226" s="138" t="s">
        <v>266</v>
      </c>
      <c r="G226" s="139" t="s">
        <v>161</v>
      </c>
      <c r="H226" s="140">
        <v>89.805000000000007</v>
      </c>
      <c r="I226" s="141"/>
      <c r="J226" s="141">
        <f>ROUND(I226*H226,2)</f>
        <v>0</v>
      </c>
      <c r="K226" s="142"/>
      <c r="L226" s="29"/>
      <c r="M226" s="143" t="s">
        <v>1</v>
      </c>
      <c r="N226" s="144" t="s">
        <v>38</v>
      </c>
      <c r="O226" s="145">
        <v>1.303E-2</v>
      </c>
      <c r="P226" s="145">
        <f>O226*H226</f>
        <v>1.1701591500000001</v>
      </c>
      <c r="Q226" s="145">
        <v>0</v>
      </c>
      <c r="R226" s="145">
        <f>Q226*H226</f>
        <v>0</v>
      </c>
      <c r="S226" s="145">
        <v>0</v>
      </c>
      <c r="T226" s="146">
        <f>S226*H226</f>
        <v>0</v>
      </c>
      <c r="U226" s="28"/>
      <c r="V226" s="179"/>
      <c r="W226" s="28"/>
      <c r="X226" s="28"/>
      <c r="Y226" s="28"/>
      <c r="Z226" s="28"/>
      <c r="AA226" s="28"/>
      <c r="AB226" s="28"/>
      <c r="AC226" s="28"/>
      <c r="AD226" s="28"/>
      <c r="AE226" s="28"/>
      <c r="AR226" s="147" t="s">
        <v>186</v>
      </c>
      <c r="AT226" s="147" t="s">
        <v>115</v>
      </c>
      <c r="AU226" s="147" t="s">
        <v>120</v>
      </c>
      <c r="AY226" s="16" t="s">
        <v>113</v>
      </c>
      <c r="BE226" s="148">
        <f>IF(N226="základná",J226,0)</f>
        <v>0</v>
      </c>
      <c r="BF226" s="148">
        <f>IF(N226="znížená",J226,0)</f>
        <v>0</v>
      </c>
      <c r="BG226" s="148">
        <f>IF(N226="zákl. prenesená",J226,0)</f>
        <v>0</v>
      </c>
      <c r="BH226" s="148">
        <f>IF(N226="zníž. prenesená",J226,0)</f>
        <v>0</v>
      </c>
      <c r="BI226" s="148">
        <f>IF(N226="nulová",J226,0)</f>
        <v>0</v>
      </c>
      <c r="BJ226" s="16" t="s">
        <v>120</v>
      </c>
      <c r="BK226" s="148">
        <f>ROUND(I226*H226,2)</f>
        <v>0</v>
      </c>
      <c r="BL226" s="16" t="s">
        <v>186</v>
      </c>
      <c r="BM226" s="147" t="s">
        <v>267</v>
      </c>
    </row>
    <row r="227" spans="1:65" s="13" customFormat="1" x14ac:dyDescent="0.2">
      <c r="B227" s="149"/>
      <c r="C227" s="204"/>
      <c r="D227" s="150" t="s">
        <v>122</v>
      </c>
      <c r="E227" s="151" t="s">
        <v>1</v>
      </c>
      <c r="F227" s="152" t="s">
        <v>1121</v>
      </c>
      <c r="H227" s="153">
        <v>24.855</v>
      </c>
      <c r="L227" s="149"/>
      <c r="M227" s="154"/>
      <c r="N227" s="155"/>
      <c r="O227" s="155"/>
      <c r="P227" s="155"/>
      <c r="Q227" s="155"/>
      <c r="R227" s="155"/>
      <c r="S227" s="155"/>
      <c r="T227" s="156"/>
      <c r="V227" s="185"/>
      <c r="AT227" s="151" t="s">
        <v>122</v>
      </c>
      <c r="AU227" s="151" t="s">
        <v>120</v>
      </c>
      <c r="AV227" s="13" t="s">
        <v>120</v>
      </c>
      <c r="AW227" s="13" t="s">
        <v>28</v>
      </c>
      <c r="AX227" s="13" t="s">
        <v>72</v>
      </c>
      <c r="AY227" s="151" t="s">
        <v>113</v>
      </c>
    </row>
    <row r="228" spans="1:65" s="13" customFormat="1" x14ac:dyDescent="0.2">
      <c r="B228" s="149"/>
      <c r="C228" s="204"/>
      <c r="D228" s="150" t="s">
        <v>122</v>
      </c>
      <c r="E228" s="151" t="s">
        <v>1</v>
      </c>
      <c r="F228" s="152" t="s">
        <v>442</v>
      </c>
      <c r="H228" s="153">
        <v>26.79</v>
      </c>
      <c r="L228" s="149"/>
      <c r="M228" s="154"/>
      <c r="N228" s="155"/>
      <c r="O228" s="155"/>
      <c r="P228" s="155"/>
      <c r="Q228" s="155"/>
      <c r="R228" s="155"/>
      <c r="S228" s="155"/>
      <c r="T228" s="156"/>
      <c r="V228" s="185"/>
      <c r="AT228" s="151" t="s">
        <v>122</v>
      </c>
      <c r="AU228" s="151" t="s">
        <v>120</v>
      </c>
      <c r="AV228" s="13" t="s">
        <v>120</v>
      </c>
      <c r="AW228" s="13" t="s">
        <v>28</v>
      </c>
      <c r="AX228" s="13" t="s">
        <v>72</v>
      </c>
      <c r="AY228" s="151" t="s">
        <v>113</v>
      </c>
    </row>
    <row r="229" spans="1:65" s="13" customFormat="1" x14ac:dyDescent="0.2">
      <c r="B229" s="149"/>
      <c r="C229" s="204"/>
      <c r="D229" s="150" t="s">
        <v>122</v>
      </c>
      <c r="E229" s="151" t="s">
        <v>1</v>
      </c>
      <c r="F229" s="152" t="s">
        <v>443</v>
      </c>
      <c r="H229" s="153">
        <v>27.74</v>
      </c>
      <c r="L229" s="149"/>
      <c r="M229" s="154"/>
      <c r="N229" s="155"/>
      <c r="O229" s="155"/>
      <c r="P229" s="155"/>
      <c r="Q229" s="155"/>
      <c r="R229" s="155"/>
      <c r="S229" s="155"/>
      <c r="T229" s="156"/>
      <c r="V229" s="185"/>
      <c r="AT229" s="151" t="s">
        <v>122</v>
      </c>
      <c r="AU229" s="151" t="s">
        <v>120</v>
      </c>
      <c r="AV229" s="13" t="s">
        <v>120</v>
      </c>
      <c r="AW229" s="13" t="s">
        <v>28</v>
      </c>
      <c r="AX229" s="13" t="s">
        <v>72</v>
      </c>
      <c r="AY229" s="151" t="s">
        <v>113</v>
      </c>
    </row>
    <row r="230" spans="1:65" s="13" customFormat="1" x14ac:dyDescent="0.2">
      <c r="B230" s="149"/>
      <c r="C230" s="204"/>
      <c r="D230" s="150" t="s">
        <v>122</v>
      </c>
      <c r="E230" s="151" t="s">
        <v>1</v>
      </c>
      <c r="F230" s="152" t="s">
        <v>444</v>
      </c>
      <c r="H230" s="153">
        <v>10.42</v>
      </c>
      <c r="L230" s="149"/>
      <c r="M230" s="154"/>
      <c r="N230" s="155"/>
      <c r="O230" s="155"/>
      <c r="P230" s="155"/>
      <c r="Q230" s="155"/>
      <c r="R230" s="155"/>
      <c r="S230" s="155"/>
      <c r="T230" s="156"/>
      <c r="V230" s="185"/>
      <c r="AT230" s="151" t="s">
        <v>122</v>
      </c>
      <c r="AU230" s="151" t="s">
        <v>120</v>
      </c>
      <c r="AV230" s="13" t="s">
        <v>120</v>
      </c>
      <c r="AW230" s="13" t="s">
        <v>28</v>
      </c>
      <c r="AX230" s="13" t="s">
        <v>72</v>
      </c>
      <c r="AY230" s="151" t="s">
        <v>113</v>
      </c>
    </row>
    <row r="231" spans="1:65" s="14" customFormat="1" x14ac:dyDescent="0.2">
      <c r="B231" s="157"/>
      <c r="C231" s="205"/>
      <c r="D231" s="150" t="s">
        <v>122</v>
      </c>
      <c r="E231" s="158" t="s">
        <v>1</v>
      </c>
      <c r="F231" s="159" t="s">
        <v>128</v>
      </c>
      <c r="H231" s="160">
        <f>SUM(H227:H230)</f>
        <v>89.804999999999993</v>
      </c>
      <c r="L231" s="157"/>
      <c r="M231" s="161"/>
      <c r="N231" s="162"/>
      <c r="O231" s="162"/>
      <c r="P231" s="162"/>
      <c r="Q231" s="162"/>
      <c r="R231" s="162"/>
      <c r="S231" s="162"/>
      <c r="T231" s="163"/>
      <c r="V231" s="186"/>
      <c r="AT231" s="158" t="s">
        <v>122</v>
      </c>
      <c r="AU231" s="158" t="s">
        <v>120</v>
      </c>
      <c r="AV231" s="14" t="s">
        <v>119</v>
      </c>
      <c r="AW231" s="14" t="s">
        <v>28</v>
      </c>
      <c r="AX231" s="14" t="s">
        <v>77</v>
      </c>
      <c r="AY231" s="158" t="s">
        <v>113</v>
      </c>
    </row>
    <row r="232" spans="1:65" s="2" customFormat="1" ht="24" customHeight="1" x14ac:dyDescent="0.2">
      <c r="A232" s="28"/>
      <c r="B232" s="135"/>
      <c r="C232" s="207">
        <v>42</v>
      </c>
      <c r="D232" s="164" t="s">
        <v>268</v>
      </c>
      <c r="E232" s="165" t="s">
        <v>269</v>
      </c>
      <c r="F232" s="166" t="s">
        <v>270</v>
      </c>
      <c r="G232" s="167" t="s">
        <v>271</v>
      </c>
      <c r="H232" s="168">
        <v>22.451000000000001</v>
      </c>
      <c r="I232" s="169"/>
      <c r="J232" s="169">
        <f>ROUND(I232*H232,2)</f>
        <v>0</v>
      </c>
      <c r="K232" s="170"/>
      <c r="L232" s="171"/>
      <c r="M232" s="172" t="s">
        <v>1</v>
      </c>
      <c r="N232" s="173" t="s">
        <v>38</v>
      </c>
      <c r="O232" s="145">
        <v>0</v>
      </c>
      <c r="P232" s="145">
        <f>O232*H232</f>
        <v>0</v>
      </c>
      <c r="Q232" s="145">
        <v>1E-3</v>
      </c>
      <c r="R232" s="145">
        <f>Q232*H232</f>
        <v>2.2451000000000002E-2</v>
      </c>
      <c r="S232" s="145">
        <v>0</v>
      </c>
      <c r="T232" s="146">
        <f>S232*H232</f>
        <v>0</v>
      </c>
      <c r="U232" s="28"/>
      <c r="V232" s="179"/>
      <c r="W232" s="28"/>
      <c r="X232" s="28"/>
      <c r="Y232" s="28"/>
      <c r="Z232" s="28"/>
      <c r="AA232" s="28"/>
      <c r="AB232" s="28"/>
      <c r="AC232" s="28"/>
      <c r="AD232" s="28"/>
      <c r="AE232" s="28"/>
      <c r="AR232" s="147" t="s">
        <v>237</v>
      </c>
      <c r="AT232" s="147" t="s">
        <v>268</v>
      </c>
      <c r="AU232" s="147" t="s">
        <v>120</v>
      </c>
      <c r="AY232" s="16" t="s">
        <v>113</v>
      </c>
      <c r="BE232" s="148">
        <f>IF(N232="základná",J232,0)</f>
        <v>0</v>
      </c>
      <c r="BF232" s="148">
        <f>IF(N232="znížená",J232,0)</f>
        <v>0</v>
      </c>
      <c r="BG232" s="148">
        <f>IF(N232="zákl. prenesená",J232,0)</f>
        <v>0</v>
      </c>
      <c r="BH232" s="148">
        <f>IF(N232="zníž. prenesená",J232,0)</f>
        <v>0</v>
      </c>
      <c r="BI232" s="148">
        <f>IF(N232="nulová",J232,0)</f>
        <v>0</v>
      </c>
      <c r="BJ232" s="16" t="s">
        <v>120</v>
      </c>
      <c r="BK232" s="148">
        <f>ROUND(I232*H232,2)</f>
        <v>0</v>
      </c>
      <c r="BL232" s="16" t="s">
        <v>186</v>
      </c>
      <c r="BM232" s="147" t="s">
        <v>272</v>
      </c>
    </row>
    <row r="233" spans="1:65" s="13" customFormat="1" x14ac:dyDescent="0.2">
      <c r="B233" s="149"/>
      <c r="C233" s="204"/>
      <c r="D233" s="150" t="s">
        <v>122</v>
      </c>
      <c r="F233" s="152" t="s">
        <v>1122</v>
      </c>
      <c r="H233" s="153">
        <v>22.451000000000001</v>
      </c>
      <c r="L233" s="149"/>
      <c r="M233" s="154"/>
      <c r="N233" s="155"/>
      <c r="O233" s="155"/>
      <c r="P233" s="155"/>
      <c r="Q233" s="155"/>
      <c r="R233" s="155"/>
      <c r="S233" s="155"/>
      <c r="T233" s="156"/>
      <c r="V233" s="185"/>
      <c r="AT233" s="151" t="s">
        <v>122</v>
      </c>
      <c r="AU233" s="151" t="s">
        <v>120</v>
      </c>
      <c r="AV233" s="13" t="s">
        <v>120</v>
      </c>
      <c r="AW233" s="13" t="s">
        <v>3</v>
      </c>
      <c r="AX233" s="13" t="s">
        <v>77</v>
      </c>
      <c r="AY233" s="151" t="s">
        <v>113</v>
      </c>
    </row>
    <row r="234" spans="1:65" s="2" customFormat="1" ht="24" customHeight="1" x14ac:dyDescent="0.2">
      <c r="A234" s="28"/>
      <c r="B234" s="135"/>
      <c r="C234" s="203">
        <v>43</v>
      </c>
      <c r="D234" s="136" t="s">
        <v>115</v>
      </c>
      <c r="E234" s="137" t="s">
        <v>273</v>
      </c>
      <c r="F234" s="138" t="s">
        <v>274</v>
      </c>
      <c r="G234" s="139" t="s">
        <v>161</v>
      </c>
      <c r="H234" s="140">
        <v>38.365000000000002</v>
      </c>
      <c r="I234" s="141"/>
      <c r="J234" s="141">
        <f>ROUND(I234*H234,2)</f>
        <v>0</v>
      </c>
      <c r="K234" s="142"/>
      <c r="L234" s="29"/>
      <c r="M234" s="143" t="s">
        <v>1</v>
      </c>
      <c r="N234" s="144" t="s">
        <v>38</v>
      </c>
      <c r="O234" s="145">
        <v>0.19205</v>
      </c>
      <c r="P234" s="145">
        <f>O234*H234</f>
        <v>7.3679982500000003</v>
      </c>
      <c r="Q234" s="145">
        <v>4.1999999999999997E-3</v>
      </c>
      <c r="R234" s="145">
        <f>Q234*H234</f>
        <v>0.161133</v>
      </c>
      <c r="S234" s="145">
        <v>0</v>
      </c>
      <c r="T234" s="146">
        <f>S234*H234</f>
        <v>0</v>
      </c>
      <c r="U234" s="28"/>
      <c r="V234" s="179"/>
      <c r="W234" s="28"/>
      <c r="X234" s="28"/>
      <c r="Y234" s="28"/>
      <c r="Z234" s="28"/>
      <c r="AA234" s="28"/>
      <c r="AB234" s="28"/>
      <c r="AC234" s="28"/>
      <c r="AD234" s="28"/>
      <c r="AE234" s="28"/>
      <c r="AR234" s="147" t="s">
        <v>186</v>
      </c>
      <c r="AT234" s="147" t="s">
        <v>115</v>
      </c>
      <c r="AU234" s="147" t="s">
        <v>120</v>
      </c>
      <c r="AY234" s="16" t="s">
        <v>113</v>
      </c>
      <c r="BE234" s="148">
        <f>IF(N234="základná",J234,0)</f>
        <v>0</v>
      </c>
      <c r="BF234" s="148">
        <f>IF(N234="znížená",J234,0)</f>
        <v>0</v>
      </c>
      <c r="BG234" s="148">
        <f>IF(N234="zákl. prenesená",J234,0)</f>
        <v>0</v>
      </c>
      <c r="BH234" s="148">
        <f>IF(N234="zníž. prenesená",J234,0)</f>
        <v>0</v>
      </c>
      <c r="BI234" s="148">
        <f>IF(N234="nulová",J234,0)</f>
        <v>0</v>
      </c>
      <c r="BJ234" s="16" t="s">
        <v>120</v>
      </c>
      <c r="BK234" s="148">
        <f>ROUND(I234*H234,2)</f>
        <v>0</v>
      </c>
      <c r="BL234" s="16" t="s">
        <v>186</v>
      </c>
      <c r="BM234" s="147" t="s">
        <v>275</v>
      </c>
    </row>
    <row r="235" spans="1:65" s="2" customFormat="1" ht="24" customHeight="1" x14ac:dyDescent="0.2">
      <c r="A235" s="28"/>
      <c r="B235" s="135"/>
      <c r="C235" s="207">
        <v>44</v>
      </c>
      <c r="D235" s="164" t="s">
        <v>268</v>
      </c>
      <c r="E235" s="165" t="s">
        <v>276</v>
      </c>
      <c r="F235" s="166" t="s">
        <v>277</v>
      </c>
      <c r="G235" s="167" t="s">
        <v>271</v>
      </c>
      <c r="H235" s="168">
        <v>404.12299999999999</v>
      </c>
      <c r="I235" s="169"/>
      <c r="J235" s="169">
        <f>ROUND(I235*H235,2)</f>
        <v>0</v>
      </c>
      <c r="K235" s="170"/>
      <c r="L235" s="171"/>
      <c r="M235" s="172" t="s">
        <v>1</v>
      </c>
      <c r="N235" s="173" t="s">
        <v>38</v>
      </c>
      <c r="O235" s="145">
        <v>0</v>
      </c>
      <c r="P235" s="145">
        <f>O235*H235</f>
        <v>0</v>
      </c>
      <c r="Q235" s="145">
        <v>1E-3</v>
      </c>
      <c r="R235" s="145">
        <f>Q235*H235</f>
        <v>0.40412300000000001</v>
      </c>
      <c r="S235" s="145">
        <v>0</v>
      </c>
      <c r="T235" s="146">
        <f>S235*H235</f>
        <v>0</v>
      </c>
      <c r="U235" s="28"/>
      <c r="V235" s="179"/>
      <c r="W235" s="28"/>
      <c r="X235" s="28"/>
      <c r="Y235" s="28"/>
      <c r="Z235" s="28"/>
      <c r="AA235" s="28"/>
      <c r="AB235" s="28"/>
      <c r="AC235" s="28"/>
      <c r="AD235" s="28"/>
      <c r="AE235" s="28"/>
      <c r="AR235" s="147" t="s">
        <v>237</v>
      </c>
      <c r="AT235" s="147" t="s">
        <v>268</v>
      </c>
      <c r="AU235" s="147" t="s">
        <v>120</v>
      </c>
      <c r="AY235" s="16" t="s">
        <v>113</v>
      </c>
      <c r="BE235" s="148">
        <f>IF(N235="základná",J235,0)</f>
        <v>0</v>
      </c>
      <c r="BF235" s="148">
        <f>IF(N235="znížená",J235,0)</f>
        <v>0</v>
      </c>
      <c r="BG235" s="148">
        <f>IF(N235="zákl. prenesená",J235,0)</f>
        <v>0</v>
      </c>
      <c r="BH235" s="148">
        <f>IF(N235="zníž. prenesená",J235,0)</f>
        <v>0</v>
      </c>
      <c r="BI235" s="148">
        <f>IF(N235="nulová",J235,0)</f>
        <v>0</v>
      </c>
      <c r="BJ235" s="16" t="s">
        <v>120</v>
      </c>
      <c r="BK235" s="148">
        <f>ROUND(I235*H235,2)</f>
        <v>0</v>
      </c>
      <c r="BL235" s="16" t="s">
        <v>186</v>
      </c>
      <c r="BM235" s="147" t="s">
        <v>278</v>
      </c>
    </row>
    <row r="236" spans="1:65" s="13" customFormat="1" x14ac:dyDescent="0.2">
      <c r="B236" s="149"/>
      <c r="C236" s="204"/>
      <c r="D236" s="150" t="s">
        <v>122</v>
      </c>
      <c r="F236" s="152" t="s">
        <v>1123</v>
      </c>
      <c r="H236" s="153">
        <v>404.12299999999999</v>
      </c>
      <c r="L236" s="149"/>
      <c r="M236" s="154"/>
      <c r="N236" s="155"/>
      <c r="O236" s="155"/>
      <c r="P236" s="155"/>
      <c r="Q236" s="155"/>
      <c r="R236" s="155"/>
      <c r="S236" s="155"/>
      <c r="T236" s="156"/>
      <c r="V236" s="185"/>
      <c r="AT236" s="151" t="s">
        <v>122</v>
      </c>
      <c r="AU236" s="151" t="s">
        <v>120</v>
      </c>
      <c r="AV236" s="13" t="s">
        <v>120</v>
      </c>
      <c r="AW236" s="13" t="s">
        <v>3</v>
      </c>
      <c r="AX236" s="13" t="s">
        <v>77</v>
      </c>
      <c r="AY236" s="151" t="s">
        <v>113</v>
      </c>
    </row>
    <row r="237" spans="1:65" s="12" customFormat="1" ht="22.9" customHeight="1" x14ac:dyDescent="0.2">
      <c r="B237" s="123"/>
      <c r="C237" s="206"/>
      <c r="D237" s="124" t="s">
        <v>71</v>
      </c>
      <c r="E237" s="133" t="s">
        <v>279</v>
      </c>
      <c r="F237" s="133" t="s">
        <v>280</v>
      </c>
      <c r="J237" s="134">
        <f>BK237</f>
        <v>0</v>
      </c>
      <c r="L237" s="123"/>
      <c r="M237" s="127"/>
      <c r="N237" s="128"/>
      <c r="O237" s="128"/>
      <c r="P237" s="129">
        <f>SUM(P238:P243)</f>
        <v>3.3382295100000001</v>
      </c>
      <c r="Q237" s="128"/>
      <c r="R237" s="129">
        <f>SUM(R238:R243)</f>
        <v>7.9017000000000004E-2</v>
      </c>
      <c r="S237" s="128"/>
      <c r="T237" s="130">
        <f>SUM(T238:T243)</f>
        <v>0</v>
      </c>
      <c r="V237" s="184"/>
      <c r="AR237" s="124" t="s">
        <v>120</v>
      </c>
      <c r="AT237" s="131" t="s">
        <v>71</v>
      </c>
      <c r="AU237" s="131" t="s">
        <v>77</v>
      </c>
      <c r="AY237" s="124" t="s">
        <v>113</v>
      </c>
      <c r="BK237" s="132">
        <f>SUM(BK238:BK243)</f>
        <v>0</v>
      </c>
    </row>
    <row r="238" spans="1:65" s="2" customFormat="1" ht="24" customHeight="1" x14ac:dyDescent="0.2">
      <c r="A238" s="28"/>
      <c r="B238" s="135"/>
      <c r="C238" s="203">
        <v>45</v>
      </c>
      <c r="D238" s="136" t="s">
        <v>115</v>
      </c>
      <c r="E238" s="137" t="s">
        <v>281</v>
      </c>
      <c r="F238" s="138" t="s">
        <v>282</v>
      </c>
      <c r="G238" s="139" t="s">
        <v>161</v>
      </c>
      <c r="H238" s="140">
        <v>51.645000000000003</v>
      </c>
      <c r="I238" s="141"/>
      <c r="J238" s="141">
        <f>ROUND(I238*H238,2)</f>
        <v>0</v>
      </c>
      <c r="K238" s="142"/>
      <c r="L238" s="29"/>
      <c r="M238" s="143" t="s">
        <v>1</v>
      </c>
      <c r="N238" s="144" t="s">
        <v>38</v>
      </c>
      <c r="O238" s="145">
        <v>6.4638000000000001E-2</v>
      </c>
      <c r="P238" s="145">
        <f>O238*H238</f>
        <v>3.3382295100000001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U238" s="28"/>
      <c r="V238" s="179"/>
      <c r="W238" s="28"/>
      <c r="X238" s="28"/>
      <c r="Y238" s="28"/>
      <c r="Z238" s="28"/>
      <c r="AA238" s="28"/>
      <c r="AB238" s="28"/>
      <c r="AC238" s="28"/>
      <c r="AD238" s="28"/>
      <c r="AE238" s="28"/>
      <c r="AR238" s="147" t="s">
        <v>186</v>
      </c>
      <c r="AT238" s="147" t="s">
        <v>115</v>
      </c>
      <c r="AU238" s="147" t="s">
        <v>120</v>
      </c>
      <c r="AY238" s="16" t="s">
        <v>113</v>
      </c>
      <c r="BE238" s="148">
        <f>IF(N238="základná",J238,0)</f>
        <v>0</v>
      </c>
      <c r="BF238" s="148">
        <f>IF(N238="znížená",J238,0)</f>
        <v>0</v>
      </c>
      <c r="BG238" s="148">
        <f>IF(N238="zákl. prenesená",J238,0)</f>
        <v>0</v>
      </c>
      <c r="BH238" s="148">
        <f>IF(N238="zníž. prenesená",J238,0)</f>
        <v>0</v>
      </c>
      <c r="BI238" s="148">
        <f>IF(N238="nulová",J238,0)</f>
        <v>0</v>
      </c>
      <c r="BJ238" s="16" t="s">
        <v>120</v>
      </c>
      <c r="BK238" s="148">
        <f>ROUND(I238*H238,2)</f>
        <v>0</v>
      </c>
      <c r="BL238" s="16" t="s">
        <v>186</v>
      </c>
      <c r="BM238" s="147" t="s">
        <v>283</v>
      </c>
    </row>
    <row r="239" spans="1:65" s="13" customFormat="1" x14ac:dyDescent="0.2">
      <c r="B239" s="149"/>
      <c r="C239" s="204"/>
      <c r="D239" s="150" t="s">
        <v>122</v>
      </c>
      <c r="E239" s="151" t="s">
        <v>1</v>
      </c>
      <c r="F239" s="152" t="s">
        <v>1121</v>
      </c>
      <c r="H239" s="153">
        <v>24.855</v>
      </c>
      <c r="L239" s="149"/>
      <c r="M239" s="154"/>
      <c r="N239" s="155"/>
      <c r="O239" s="155"/>
      <c r="P239" s="155"/>
      <c r="Q239" s="155"/>
      <c r="R239" s="155"/>
      <c r="S239" s="155"/>
      <c r="T239" s="156"/>
      <c r="V239" s="185"/>
      <c r="AT239" s="151" t="s">
        <v>122</v>
      </c>
      <c r="AU239" s="151" t="s">
        <v>120</v>
      </c>
      <c r="AV239" s="13" t="s">
        <v>120</v>
      </c>
      <c r="AW239" s="13" t="s">
        <v>28</v>
      </c>
      <c r="AX239" s="13" t="s">
        <v>72</v>
      </c>
      <c r="AY239" s="151" t="s">
        <v>113</v>
      </c>
    </row>
    <row r="240" spans="1:65" s="13" customFormat="1" x14ac:dyDescent="0.2">
      <c r="B240" s="149"/>
      <c r="C240" s="204"/>
      <c r="D240" s="150" t="s">
        <v>122</v>
      </c>
      <c r="E240" s="151" t="s">
        <v>1</v>
      </c>
      <c r="F240" s="152" t="s">
        <v>442</v>
      </c>
      <c r="H240" s="153">
        <v>26.79</v>
      </c>
      <c r="L240" s="149"/>
      <c r="M240" s="154"/>
      <c r="N240" s="155"/>
      <c r="O240" s="155"/>
      <c r="P240" s="155"/>
      <c r="Q240" s="155"/>
      <c r="R240" s="155"/>
      <c r="S240" s="155"/>
      <c r="T240" s="156"/>
      <c r="V240" s="185"/>
      <c r="AT240" s="151" t="s">
        <v>122</v>
      </c>
      <c r="AU240" s="151" t="s">
        <v>120</v>
      </c>
      <c r="AV240" s="13" t="s">
        <v>120</v>
      </c>
      <c r="AW240" s="13" t="s">
        <v>28</v>
      </c>
      <c r="AX240" s="13" t="s">
        <v>72</v>
      </c>
      <c r="AY240" s="151" t="s">
        <v>113</v>
      </c>
    </row>
    <row r="241" spans="1:65" s="14" customFormat="1" x14ac:dyDescent="0.2">
      <c r="B241" s="157"/>
      <c r="C241" s="205"/>
      <c r="D241" s="150" t="s">
        <v>122</v>
      </c>
      <c r="E241" s="158" t="s">
        <v>1</v>
      </c>
      <c r="F241" s="159" t="s">
        <v>128</v>
      </c>
      <c r="H241" s="160">
        <f>H239+H240</f>
        <v>51.644999999999996</v>
      </c>
      <c r="L241" s="157"/>
      <c r="M241" s="161"/>
      <c r="N241" s="162"/>
      <c r="O241" s="162"/>
      <c r="P241" s="162"/>
      <c r="Q241" s="162"/>
      <c r="R241" s="162"/>
      <c r="S241" s="162"/>
      <c r="T241" s="163"/>
      <c r="V241" s="186"/>
      <c r="AT241" s="158" t="s">
        <v>122</v>
      </c>
      <c r="AU241" s="158" t="s">
        <v>120</v>
      </c>
      <c r="AV241" s="14" t="s">
        <v>119</v>
      </c>
      <c r="AW241" s="14" t="s">
        <v>28</v>
      </c>
      <c r="AX241" s="14" t="s">
        <v>77</v>
      </c>
      <c r="AY241" s="158" t="s">
        <v>113</v>
      </c>
    </row>
    <row r="242" spans="1:65" s="2" customFormat="1" ht="24" customHeight="1" x14ac:dyDescent="0.2">
      <c r="A242" s="28"/>
      <c r="B242" s="135"/>
      <c r="C242" s="207">
        <v>46</v>
      </c>
      <c r="D242" s="164" t="s">
        <v>268</v>
      </c>
      <c r="E242" s="165" t="s">
        <v>284</v>
      </c>
      <c r="F242" s="166" t="s">
        <v>285</v>
      </c>
      <c r="G242" s="167" t="s">
        <v>161</v>
      </c>
      <c r="H242" s="168">
        <v>52.677999999999997</v>
      </c>
      <c r="I242" s="169"/>
      <c r="J242" s="169">
        <f>ROUND(I242*H242,2)</f>
        <v>0</v>
      </c>
      <c r="K242" s="170"/>
      <c r="L242" s="171"/>
      <c r="M242" s="172" t="s">
        <v>1</v>
      </c>
      <c r="N242" s="173" t="s">
        <v>38</v>
      </c>
      <c r="O242" s="145">
        <v>0</v>
      </c>
      <c r="P242" s="145">
        <f>O242*H242</f>
        <v>0</v>
      </c>
      <c r="Q242" s="145">
        <v>1.5E-3</v>
      </c>
      <c r="R242" s="145">
        <f>Q242*H242</f>
        <v>7.9017000000000004E-2</v>
      </c>
      <c r="S242" s="145">
        <v>0</v>
      </c>
      <c r="T242" s="146">
        <f>S242*H242</f>
        <v>0</v>
      </c>
      <c r="U242" s="28"/>
      <c r="V242" s="179"/>
      <c r="W242" s="28"/>
      <c r="X242" s="28"/>
      <c r="Y242" s="28"/>
      <c r="Z242" s="28"/>
      <c r="AA242" s="28"/>
      <c r="AB242" s="28"/>
      <c r="AC242" s="28"/>
      <c r="AD242" s="28"/>
      <c r="AE242" s="28"/>
      <c r="AR242" s="147" t="s">
        <v>237</v>
      </c>
      <c r="AT242" s="147" t="s">
        <v>268</v>
      </c>
      <c r="AU242" s="147" t="s">
        <v>120</v>
      </c>
      <c r="AY242" s="16" t="s">
        <v>113</v>
      </c>
      <c r="BE242" s="148">
        <f>IF(N242="základná",J242,0)</f>
        <v>0</v>
      </c>
      <c r="BF242" s="148">
        <f>IF(N242="znížená",J242,0)</f>
        <v>0</v>
      </c>
      <c r="BG242" s="148">
        <f>IF(N242="zákl. prenesená",J242,0)</f>
        <v>0</v>
      </c>
      <c r="BH242" s="148">
        <f>IF(N242="zníž. prenesená",J242,0)</f>
        <v>0</v>
      </c>
      <c r="BI242" s="148">
        <f>IF(N242="nulová",J242,0)</f>
        <v>0</v>
      </c>
      <c r="BJ242" s="16" t="s">
        <v>120</v>
      </c>
      <c r="BK242" s="148">
        <f>ROUND(I242*H242,2)</f>
        <v>0</v>
      </c>
      <c r="BL242" s="16" t="s">
        <v>186</v>
      </c>
      <c r="BM242" s="147" t="s">
        <v>286</v>
      </c>
    </row>
    <row r="243" spans="1:65" s="13" customFormat="1" x14ac:dyDescent="0.2">
      <c r="B243" s="149"/>
      <c r="C243" s="204"/>
      <c r="D243" s="150" t="s">
        <v>122</v>
      </c>
      <c r="F243" s="152" t="s">
        <v>1124</v>
      </c>
      <c r="H243" s="153">
        <v>52.677999999999997</v>
      </c>
      <c r="L243" s="149"/>
      <c r="M243" s="154"/>
      <c r="N243" s="155"/>
      <c r="O243" s="155"/>
      <c r="P243" s="155"/>
      <c r="Q243" s="155"/>
      <c r="R243" s="155"/>
      <c r="S243" s="155"/>
      <c r="T243" s="156"/>
      <c r="V243" s="185"/>
      <c r="AT243" s="151" t="s">
        <v>122</v>
      </c>
      <c r="AU243" s="151" t="s">
        <v>120</v>
      </c>
      <c r="AV243" s="13" t="s">
        <v>120</v>
      </c>
      <c r="AW243" s="13" t="s">
        <v>3</v>
      </c>
      <c r="AX243" s="13" t="s">
        <v>77</v>
      </c>
      <c r="AY243" s="151" t="s">
        <v>113</v>
      </c>
    </row>
    <row r="244" spans="1:65" s="12" customFormat="1" ht="22.9" customHeight="1" x14ac:dyDescent="0.2">
      <c r="B244" s="123"/>
      <c r="C244" s="206"/>
      <c r="D244" s="124" t="s">
        <v>71</v>
      </c>
      <c r="E244" s="133" t="s">
        <v>287</v>
      </c>
      <c r="F244" s="133" t="s">
        <v>288</v>
      </c>
      <c r="J244" s="134">
        <f>BK244</f>
        <v>0</v>
      </c>
      <c r="L244" s="123"/>
      <c r="M244" s="127"/>
      <c r="N244" s="128"/>
      <c r="O244" s="128"/>
      <c r="P244" s="129">
        <f>SUM(P245:P253)</f>
        <v>7.4931489999999998</v>
      </c>
      <c r="Q244" s="128"/>
      <c r="R244" s="129">
        <f>SUM(R245:R253)</f>
        <v>8.546999999999999E-3</v>
      </c>
      <c r="S244" s="128"/>
      <c r="T244" s="130">
        <f>SUM(T245:T253)</f>
        <v>1.5795E-2</v>
      </c>
      <c r="V244" s="184"/>
      <c r="AR244" s="124" t="s">
        <v>120</v>
      </c>
      <c r="AT244" s="131" t="s">
        <v>71</v>
      </c>
      <c r="AU244" s="131" t="s">
        <v>77</v>
      </c>
      <c r="AY244" s="124" t="s">
        <v>113</v>
      </c>
      <c r="BK244" s="132">
        <f>SUM(BK245:BK253)</f>
        <v>0</v>
      </c>
    </row>
    <row r="245" spans="1:65" s="2" customFormat="1" ht="24" customHeight="1" x14ac:dyDescent="0.2">
      <c r="A245" s="28"/>
      <c r="B245" s="135"/>
      <c r="C245" s="203">
        <v>47</v>
      </c>
      <c r="D245" s="136" t="s">
        <v>115</v>
      </c>
      <c r="E245" s="137" t="s">
        <v>289</v>
      </c>
      <c r="F245" s="138" t="s">
        <v>290</v>
      </c>
      <c r="G245" s="139" t="s">
        <v>151</v>
      </c>
      <c r="H245" s="140">
        <v>11.7</v>
      </c>
      <c r="I245" s="141"/>
      <c r="J245" s="141">
        <f>ROUND(I245*H245,2)</f>
        <v>0</v>
      </c>
      <c r="K245" s="142"/>
      <c r="L245" s="29"/>
      <c r="M245" s="143" t="s">
        <v>1</v>
      </c>
      <c r="N245" s="144" t="s">
        <v>38</v>
      </c>
      <c r="O245" s="145">
        <v>7.4999999999999997E-2</v>
      </c>
      <c r="P245" s="145">
        <f>O245*H245</f>
        <v>0.87749999999999995</v>
      </c>
      <c r="Q245" s="145">
        <v>0</v>
      </c>
      <c r="R245" s="145">
        <f>Q245*H245</f>
        <v>0</v>
      </c>
      <c r="S245" s="145">
        <v>1.3500000000000001E-3</v>
      </c>
      <c r="T245" s="146">
        <f>S245*H245</f>
        <v>1.5795E-2</v>
      </c>
      <c r="U245" s="28"/>
      <c r="V245" s="179"/>
      <c r="W245" s="28"/>
      <c r="X245" s="28"/>
      <c r="Y245" s="28"/>
      <c r="Z245" s="28"/>
      <c r="AA245" s="28"/>
      <c r="AB245" s="28"/>
      <c r="AC245" s="28"/>
      <c r="AD245" s="28"/>
      <c r="AE245" s="28"/>
      <c r="AR245" s="147" t="s">
        <v>186</v>
      </c>
      <c r="AT245" s="147" t="s">
        <v>115</v>
      </c>
      <c r="AU245" s="147" t="s">
        <v>120</v>
      </c>
      <c r="AY245" s="16" t="s">
        <v>113</v>
      </c>
      <c r="BE245" s="148">
        <f>IF(N245="základná",J245,0)</f>
        <v>0</v>
      </c>
      <c r="BF245" s="148">
        <f>IF(N245="znížená",J245,0)</f>
        <v>0</v>
      </c>
      <c r="BG245" s="148">
        <f>IF(N245="zákl. prenesená",J245,0)</f>
        <v>0</v>
      </c>
      <c r="BH245" s="148">
        <f>IF(N245="zníž. prenesená",J245,0)</f>
        <v>0</v>
      </c>
      <c r="BI245" s="148">
        <f>IF(N245="nulová",J245,0)</f>
        <v>0</v>
      </c>
      <c r="BJ245" s="16" t="s">
        <v>120</v>
      </c>
      <c r="BK245" s="148">
        <f>ROUND(I245*H245,2)</f>
        <v>0</v>
      </c>
      <c r="BL245" s="16" t="s">
        <v>186</v>
      </c>
      <c r="BM245" s="147" t="s">
        <v>291</v>
      </c>
    </row>
    <row r="246" spans="1:65" s="13" customFormat="1" x14ac:dyDescent="0.2">
      <c r="B246" s="149"/>
      <c r="C246" s="204"/>
      <c r="D246" s="150" t="s">
        <v>122</v>
      </c>
      <c r="E246" s="151" t="s">
        <v>1</v>
      </c>
      <c r="F246" s="152" t="s">
        <v>292</v>
      </c>
      <c r="H246" s="153">
        <v>10.5</v>
      </c>
      <c r="L246" s="149"/>
      <c r="M246" s="154"/>
      <c r="N246" s="155"/>
      <c r="O246" s="155"/>
      <c r="P246" s="155"/>
      <c r="Q246" s="155"/>
      <c r="R246" s="155"/>
      <c r="S246" s="155"/>
      <c r="T246" s="156"/>
      <c r="V246" s="185"/>
      <c r="AT246" s="151" t="s">
        <v>122</v>
      </c>
      <c r="AU246" s="151" t="s">
        <v>120</v>
      </c>
      <c r="AV246" s="13" t="s">
        <v>120</v>
      </c>
      <c r="AW246" s="13" t="s">
        <v>28</v>
      </c>
      <c r="AX246" s="13" t="s">
        <v>72</v>
      </c>
      <c r="AY246" s="151" t="s">
        <v>113</v>
      </c>
    </row>
    <row r="247" spans="1:65" s="13" customFormat="1" x14ac:dyDescent="0.2">
      <c r="B247" s="149"/>
      <c r="C247" s="204"/>
      <c r="D247" s="150" t="s">
        <v>122</v>
      </c>
      <c r="E247" s="151" t="s">
        <v>1</v>
      </c>
      <c r="F247" s="152" t="s">
        <v>293</v>
      </c>
      <c r="H247" s="153">
        <v>1.2</v>
      </c>
      <c r="L247" s="149"/>
      <c r="M247" s="154"/>
      <c r="N247" s="155"/>
      <c r="O247" s="155"/>
      <c r="P247" s="155"/>
      <c r="Q247" s="155"/>
      <c r="R247" s="155"/>
      <c r="S247" s="155"/>
      <c r="T247" s="156"/>
      <c r="V247" s="185"/>
      <c r="AT247" s="151" t="s">
        <v>122</v>
      </c>
      <c r="AU247" s="151" t="s">
        <v>120</v>
      </c>
      <c r="AV247" s="13" t="s">
        <v>120</v>
      </c>
      <c r="AW247" s="13" t="s">
        <v>28</v>
      </c>
      <c r="AX247" s="13" t="s">
        <v>72</v>
      </c>
      <c r="AY247" s="151" t="s">
        <v>113</v>
      </c>
    </row>
    <row r="248" spans="1:65" s="14" customFormat="1" x14ac:dyDescent="0.2">
      <c r="B248" s="157"/>
      <c r="C248" s="205"/>
      <c r="D248" s="150" t="s">
        <v>122</v>
      </c>
      <c r="E248" s="158" t="s">
        <v>1</v>
      </c>
      <c r="F248" s="159" t="s">
        <v>128</v>
      </c>
      <c r="H248" s="160">
        <f>SUM(H246:H247)</f>
        <v>11.7</v>
      </c>
      <c r="L248" s="157"/>
      <c r="M248" s="161"/>
      <c r="N248" s="162"/>
      <c r="O248" s="162"/>
      <c r="P248" s="162"/>
      <c r="Q248" s="162"/>
      <c r="R248" s="162"/>
      <c r="S248" s="162"/>
      <c r="T248" s="163"/>
      <c r="V248" s="186"/>
      <c r="AT248" s="158" t="s">
        <v>122</v>
      </c>
      <c r="AU248" s="158" t="s">
        <v>120</v>
      </c>
      <c r="AV248" s="14" t="s">
        <v>119</v>
      </c>
      <c r="AW248" s="14" t="s">
        <v>28</v>
      </c>
      <c r="AX248" s="14" t="s">
        <v>77</v>
      </c>
      <c r="AY248" s="158" t="s">
        <v>113</v>
      </c>
    </row>
    <row r="249" spans="1:65" s="2" customFormat="1" ht="24" customHeight="1" x14ac:dyDescent="0.2">
      <c r="A249" s="28"/>
      <c r="B249" s="135"/>
      <c r="C249" s="203">
        <v>48</v>
      </c>
      <c r="D249" s="136" t="s">
        <v>115</v>
      </c>
      <c r="E249" s="137" t="s">
        <v>294</v>
      </c>
      <c r="F249" s="138" t="s">
        <v>295</v>
      </c>
      <c r="G249" s="139" t="s">
        <v>151</v>
      </c>
      <c r="H249" s="140">
        <v>11.1</v>
      </c>
      <c r="I249" s="141"/>
      <c r="J249" s="141">
        <f>ROUND(I249*H249,2)</f>
        <v>0</v>
      </c>
      <c r="K249" s="142"/>
      <c r="L249" s="29"/>
      <c r="M249" s="143" t="s">
        <v>1</v>
      </c>
      <c r="N249" s="144" t="s">
        <v>38</v>
      </c>
      <c r="O249" s="145">
        <v>0.59048999999999996</v>
      </c>
      <c r="P249" s="145">
        <f>O249*H249</f>
        <v>6.5544389999999995</v>
      </c>
      <c r="Q249" s="145">
        <v>7.6999999999999996E-4</v>
      </c>
      <c r="R249" s="145">
        <f>Q249*H249</f>
        <v>8.546999999999999E-3</v>
      </c>
      <c r="S249" s="145">
        <v>0</v>
      </c>
      <c r="T249" s="146">
        <f>S249*H249</f>
        <v>0</v>
      </c>
      <c r="U249" s="28"/>
      <c r="V249" s="179"/>
      <c r="W249" s="28"/>
      <c r="X249" s="28"/>
      <c r="Y249" s="28"/>
      <c r="Z249" s="28"/>
      <c r="AA249" s="28"/>
      <c r="AB249" s="28"/>
      <c r="AC249" s="28"/>
      <c r="AD249" s="28"/>
      <c r="AE249" s="28"/>
      <c r="AR249" s="147" t="s">
        <v>186</v>
      </c>
      <c r="AT249" s="147" t="s">
        <v>115</v>
      </c>
      <c r="AU249" s="147" t="s">
        <v>120</v>
      </c>
      <c r="AY249" s="16" t="s">
        <v>113</v>
      </c>
      <c r="BE249" s="148">
        <f>IF(N249="základná",J249,0)</f>
        <v>0</v>
      </c>
      <c r="BF249" s="148">
        <f>IF(N249="znížená",J249,0)</f>
        <v>0</v>
      </c>
      <c r="BG249" s="148">
        <f>IF(N249="zákl. prenesená",J249,0)</f>
        <v>0</v>
      </c>
      <c r="BH249" s="148">
        <f>IF(N249="zníž. prenesená",J249,0)</f>
        <v>0</v>
      </c>
      <c r="BI249" s="148">
        <f>IF(N249="nulová",J249,0)</f>
        <v>0</v>
      </c>
      <c r="BJ249" s="16" t="s">
        <v>120</v>
      </c>
      <c r="BK249" s="148">
        <f>ROUND(I249*H249,2)</f>
        <v>0</v>
      </c>
      <c r="BL249" s="16" t="s">
        <v>186</v>
      </c>
      <c r="BM249" s="147" t="s">
        <v>296</v>
      </c>
    </row>
    <row r="250" spans="1:65" s="2" customFormat="1" ht="24" customHeight="1" x14ac:dyDescent="0.2">
      <c r="A250" s="28"/>
      <c r="B250" s="135"/>
      <c r="C250" s="203">
        <v>49</v>
      </c>
      <c r="D250" s="136" t="s">
        <v>115</v>
      </c>
      <c r="E250" s="137" t="s">
        <v>297</v>
      </c>
      <c r="F250" s="138" t="s">
        <v>298</v>
      </c>
      <c r="G250" s="139" t="s">
        <v>229</v>
      </c>
      <c r="H250" s="140">
        <v>0.01</v>
      </c>
      <c r="I250" s="141"/>
      <c r="J250" s="141">
        <f>ROUND(I250*H250,2)</f>
        <v>0</v>
      </c>
      <c r="K250" s="142"/>
      <c r="L250" s="29"/>
      <c r="M250" s="143" t="s">
        <v>1</v>
      </c>
      <c r="N250" s="144" t="s">
        <v>38</v>
      </c>
      <c r="O250" s="145">
        <v>4.4800000000000004</v>
      </c>
      <c r="P250" s="145">
        <f>O250*H250</f>
        <v>4.4800000000000006E-2</v>
      </c>
      <c r="Q250" s="145">
        <v>0</v>
      </c>
      <c r="R250" s="145">
        <f>Q250*H250</f>
        <v>0</v>
      </c>
      <c r="S250" s="145">
        <v>0</v>
      </c>
      <c r="T250" s="146">
        <f>S250*H250</f>
        <v>0</v>
      </c>
      <c r="U250" s="28"/>
      <c r="V250" s="179"/>
      <c r="W250" s="28"/>
      <c r="X250" s="28"/>
      <c r="Y250" s="28"/>
      <c r="Z250" s="28"/>
      <c r="AA250" s="28"/>
      <c r="AB250" s="28"/>
      <c r="AC250" s="28"/>
      <c r="AD250" s="28"/>
      <c r="AE250" s="28"/>
      <c r="AR250" s="147" t="s">
        <v>186</v>
      </c>
      <c r="AT250" s="147" t="s">
        <v>115</v>
      </c>
      <c r="AU250" s="147" t="s">
        <v>120</v>
      </c>
      <c r="AY250" s="16" t="s">
        <v>113</v>
      </c>
      <c r="BE250" s="148">
        <f>IF(N250="základná",J250,0)</f>
        <v>0</v>
      </c>
      <c r="BF250" s="148">
        <f>IF(N250="znížená",J250,0)</f>
        <v>0</v>
      </c>
      <c r="BG250" s="148">
        <f>IF(N250="zákl. prenesená",J250,0)</f>
        <v>0</v>
      </c>
      <c r="BH250" s="148">
        <f>IF(N250="zníž. prenesená",J250,0)</f>
        <v>0</v>
      </c>
      <c r="BI250" s="148">
        <f>IF(N250="nulová",J250,0)</f>
        <v>0</v>
      </c>
      <c r="BJ250" s="16" t="s">
        <v>120</v>
      </c>
      <c r="BK250" s="148">
        <f>ROUND(I250*H250,2)</f>
        <v>0</v>
      </c>
      <c r="BL250" s="16" t="s">
        <v>186</v>
      </c>
      <c r="BM250" s="147" t="s">
        <v>299</v>
      </c>
    </row>
    <row r="251" spans="1:65" s="2" customFormat="1" ht="24" customHeight="1" x14ac:dyDescent="0.2">
      <c r="A251" s="28"/>
      <c r="B251" s="135"/>
      <c r="C251" s="203">
        <v>50</v>
      </c>
      <c r="D251" s="136" t="s">
        <v>115</v>
      </c>
      <c r="E251" s="137" t="s">
        <v>300</v>
      </c>
      <c r="F251" s="138" t="s">
        <v>301</v>
      </c>
      <c r="G251" s="139" t="s">
        <v>229</v>
      </c>
      <c r="H251" s="140">
        <v>0.01</v>
      </c>
      <c r="I251" s="141"/>
      <c r="J251" s="141">
        <f>ROUND(I251*H251,2)</f>
        <v>0</v>
      </c>
      <c r="K251" s="142"/>
      <c r="L251" s="29"/>
      <c r="M251" s="143" t="s">
        <v>1</v>
      </c>
      <c r="N251" s="144" t="s">
        <v>38</v>
      </c>
      <c r="O251" s="145">
        <v>1.296</v>
      </c>
      <c r="P251" s="145">
        <f>O251*H251</f>
        <v>1.2960000000000001E-2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U251" s="28"/>
      <c r="V251" s="179"/>
      <c r="W251" s="28"/>
      <c r="X251" s="28"/>
      <c r="Y251" s="28"/>
      <c r="Z251" s="28"/>
      <c r="AA251" s="28"/>
      <c r="AB251" s="28"/>
      <c r="AC251" s="28"/>
      <c r="AD251" s="28"/>
      <c r="AE251" s="28"/>
      <c r="AR251" s="147" t="s">
        <v>186</v>
      </c>
      <c r="AT251" s="147" t="s">
        <v>115</v>
      </c>
      <c r="AU251" s="147" t="s">
        <v>120</v>
      </c>
      <c r="AY251" s="16" t="s">
        <v>113</v>
      </c>
      <c r="BE251" s="148">
        <f>IF(N251="základná",J251,0)</f>
        <v>0</v>
      </c>
      <c r="BF251" s="148">
        <f>IF(N251="znížená",J251,0)</f>
        <v>0</v>
      </c>
      <c r="BG251" s="148">
        <f>IF(N251="zákl. prenesená",J251,0)</f>
        <v>0</v>
      </c>
      <c r="BH251" s="148">
        <f>IF(N251="zníž. prenesená",J251,0)</f>
        <v>0</v>
      </c>
      <c r="BI251" s="148">
        <f>IF(N251="nulová",J251,0)</f>
        <v>0</v>
      </c>
      <c r="BJ251" s="16" t="s">
        <v>120</v>
      </c>
      <c r="BK251" s="148">
        <f>ROUND(I251*H251,2)</f>
        <v>0</v>
      </c>
      <c r="BL251" s="16" t="s">
        <v>186</v>
      </c>
      <c r="BM251" s="147" t="s">
        <v>302</v>
      </c>
    </row>
    <row r="252" spans="1:65" s="2" customFormat="1" ht="24" customHeight="1" x14ac:dyDescent="0.2">
      <c r="A252" s="28"/>
      <c r="B252" s="135"/>
      <c r="C252" s="203">
        <v>51</v>
      </c>
      <c r="D252" s="136" t="s">
        <v>115</v>
      </c>
      <c r="E252" s="137" t="s">
        <v>303</v>
      </c>
      <c r="F252" s="138" t="s">
        <v>304</v>
      </c>
      <c r="G252" s="139" t="s">
        <v>229</v>
      </c>
      <c r="H252" s="140">
        <v>0.15</v>
      </c>
      <c r="I252" s="141"/>
      <c r="J252" s="141">
        <f>ROUND(I252*H252,2)</f>
        <v>0</v>
      </c>
      <c r="K252" s="142"/>
      <c r="L252" s="29"/>
      <c r="M252" s="143" t="s">
        <v>1</v>
      </c>
      <c r="N252" s="144" t="s">
        <v>38</v>
      </c>
      <c r="O252" s="145">
        <v>2.3E-2</v>
      </c>
      <c r="P252" s="145">
        <f>O252*H252</f>
        <v>3.4499999999999999E-3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U252" s="28"/>
      <c r="V252" s="179"/>
      <c r="W252" s="28"/>
      <c r="X252" s="28"/>
      <c r="Y252" s="28"/>
      <c r="Z252" s="28"/>
      <c r="AA252" s="28"/>
      <c r="AB252" s="28"/>
      <c r="AC252" s="28"/>
      <c r="AD252" s="28"/>
      <c r="AE252" s="28"/>
      <c r="AR252" s="147" t="s">
        <v>186</v>
      </c>
      <c r="AT252" s="147" t="s">
        <v>115</v>
      </c>
      <c r="AU252" s="147" t="s">
        <v>120</v>
      </c>
      <c r="AY252" s="16" t="s">
        <v>113</v>
      </c>
      <c r="BE252" s="148">
        <f>IF(N252="základná",J252,0)</f>
        <v>0</v>
      </c>
      <c r="BF252" s="148">
        <f>IF(N252="znížená",J252,0)</f>
        <v>0</v>
      </c>
      <c r="BG252" s="148">
        <f>IF(N252="zákl. prenesená",J252,0)</f>
        <v>0</v>
      </c>
      <c r="BH252" s="148">
        <f>IF(N252="zníž. prenesená",J252,0)</f>
        <v>0</v>
      </c>
      <c r="BI252" s="148">
        <f>IF(N252="nulová",J252,0)</f>
        <v>0</v>
      </c>
      <c r="BJ252" s="16" t="s">
        <v>120</v>
      </c>
      <c r="BK252" s="148">
        <f>ROUND(I252*H252,2)</f>
        <v>0</v>
      </c>
      <c r="BL252" s="16" t="s">
        <v>186</v>
      </c>
      <c r="BM252" s="147" t="s">
        <v>305</v>
      </c>
    </row>
    <row r="253" spans="1:65" s="13" customFormat="1" x14ac:dyDescent="0.2">
      <c r="B253" s="149"/>
      <c r="D253" s="150" t="s">
        <v>122</v>
      </c>
      <c r="F253" s="152" t="s">
        <v>306</v>
      </c>
      <c r="H253" s="153">
        <v>0.15</v>
      </c>
      <c r="L253" s="149"/>
      <c r="M253" s="154"/>
      <c r="N253" s="155"/>
      <c r="O253" s="155"/>
      <c r="P253" s="155"/>
      <c r="Q253" s="155"/>
      <c r="R253" s="155"/>
      <c r="S253" s="155"/>
      <c r="T253" s="156"/>
      <c r="V253" s="185"/>
      <c r="AT253" s="151" t="s">
        <v>122</v>
      </c>
      <c r="AU253" s="151" t="s">
        <v>120</v>
      </c>
      <c r="AV253" s="13" t="s">
        <v>120</v>
      </c>
      <c r="AW253" s="13" t="s">
        <v>3</v>
      </c>
      <c r="AX253" s="13" t="s">
        <v>77</v>
      </c>
      <c r="AY253" s="151" t="s">
        <v>113</v>
      </c>
    </row>
    <row r="254" spans="1:65" s="12" customFormat="1" ht="22.9" customHeight="1" x14ac:dyDescent="0.2">
      <c r="B254" s="123"/>
      <c r="D254" s="124" t="s">
        <v>71</v>
      </c>
      <c r="E254" s="133" t="s">
        <v>307</v>
      </c>
      <c r="F254" s="133" t="s">
        <v>308</v>
      </c>
      <c r="J254" s="134">
        <f>BK254</f>
        <v>0</v>
      </c>
      <c r="L254" s="123"/>
      <c r="M254" s="127"/>
      <c r="N254" s="128"/>
      <c r="O254" s="128"/>
      <c r="P254" s="129">
        <f>SUM(P255:P301)</f>
        <v>87.279110000000003</v>
      </c>
      <c r="Q254" s="128"/>
      <c r="R254" s="129">
        <f>SUM(R255:R301)</f>
        <v>1.4742523999999999</v>
      </c>
      <c r="S254" s="128"/>
      <c r="T254" s="130">
        <f>SUM(T255:T301)</f>
        <v>4.8000000000000001E-2</v>
      </c>
      <c r="V254" s="184"/>
      <c r="AR254" s="124" t="s">
        <v>120</v>
      </c>
      <c r="AT254" s="131" t="s">
        <v>71</v>
      </c>
      <c r="AU254" s="131" t="s">
        <v>77</v>
      </c>
      <c r="AY254" s="124" t="s">
        <v>113</v>
      </c>
      <c r="BK254" s="132">
        <f>SUM(BK255:BK301)</f>
        <v>0</v>
      </c>
    </row>
    <row r="255" spans="1:65" s="2" customFormat="1" ht="16.5" customHeight="1" x14ac:dyDescent="0.2">
      <c r="A255" s="28"/>
      <c r="B255" s="135"/>
      <c r="C255" s="203">
        <v>52</v>
      </c>
      <c r="D255" s="136" t="s">
        <v>115</v>
      </c>
      <c r="E255" s="137" t="s">
        <v>309</v>
      </c>
      <c r="F255" s="138" t="s">
        <v>310</v>
      </c>
      <c r="G255" s="139" t="s">
        <v>151</v>
      </c>
      <c r="H255" s="140">
        <v>54.6</v>
      </c>
      <c r="I255" s="141"/>
      <c r="J255" s="141">
        <f>ROUND(I255*H255,2)</f>
        <v>0</v>
      </c>
      <c r="K255" s="142"/>
      <c r="L255" s="29"/>
      <c r="M255" s="143" t="s">
        <v>1</v>
      </c>
      <c r="N255" s="144" t="s">
        <v>38</v>
      </c>
      <c r="O255" s="145">
        <v>0.36459000000000003</v>
      </c>
      <c r="P255" s="145">
        <f>O255*H255</f>
        <v>19.906614000000001</v>
      </c>
      <c r="Q255" s="145">
        <v>1.8000000000000001E-4</v>
      </c>
      <c r="R255" s="145">
        <f>Q255*H255</f>
        <v>9.8280000000000017E-3</v>
      </c>
      <c r="S255" s="145">
        <v>0</v>
      </c>
      <c r="T255" s="146">
        <f>S255*H255</f>
        <v>0</v>
      </c>
      <c r="U255" s="28"/>
      <c r="V255" s="179"/>
      <c r="W255" s="28"/>
      <c r="X255" s="28"/>
      <c r="Y255" s="28"/>
      <c r="Z255" s="28"/>
      <c r="AA255" s="28"/>
      <c r="AB255" s="28"/>
      <c r="AC255" s="28"/>
      <c r="AD255" s="28"/>
      <c r="AE255" s="28"/>
      <c r="AR255" s="147" t="s">
        <v>186</v>
      </c>
      <c r="AT255" s="147" t="s">
        <v>115</v>
      </c>
      <c r="AU255" s="147" t="s">
        <v>120</v>
      </c>
      <c r="AY255" s="16" t="s">
        <v>113</v>
      </c>
      <c r="BE255" s="148">
        <f>IF(N255="základná",J255,0)</f>
        <v>0</v>
      </c>
      <c r="BF255" s="148">
        <f>IF(N255="znížená",J255,0)</f>
        <v>0</v>
      </c>
      <c r="BG255" s="148">
        <f>IF(N255="zákl. prenesená",J255,0)</f>
        <v>0</v>
      </c>
      <c r="BH255" s="148">
        <f>IF(N255="zníž. prenesená",J255,0)</f>
        <v>0</v>
      </c>
      <c r="BI255" s="148">
        <f>IF(N255="nulová",J255,0)</f>
        <v>0</v>
      </c>
      <c r="BJ255" s="16" t="s">
        <v>120</v>
      </c>
      <c r="BK255" s="148">
        <f>ROUND(I255*H255,2)</f>
        <v>0</v>
      </c>
      <c r="BL255" s="16" t="s">
        <v>186</v>
      </c>
      <c r="BM255" s="147" t="s">
        <v>311</v>
      </c>
    </row>
    <row r="256" spans="1:65" s="13" customFormat="1" ht="11.25" customHeight="1" x14ac:dyDescent="0.2">
      <c r="B256" s="149"/>
      <c r="C256" s="204"/>
      <c r="D256" s="150" t="s">
        <v>122</v>
      </c>
      <c r="E256" s="151" t="s">
        <v>1</v>
      </c>
      <c r="F256" s="152" t="s">
        <v>445</v>
      </c>
      <c r="H256" s="153">
        <v>18.899999999999999</v>
      </c>
      <c r="L256" s="149"/>
      <c r="M256" s="154"/>
      <c r="N256" s="155"/>
      <c r="O256" s="155"/>
      <c r="P256" s="155"/>
      <c r="Q256" s="155"/>
      <c r="R256" s="155"/>
      <c r="S256" s="155"/>
      <c r="T256" s="156"/>
      <c r="V256" s="152"/>
      <c r="AT256" s="151" t="s">
        <v>122</v>
      </c>
      <c r="AU256" s="151" t="s">
        <v>120</v>
      </c>
      <c r="AV256" s="13" t="s">
        <v>120</v>
      </c>
      <c r="AW256" s="13" t="s">
        <v>28</v>
      </c>
      <c r="AX256" s="13" t="s">
        <v>72</v>
      </c>
      <c r="AY256" s="151" t="s">
        <v>113</v>
      </c>
    </row>
    <row r="257" spans="1:65" s="13" customFormat="1" x14ac:dyDescent="0.2">
      <c r="B257" s="149"/>
      <c r="C257" s="204"/>
      <c r="D257" s="150" t="s">
        <v>122</v>
      </c>
      <c r="E257" s="151" t="s">
        <v>1</v>
      </c>
      <c r="F257" s="152" t="s">
        <v>446</v>
      </c>
      <c r="H257" s="153">
        <v>18.899999999999999</v>
      </c>
      <c r="L257" s="149"/>
      <c r="M257" s="154"/>
      <c r="N257" s="155"/>
      <c r="O257" s="155"/>
      <c r="P257" s="155"/>
      <c r="Q257" s="155"/>
      <c r="R257" s="155"/>
      <c r="S257" s="155"/>
      <c r="T257" s="156"/>
      <c r="V257" s="185"/>
      <c r="AT257" s="151" t="s">
        <v>122</v>
      </c>
      <c r="AU257" s="151" t="s">
        <v>120</v>
      </c>
      <c r="AV257" s="13" t="s">
        <v>120</v>
      </c>
      <c r="AW257" s="13" t="s">
        <v>28</v>
      </c>
      <c r="AX257" s="13" t="s">
        <v>72</v>
      </c>
      <c r="AY257" s="151" t="s">
        <v>113</v>
      </c>
    </row>
    <row r="258" spans="1:65" s="13" customFormat="1" x14ac:dyDescent="0.2">
      <c r="B258" s="149"/>
      <c r="C258" s="204"/>
      <c r="D258" s="150" t="s">
        <v>122</v>
      </c>
      <c r="E258" s="151" t="s">
        <v>1</v>
      </c>
      <c r="F258" s="152" t="s">
        <v>447</v>
      </c>
      <c r="H258" s="153">
        <v>11.2</v>
      </c>
      <c r="L258" s="149"/>
      <c r="M258" s="154"/>
      <c r="N258" s="155"/>
      <c r="O258" s="155"/>
      <c r="P258" s="155"/>
      <c r="Q258" s="155"/>
      <c r="R258" s="155"/>
      <c r="S258" s="155"/>
      <c r="T258" s="156"/>
      <c r="V258" s="185"/>
      <c r="AT258" s="151" t="s">
        <v>122</v>
      </c>
      <c r="AU258" s="151" t="s">
        <v>120</v>
      </c>
      <c r="AV258" s="13" t="s">
        <v>120</v>
      </c>
      <c r="AW258" s="13" t="s">
        <v>28</v>
      </c>
      <c r="AX258" s="13" t="s">
        <v>72</v>
      </c>
      <c r="AY258" s="151" t="s">
        <v>113</v>
      </c>
    </row>
    <row r="259" spans="1:65" s="13" customFormat="1" x14ac:dyDescent="0.2">
      <c r="B259" s="149"/>
      <c r="C259" s="204"/>
      <c r="D259" s="150" t="s">
        <v>122</v>
      </c>
      <c r="E259" s="151" t="s">
        <v>1</v>
      </c>
      <c r="F259" s="152" t="s">
        <v>448</v>
      </c>
      <c r="H259" s="153">
        <v>5.6</v>
      </c>
      <c r="L259" s="149"/>
      <c r="M259" s="154"/>
      <c r="N259" s="155"/>
      <c r="O259" s="155"/>
      <c r="P259" s="155"/>
      <c r="Q259" s="155"/>
      <c r="R259" s="155"/>
      <c r="S259" s="155"/>
      <c r="T259" s="156"/>
      <c r="V259" s="185"/>
      <c r="AT259" s="151" t="s">
        <v>122</v>
      </c>
      <c r="AU259" s="151" t="s">
        <v>120</v>
      </c>
      <c r="AV259" s="13" t="s">
        <v>120</v>
      </c>
      <c r="AW259" s="13" t="s">
        <v>28</v>
      </c>
      <c r="AX259" s="13" t="s">
        <v>72</v>
      </c>
      <c r="AY259" s="151" t="s">
        <v>113</v>
      </c>
    </row>
    <row r="260" spans="1:65" s="14" customFormat="1" x14ac:dyDescent="0.2">
      <c r="B260" s="157"/>
      <c r="C260" s="205"/>
      <c r="D260" s="150" t="s">
        <v>122</v>
      </c>
      <c r="E260" s="158" t="s">
        <v>1</v>
      </c>
      <c r="F260" s="159" t="s">
        <v>128</v>
      </c>
      <c r="H260" s="160">
        <f>SUM(H256:H259)</f>
        <v>54.6</v>
      </c>
      <c r="L260" s="157"/>
      <c r="M260" s="161"/>
      <c r="N260" s="162"/>
      <c r="O260" s="162"/>
      <c r="P260" s="162"/>
      <c r="Q260" s="162"/>
      <c r="R260" s="162"/>
      <c r="S260" s="162"/>
      <c r="T260" s="163"/>
      <c r="V260" s="186"/>
      <c r="AT260" s="158" t="s">
        <v>122</v>
      </c>
      <c r="AU260" s="158" t="s">
        <v>120</v>
      </c>
      <c r="AV260" s="14" t="s">
        <v>119</v>
      </c>
      <c r="AW260" s="14" t="s">
        <v>28</v>
      </c>
      <c r="AX260" s="14" t="s">
        <v>77</v>
      </c>
      <c r="AY260" s="158" t="s">
        <v>113</v>
      </c>
    </row>
    <row r="261" spans="1:65" s="2" customFormat="1" ht="36" customHeight="1" x14ac:dyDescent="0.2">
      <c r="A261" s="28"/>
      <c r="B261" s="135"/>
      <c r="C261" s="207">
        <v>53</v>
      </c>
      <c r="D261" s="164" t="s">
        <v>268</v>
      </c>
      <c r="E261" s="165" t="s">
        <v>312</v>
      </c>
      <c r="F261" s="166" t="s">
        <v>454</v>
      </c>
      <c r="G261" s="167" t="s">
        <v>146</v>
      </c>
      <c r="H261" s="168">
        <v>3</v>
      </c>
      <c r="I261" s="169"/>
      <c r="J261" s="169">
        <f>ROUND(I261*H261,2)</f>
        <v>0</v>
      </c>
      <c r="K261" s="170"/>
      <c r="L261" s="171"/>
      <c r="M261" s="172" t="s">
        <v>1</v>
      </c>
      <c r="N261" s="173" t="s">
        <v>38</v>
      </c>
      <c r="O261" s="145">
        <v>0</v>
      </c>
      <c r="P261" s="145">
        <f>O261*H261</f>
        <v>0</v>
      </c>
      <c r="Q261" s="145">
        <v>9.8000000000000004E-2</v>
      </c>
      <c r="R261" s="145">
        <f>Q261*H261</f>
        <v>0.29400000000000004</v>
      </c>
      <c r="S261" s="145">
        <v>0</v>
      </c>
      <c r="T261" s="146">
        <f>S261*H261</f>
        <v>0</v>
      </c>
      <c r="U261" s="28"/>
      <c r="V261" s="179"/>
      <c r="W261" s="28"/>
      <c r="X261" s="28"/>
      <c r="Y261" s="28"/>
      <c r="Z261" s="28"/>
      <c r="AA261" s="28"/>
      <c r="AB261" s="28"/>
      <c r="AC261" s="28"/>
      <c r="AD261" s="28"/>
      <c r="AE261" s="28"/>
      <c r="AR261" s="147" t="s">
        <v>237</v>
      </c>
      <c r="AT261" s="147" t="s">
        <v>268</v>
      </c>
      <c r="AU261" s="147" t="s">
        <v>120</v>
      </c>
      <c r="AY261" s="16" t="s">
        <v>113</v>
      </c>
      <c r="BE261" s="148">
        <f>IF(N261="základná",J261,0)</f>
        <v>0</v>
      </c>
      <c r="BF261" s="148">
        <f>IF(N261="znížená",J261,0)</f>
        <v>0</v>
      </c>
      <c r="BG261" s="148">
        <f>IF(N261="zákl. prenesená",J261,0)</f>
        <v>0</v>
      </c>
      <c r="BH261" s="148">
        <f>IF(N261="zníž. prenesená",J261,0)</f>
        <v>0</v>
      </c>
      <c r="BI261" s="148">
        <f>IF(N261="nulová",J261,0)</f>
        <v>0</v>
      </c>
      <c r="BJ261" s="16" t="s">
        <v>120</v>
      </c>
      <c r="BK261" s="148">
        <f>ROUND(I261*H261,2)</f>
        <v>0</v>
      </c>
      <c r="BL261" s="16" t="s">
        <v>186</v>
      </c>
      <c r="BM261" s="147" t="s">
        <v>313</v>
      </c>
    </row>
    <row r="262" spans="1:65" s="2" customFormat="1" ht="36" customHeight="1" x14ac:dyDescent="0.2">
      <c r="A262" s="28"/>
      <c r="B262" s="135"/>
      <c r="C262" s="207">
        <v>54</v>
      </c>
      <c r="D262" s="164" t="s">
        <v>268</v>
      </c>
      <c r="E262" s="165" t="s">
        <v>314</v>
      </c>
      <c r="F262" s="166" t="s">
        <v>455</v>
      </c>
      <c r="G262" s="167" t="s">
        <v>146</v>
      </c>
      <c r="H262" s="168">
        <v>3</v>
      </c>
      <c r="I262" s="169"/>
      <c r="J262" s="169">
        <f>ROUND(I262*H262,2)</f>
        <v>0</v>
      </c>
      <c r="K262" s="170"/>
      <c r="L262" s="171"/>
      <c r="M262" s="172" t="s">
        <v>1</v>
      </c>
      <c r="N262" s="173" t="s">
        <v>38</v>
      </c>
      <c r="O262" s="145">
        <v>0</v>
      </c>
      <c r="P262" s="145">
        <f>O262*H262</f>
        <v>0</v>
      </c>
      <c r="Q262" s="145">
        <v>9.8000000000000004E-2</v>
      </c>
      <c r="R262" s="145">
        <f>Q262*H262</f>
        <v>0.29400000000000004</v>
      </c>
      <c r="S262" s="145">
        <v>0</v>
      </c>
      <c r="T262" s="146">
        <f>S262*H262</f>
        <v>0</v>
      </c>
      <c r="U262" s="28"/>
      <c r="V262" s="179"/>
      <c r="W262" s="28"/>
      <c r="X262" s="28"/>
      <c r="Y262" s="28"/>
      <c r="Z262" s="28"/>
      <c r="AA262" s="28"/>
      <c r="AB262" s="28"/>
      <c r="AC262" s="28"/>
      <c r="AD262" s="28"/>
      <c r="AE262" s="28"/>
      <c r="AR262" s="147" t="s">
        <v>237</v>
      </c>
      <c r="AT262" s="147" t="s">
        <v>268</v>
      </c>
      <c r="AU262" s="147" t="s">
        <v>120</v>
      </c>
      <c r="AY262" s="16" t="s">
        <v>113</v>
      </c>
      <c r="BE262" s="148">
        <f>IF(N262="základná",J262,0)</f>
        <v>0</v>
      </c>
      <c r="BF262" s="148">
        <f>IF(N262="znížená",J262,0)</f>
        <v>0</v>
      </c>
      <c r="BG262" s="148">
        <f>IF(N262="zákl. prenesená",J262,0)</f>
        <v>0</v>
      </c>
      <c r="BH262" s="148">
        <f>IF(N262="zníž. prenesená",J262,0)</f>
        <v>0</v>
      </c>
      <c r="BI262" s="148">
        <f>IF(N262="nulová",J262,0)</f>
        <v>0</v>
      </c>
      <c r="BJ262" s="16" t="s">
        <v>120</v>
      </c>
      <c r="BK262" s="148">
        <f>ROUND(I262*H262,2)</f>
        <v>0</v>
      </c>
      <c r="BL262" s="16" t="s">
        <v>186</v>
      </c>
      <c r="BM262" s="147" t="s">
        <v>315</v>
      </c>
    </row>
    <row r="263" spans="1:65" s="2" customFormat="1" ht="36" customHeight="1" x14ac:dyDescent="0.2">
      <c r="A263" s="187"/>
      <c r="B263" s="135"/>
      <c r="C263" s="207">
        <v>55</v>
      </c>
      <c r="D263" s="164" t="s">
        <v>268</v>
      </c>
      <c r="E263" s="165" t="s">
        <v>316</v>
      </c>
      <c r="F263" s="166" t="s">
        <v>449</v>
      </c>
      <c r="G263" s="167" t="s">
        <v>146</v>
      </c>
      <c r="H263" s="168">
        <v>2</v>
      </c>
      <c r="I263" s="169"/>
      <c r="J263" s="169">
        <f>ROUND(I263*H263,2)</f>
        <v>0</v>
      </c>
      <c r="K263" s="170"/>
      <c r="L263" s="171"/>
      <c r="M263" s="172" t="s">
        <v>1</v>
      </c>
      <c r="N263" s="173" t="s">
        <v>38</v>
      </c>
      <c r="O263" s="145">
        <v>0</v>
      </c>
      <c r="P263" s="145">
        <f>O263*H263</f>
        <v>0</v>
      </c>
      <c r="Q263" s="145">
        <v>8.7999999999999995E-2</v>
      </c>
      <c r="R263" s="145">
        <f>Q263*H263</f>
        <v>0.17599999999999999</v>
      </c>
      <c r="S263" s="145">
        <v>0</v>
      </c>
      <c r="T263" s="146">
        <f>S263*H263</f>
        <v>0</v>
      </c>
      <c r="U263" s="187"/>
      <c r="V263" s="179"/>
      <c r="W263" s="187"/>
      <c r="X263" s="187"/>
      <c r="Y263" s="187"/>
      <c r="Z263" s="187"/>
      <c r="AA263" s="187"/>
      <c r="AB263" s="187"/>
      <c r="AC263" s="187"/>
      <c r="AD263" s="187"/>
      <c r="AE263" s="187"/>
      <c r="AR263" s="147" t="s">
        <v>237</v>
      </c>
      <c r="AT263" s="147" t="s">
        <v>268</v>
      </c>
      <c r="AU263" s="147" t="s">
        <v>120</v>
      </c>
      <c r="AY263" s="16" t="s">
        <v>113</v>
      </c>
      <c r="BE263" s="148">
        <f>IF(N263="základná",J263,0)</f>
        <v>0</v>
      </c>
      <c r="BF263" s="148">
        <f>IF(N263="znížená",J263,0)</f>
        <v>0</v>
      </c>
      <c r="BG263" s="148">
        <f>IF(N263="zákl. prenesená",J263,0)</f>
        <v>0</v>
      </c>
      <c r="BH263" s="148">
        <f>IF(N263="zníž. prenesená",J263,0)</f>
        <v>0</v>
      </c>
      <c r="BI263" s="148">
        <f>IF(N263="nulová",J263,0)</f>
        <v>0</v>
      </c>
      <c r="BJ263" s="16" t="s">
        <v>120</v>
      </c>
      <c r="BK263" s="148">
        <f>ROUND(I263*H263,2)</f>
        <v>0</v>
      </c>
      <c r="BL263" s="16" t="s">
        <v>186</v>
      </c>
      <c r="BM263" s="147" t="s">
        <v>317</v>
      </c>
    </row>
    <row r="264" spans="1:65" s="2" customFormat="1" ht="36" customHeight="1" x14ac:dyDescent="0.2">
      <c r="A264" s="28"/>
      <c r="B264" s="135"/>
      <c r="C264" s="207">
        <v>56</v>
      </c>
      <c r="D264" s="164" t="s">
        <v>268</v>
      </c>
      <c r="E264" s="165" t="s">
        <v>452</v>
      </c>
      <c r="F264" s="166" t="s">
        <v>450</v>
      </c>
      <c r="G264" s="167" t="s">
        <v>146</v>
      </c>
      <c r="H264" s="168">
        <v>1</v>
      </c>
      <c r="I264" s="169"/>
      <c r="J264" s="169">
        <f>ROUND(I264*H264,2)</f>
        <v>0</v>
      </c>
      <c r="K264" s="170"/>
      <c r="L264" s="171"/>
      <c r="M264" s="172" t="s">
        <v>1</v>
      </c>
      <c r="N264" s="173" t="s">
        <v>38</v>
      </c>
      <c r="O264" s="145">
        <v>0</v>
      </c>
      <c r="P264" s="145">
        <f>O264*H264</f>
        <v>0</v>
      </c>
      <c r="Q264" s="145">
        <v>8.7999999999999995E-2</v>
      </c>
      <c r="R264" s="145">
        <f>Q264*H264</f>
        <v>8.7999999999999995E-2</v>
      </c>
      <c r="S264" s="145">
        <v>0</v>
      </c>
      <c r="T264" s="146">
        <f>S264*H264</f>
        <v>0</v>
      </c>
      <c r="U264" s="28"/>
      <c r="V264" s="179"/>
      <c r="W264" s="28"/>
      <c r="X264" s="28"/>
      <c r="Y264" s="28"/>
      <c r="Z264" s="28"/>
      <c r="AA264" s="28"/>
      <c r="AB264" s="28"/>
      <c r="AC264" s="28"/>
      <c r="AD264" s="28"/>
      <c r="AE264" s="28"/>
      <c r="AR264" s="147" t="s">
        <v>237</v>
      </c>
      <c r="AT264" s="147" t="s">
        <v>268</v>
      </c>
      <c r="AU264" s="147" t="s">
        <v>120</v>
      </c>
      <c r="AY264" s="16" t="s">
        <v>113</v>
      </c>
      <c r="BE264" s="148">
        <f>IF(N264="základná",J264,0)</f>
        <v>0</v>
      </c>
      <c r="BF264" s="148">
        <f>IF(N264="znížená",J264,0)</f>
        <v>0</v>
      </c>
      <c r="BG264" s="148">
        <f>IF(N264="zákl. prenesená",J264,0)</f>
        <v>0</v>
      </c>
      <c r="BH264" s="148">
        <f>IF(N264="zníž. prenesená",J264,0)</f>
        <v>0</v>
      </c>
      <c r="BI264" s="148">
        <f>IF(N264="nulová",J264,0)</f>
        <v>0</v>
      </c>
      <c r="BJ264" s="16" t="s">
        <v>120</v>
      </c>
      <c r="BK264" s="148">
        <f>ROUND(I264*H264,2)</f>
        <v>0</v>
      </c>
      <c r="BL264" s="16" t="s">
        <v>186</v>
      </c>
      <c r="BM264" s="147" t="s">
        <v>317</v>
      </c>
    </row>
    <row r="265" spans="1:65" s="2" customFormat="1" ht="16.5" customHeight="1" x14ac:dyDescent="0.2">
      <c r="A265" s="28"/>
      <c r="B265" s="135"/>
      <c r="C265" s="203">
        <v>57</v>
      </c>
      <c r="D265" s="136" t="s">
        <v>115</v>
      </c>
      <c r="E265" s="137" t="s">
        <v>318</v>
      </c>
      <c r="F265" s="138" t="s">
        <v>319</v>
      </c>
      <c r="G265" s="139" t="s">
        <v>151</v>
      </c>
      <c r="H265" s="140">
        <v>15.6</v>
      </c>
      <c r="I265" s="141"/>
      <c r="J265" s="141">
        <f>ROUND(I265*H265,2)</f>
        <v>0</v>
      </c>
      <c r="K265" s="142"/>
      <c r="L265" s="29"/>
      <c r="M265" s="143" t="s">
        <v>1</v>
      </c>
      <c r="N265" s="144" t="s">
        <v>38</v>
      </c>
      <c r="O265" s="145">
        <v>0.28039999999999998</v>
      </c>
      <c r="P265" s="145">
        <f>O265*H265</f>
        <v>4.3742399999999995</v>
      </c>
      <c r="Q265" s="145">
        <v>4.2000000000000002E-4</v>
      </c>
      <c r="R265" s="145">
        <f>Q265*H265</f>
        <v>6.5520000000000005E-3</v>
      </c>
      <c r="S265" s="145">
        <v>0</v>
      </c>
      <c r="T265" s="146">
        <f>S265*H265</f>
        <v>0</v>
      </c>
      <c r="U265" s="28"/>
      <c r="V265" s="179"/>
      <c r="W265" s="28"/>
      <c r="X265" s="28"/>
      <c r="Y265" s="28"/>
      <c r="Z265" s="28"/>
      <c r="AA265" s="28"/>
      <c r="AB265" s="28"/>
      <c r="AC265" s="28"/>
      <c r="AD265" s="28"/>
      <c r="AE265" s="28"/>
      <c r="AR265" s="147" t="s">
        <v>186</v>
      </c>
      <c r="AT265" s="147" t="s">
        <v>115</v>
      </c>
      <c r="AU265" s="147" t="s">
        <v>120</v>
      </c>
      <c r="AY265" s="16" t="s">
        <v>113</v>
      </c>
      <c r="BE265" s="148">
        <f>IF(N265="základná",J265,0)</f>
        <v>0</v>
      </c>
      <c r="BF265" s="148">
        <f>IF(N265="znížená",J265,0)</f>
        <v>0</v>
      </c>
      <c r="BG265" s="148">
        <f>IF(N265="zákl. prenesená",J265,0)</f>
        <v>0</v>
      </c>
      <c r="BH265" s="148">
        <f>IF(N265="zníž. prenesená",J265,0)</f>
        <v>0</v>
      </c>
      <c r="BI265" s="148">
        <f>IF(N265="nulová",J265,0)</f>
        <v>0</v>
      </c>
      <c r="BJ265" s="16" t="s">
        <v>120</v>
      </c>
      <c r="BK265" s="148">
        <f>ROUND(I265*H265,2)</f>
        <v>0</v>
      </c>
      <c r="BL265" s="16" t="s">
        <v>186</v>
      </c>
      <c r="BM265" s="147" t="s">
        <v>320</v>
      </c>
    </row>
    <row r="266" spans="1:65" s="13" customFormat="1" x14ac:dyDescent="0.2">
      <c r="B266" s="149"/>
      <c r="C266" s="204"/>
      <c r="D266" s="150" t="s">
        <v>122</v>
      </c>
      <c r="E266" s="151" t="s">
        <v>1</v>
      </c>
      <c r="F266" s="152" t="s">
        <v>476</v>
      </c>
      <c r="H266" s="153">
        <v>8.8000000000000007</v>
      </c>
      <c r="L266" s="149"/>
      <c r="M266" s="154"/>
      <c r="N266" s="155"/>
      <c r="O266" s="155"/>
      <c r="P266" s="155"/>
      <c r="Q266" s="155"/>
      <c r="R266" s="155"/>
      <c r="S266" s="155"/>
      <c r="T266" s="156"/>
      <c r="V266" s="185"/>
      <c r="AT266" s="151" t="s">
        <v>122</v>
      </c>
      <c r="AU266" s="151" t="s">
        <v>120</v>
      </c>
      <c r="AV266" s="13" t="s">
        <v>120</v>
      </c>
      <c r="AW266" s="13" t="s">
        <v>28</v>
      </c>
      <c r="AX266" s="13" t="s">
        <v>77</v>
      </c>
      <c r="AY266" s="151" t="s">
        <v>113</v>
      </c>
    </row>
    <row r="267" spans="1:65" s="13" customFormat="1" x14ac:dyDescent="0.2">
      <c r="B267" s="149"/>
      <c r="C267" s="204"/>
      <c r="D267" s="150" t="s">
        <v>122</v>
      </c>
      <c r="E267" s="151" t="s">
        <v>1</v>
      </c>
      <c r="F267" s="152" t="s">
        <v>360</v>
      </c>
      <c r="H267" s="153">
        <v>6.8</v>
      </c>
      <c r="L267" s="149"/>
      <c r="M267" s="154"/>
      <c r="N267" s="155"/>
      <c r="O267" s="155"/>
      <c r="P267" s="155"/>
      <c r="Q267" s="155"/>
      <c r="R267" s="155"/>
      <c r="S267" s="155"/>
      <c r="T267" s="156"/>
      <c r="V267" s="185"/>
      <c r="AT267" s="151" t="s">
        <v>122</v>
      </c>
      <c r="AU267" s="151" t="s">
        <v>120</v>
      </c>
      <c r="AV267" s="13" t="s">
        <v>120</v>
      </c>
      <c r="AW267" s="13" t="s">
        <v>28</v>
      </c>
      <c r="AX267" s="13" t="s">
        <v>77</v>
      </c>
      <c r="AY267" s="151" t="s">
        <v>113</v>
      </c>
    </row>
    <row r="268" spans="1:65" s="14" customFormat="1" x14ac:dyDescent="0.2">
      <c r="B268" s="157"/>
      <c r="C268" s="205"/>
      <c r="D268" s="150" t="s">
        <v>122</v>
      </c>
      <c r="E268" s="158" t="s">
        <v>1</v>
      </c>
      <c r="F268" s="159" t="s">
        <v>128</v>
      </c>
      <c r="H268" s="160">
        <f>SUM(H266:H267)</f>
        <v>15.600000000000001</v>
      </c>
      <c r="L268" s="157"/>
      <c r="M268" s="161"/>
      <c r="N268" s="162"/>
      <c r="O268" s="162"/>
      <c r="P268" s="162"/>
      <c r="Q268" s="162"/>
      <c r="R268" s="162"/>
      <c r="S268" s="162"/>
      <c r="T268" s="163"/>
      <c r="V268" s="186"/>
      <c r="AT268" s="158" t="s">
        <v>122</v>
      </c>
      <c r="AU268" s="158" t="s">
        <v>120</v>
      </c>
      <c r="AV268" s="14" t="s">
        <v>119</v>
      </c>
      <c r="AW268" s="14" t="s">
        <v>28</v>
      </c>
      <c r="AX268" s="14" t="s">
        <v>77</v>
      </c>
      <c r="AY268" s="158" t="s">
        <v>113</v>
      </c>
    </row>
    <row r="269" spans="1:65" s="2" customFormat="1" ht="48.75" customHeight="1" x14ac:dyDescent="0.2">
      <c r="A269" s="28"/>
      <c r="B269" s="135"/>
      <c r="C269" s="207">
        <v>58</v>
      </c>
      <c r="D269" s="164" t="s">
        <v>268</v>
      </c>
      <c r="E269" s="165" t="s">
        <v>321</v>
      </c>
      <c r="F269" s="166" t="s">
        <v>475</v>
      </c>
      <c r="G269" s="167" t="s">
        <v>146</v>
      </c>
      <c r="H269" s="168">
        <v>1</v>
      </c>
      <c r="I269" s="169"/>
      <c r="J269" s="169">
        <f>ROUND(I269*H269,2)</f>
        <v>0</v>
      </c>
      <c r="K269" s="170"/>
      <c r="L269" s="171"/>
      <c r="M269" s="172" t="s">
        <v>1</v>
      </c>
      <c r="N269" s="173" t="s">
        <v>38</v>
      </c>
      <c r="O269" s="145">
        <v>0</v>
      </c>
      <c r="P269" s="145">
        <f>O269*H269</f>
        <v>0</v>
      </c>
      <c r="Q269" s="145">
        <v>4.6019999999999998E-2</v>
      </c>
      <c r="R269" s="145">
        <f>Q269*H269</f>
        <v>4.6019999999999998E-2</v>
      </c>
      <c r="S269" s="145">
        <v>0</v>
      </c>
      <c r="T269" s="146">
        <f>S269*H269</f>
        <v>0</v>
      </c>
      <c r="U269" s="28"/>
      <c r="V269" s="179"/>
      <c r="W269" s="28"/>
      <c r="X269" s="28"/>
      <c r="Y269" s="28"/>
      <c r="Z269" s="28"/>
      <c r="AA269" s="28"/>
      <c r="AB269" s="28"/>
      <c r="AC269" s="28"/>
      <c r="AD269" s="28"/>
      <c r="AE269" s="28"/>
      <c r="AR269" s="147" t="s">
        <v>237</v>
      </c>
      <c r="AT269" s="147" t="s">
        <v>268</v>
      </c>
      <c r="AU269" s="147" t="s">
        <v>120</v>
      </c>
      <c r="AY269" s="16" t="s">
        <v>113</v>
      </c>
      <c r="BE269" s="148">
        <f>IF(N269="základná",J269,0)</f>
        <v>0</v>
      </c>
      <c r="BF269" s="148">
        <f>IF(N269="znížená",J269,0)</f>
        <v>0</v>
      </c>
      <c r="BG269" s="148">
        <f>IF(N269="zákl. prenesená",J269,0)</f>
        <v>0</v>
      </c>
      <c r="BH269" s="148">
        <f>IF(N269="zníž. prenesená",J269,0)</f>
        <v>0</v>
      </c>
      <c r="BI269" s="148">
        <f>IF(N269="nulová",J269,0)</f>
        <v>0</v>
      </c>
      <c r="BJ269" s="16" t="s">
        <v>120</v>
      </c>
      <c r="BK269" s="148">
        <f>ROUND(I269*H269,2)</f>
        <v>0</v>
      </c>
      <c r="BL269" s="16" t="s">
        <v>186</v>
      </c>
      <c r="BM269" s="147" t="s">
        <v>322</v>
      </c>
    </row>
    <row r="270" spans="1:65" s="2" customFormat="1" ht="36" customHeight="1" x14ac:dyDescent="0.2">
      <c r="A270" s="187"/>
      <c r="B270" s="135"/>
      <c r="C270" s="207">
        <v>59</v>
      </c>
      <c r="D270" s="164" t="s">
        <v>268</v>
      </c>
      <c r="E270" s="165" t="s">
        <v>451</v>
      </c>
      <c r="F270" s="166" t="s">
        <v>506</v>
      </c>
      <c r="G270" s="167" t="s">
        <v>146</v>
      </c>
      <c r="H270" s="168">
        <v>1</v>
      </c>
      <c r="I270" s="169"/>
      <c r="J270" s="169">
        <f>ROUND(I270*H270,2)</f>
        <v>0</v>
      </c>
      <c r="K270" s="170"/>
      <c r="L270" s="171"/>
      <c r="M270" s="172" t="s">
        <v>1</v>
      </c>
      <c r="N270" s="173" t="s">
        <v>38</v>
      </c>
      <c r="O270" s="145">
        <v>0</v>
      </c>
      <c r="P270" s="145">
        <f>O270*H270</f>
        <v>0</v>
      </c>
      <c r="Q270" s="145">
        <v>4.6019999999999998E-2</v>
      </c>
      <c r="R270" s="145">
        <f>Q270*H270</f>
        <v>4.6019999999999998E-2</v>
      </c>
      <c r="S270" s="145">
        <v>0</v>
      </c>
      <c r="T270" s="146">
        <f>S270*H270</f>
        <v>0</v>
      </c>
      <c r="U270" s="187"/>
      <c r="V270" s="179"/>
      <c r="W270" s="187"/>
      <c r="X270" s="187"/>
      <c r="Y270" s="187"/>
      <c r="Z270" s="187"/>
      <c r="AA270" s="187"/>
      <c r="AB270" s="187"/>
      <c r="AC270" s="187"/>
      <c r="AD270" s="187"/>
      <c r="AE270" s="187"/>
      <c r="AR270" s="147" t="s">
        <v>237</v>
      </c>
      <c r="AT270" s="147" t="s">
        <v>268</v>
      </c>
      <c r="AU270" s="147" t="s">
        <v>120</v>
      </c>
      <c r="AY270" s="16" t="s">
        <v>113</v>
      </c>
      <c r="BE270" s="148">
        <f>IF(N270="základná",J270,0)</f>
        <v>0</v>
      </c>
      <c r="BF270" s="148">
        <f>IF(N270="znížená",J270,0)</f>
        <v>0</v>
      </c>
      <c r="BG270" s="148">
        <f>IF(N270="zákl. prenesená",J270,0)</f>
        <v>0</v>
      </c>
      <c r="BH270" s="148">
        <f>IF(N270="zníž. prenesená",J270,0)</f>
        <v>0</v>
      </c>
      <c r="BI270" s="148">
        <f>IF(N270="nulová",J270,0)</f>
        <v>0</v>
      </c>
      <c r="BJ270" s="16" t="s">
        <v>120</v>
      </c>
      <c r="BK270" s="148">
        <f>ROUND(I270*H270,2)</f>
        <v>0</v>
      </c>
      <c r="BL270" s="16" t="s">
        <v>186</v>
      </c>
      <c r="BM270" s="147" t="s">
        <v>322</v>
      </c>
    </row>
    <row r="271" spans="1:65" s="2" customFormat="1" ht="24" customHeight="1" x14ac:dyDescent="0.2">
      <c r="A271" s="28"/>
      <c r="B271" s="135"/>
      <c r="C271" s="203">
        <v>60</v>
      </c>
      <c r="D271" s="136" t="s">
        <v>115</v>
      </c>
      <c r="E271" s="137" t="s">
        <v>323</v>
      </c>
      <c r="F271" s="138" t="s">
        <v>324</v>
      </c>
      <c r="G271" s="139" t="s">
        <v>146</v>
      </c>
      <c r="H271" s="140">
        <v>10</v>
      </c>
      <c r="I271" s="141"/>
      <c r="J271" s="141">
        <f>ROUND(I271*H271,2)</f>
        <v>0</v>
      </c>
      <c r="K271" s="142"/>
      <c r="L271" s="29"/>
      <c r="M271" s="143" t="s">
        <v>1</v>
      </c>
      <c r="N271" s="144" t="s">
        <v>38</v>
      </c>
      <c r="O271" s="145">
        <v>1.2250099999999999</v>
      </c>
      <c r="P271" s="145">
        <f>O271*H271</f>
        <v>12.2501</v>
      </c>
      <c r="Q271" s="145">
        <v>0</v>
      </c>
      <c r="R271" s="145">
        <f>Q271*H271</f>
        <v>0</v>
      </c>
      <c r="S271" s="145">
        <v>0</v>
      </c>
      <c r="T271" s="146">
        <f>S271*H271</f>
        <v>0</v>
      </c>
      <c r="U271" s="28"/>
      <c r="V271" s="179"/>
      <c r="W271" s="28"/>
      <c r="X271" s="28"/>
      <c r="Y271" s="28"/>
      <c r="Z271" s="28"/>
      <c r="AA271" s="28"/>
      <c r="AB271" s="28"/>
      <c r="AC271" s="28"/>
      <c r="AD271" s="28"/>
      <c r="AE271" s="28"/>
      <c r="AR271" s="147" t="s">
        <v>186</v>
      </c>
      <c r="AT271" s="147" t="s">
        <v>115</v>
      </c>
      <c r="AU271" s="147" t="s">
        <v>120</v>
      </c>
      <c r="AY271" s="16" t="s">
        <v>113</v>
      </c>
      <c r="BE271" s="148">
        <f>IF(N271="základná",J271,0)</f>
        <v>0</v>
      </c>
      <c r="BF271" s="148">
        <f>IF(N271="znížená",J271,0)</f>
        <v>0</v>
      </c>
      <c r="BG271" s="148">
        <f>IF(N271="zákl. prenesená",J271,0)</f>
        <v>0</v>
      </c>
      <c r="BH271" s="148">
        <f>IF(N271="zníž. prenesená",J271,0)</f>
        <v>0</v>
      </c>
      <c r="BI271" s="148">
        <f>IF(N271="nulová",J271,0)</f>
        <v>0</v>
      </c>
      <c r="BJ271" s="16" t="s">
        <v>120</v>
      </c>
      <c r="BK271" s="148">
        <f>ROUND(I271*H271,2)</f>
        <v>0</v>
      </c>
      <c r="BL271" s="16" t="s">
        <v>186</v>
      </c>
      <c r="BM271" s="147" t="s">
        <v>325</v>
      </c>
    </row>
    <row r="272" spans="1:65" s="13" customFormat="1" x14ac:dyDescent="0.2">
      <c r="B272" s="149"/>
      <c r="C272" s="204"/>
      <c r="D272" s="150" t="s">
        <v>122</v>
      </c>
      <c r="E272" s="151" t="s">
        <v>1</v>
      </c>
      <c r="F272" s="152" t="s">
        <v>456</v>
      </c>
      <c r="H272" s="153">
        <v>5</v>
      </c>
      <c r="L272" s="149"/>
      <c r="M272" s="154"/>
      <c r="N272" s="155"/>
      <c r="O272" s="155"/>
      <c r="P272" s="155"/>
      <c r="Q272" s="155"/>
      <c r="R272" s="155"/>
      <c r="S272" s="155"/>
      <c r="T272" s="156"/>
      <c r="V272" s="185"/>
      <c r="AT272" s="151" t="s">
        <v>122</v>
      </c>
      <c r="AU272" s="151" t="s">
        <v>120</v>
      </c>
      <c r="AV272" s="13" t="s">
        <v>120</v>
      </c>
      <c r="AW272" s="13" t="s">
        <v>28</v>
      </c>
      <c r="AX272" s="13" t="s">
        <v>72</v>
      </c>
      <c r="AY272" s="151" t="s">
        <v>113</v>
      </c>
    </row>
    <row r="273" spans="1:65" s="13" customFormat="1" x14ac:dyDescent="0.2">
      <c r="B273" s="149"/>
      <c r="C273" s="204"/>
      <c r="D273" s="150" t="s">
        <v>122</v>
      </c>
      <c r="E273" s="151" t="s">
        <v>1</v>
      </c>
      <c r="F273" s="152" t="s">
        <v>326</v>
      </c>
      <c r="H273" s="153">
        <v>1</v>
      </c>
      <c r="L273" s="149"/>
      <c r="M273" s="154"/>
      <c r="N273" s="155"/>
      <c r="O273" s="155"/>
      <c r="P273" s="155"/>
      <c r="Q273" s="155"/>
      <c r="R273" s="155"/>
      <c r="S273" s="155"/>
      <c r="T273" s="156"/>
      <c r="V273" s="185"/>
      <c r="AT273" s="151" t="s">
        <v>122</v>
      </c>
      <c r="AU273" s="151" t="s">
        <v>120</v>
      </c>
      <c r="AV273" s="13" t="s">
        <v>120</v>
      </c>
      <c r="AW273" s="13" t="s">
        <v>28</v>
      </c>
      <c r="AX273" s="13" t="s">
        <v>72</v>
      </c>
      <c r="AY273" s="151" t="s">
        <v>113</v>
      </c>
    </row>
    <row r="274" spans="1:65" s="13" customFormat="1" x14ac:dyDescent="0.2">
      <c r="B274" s="149"/>
      <c r="C274" s="204"/>
      <c r="D274" s="150" t="s">
        <v>122</v>
      </c>
      <c r="E274" s="151" t="s">
        <v>1</v>
      </c>
      <c r="F274" s="152" t="s">
        <v>457</v>
      </c>
      <c r="H274" s="153">
        <v>4</v>
      </c>
      <c r="L274" s="149"/>
      <c r="M274" s="154"/>
      <c r="N274" s="155"/>
      <c r="O274" s="155"/>
      <c r="P274" s="155"/>
      <c r="Q274" s="155"/>
      <c r="R274" s="155"/>
      <c r="S274" s="155"/>
      <c r="T274" s="156"/>
      <c r="V274" s="185"/>
      <c r="AT274" s="151" t="s">
        <v>122</v>
      </c>
      <c r="AU274" s="151" t="s">
        <v>120</v>
      </c>
      <c r="AV274" s="13" t="s">
        <v>120</v>
      </c>
      <c r="AW274" s="13" t="s">
        <v>28</v>
      </c>
      <c r="AX274" s="13" t="s">
        <v>72</v>
      </c>
      <c r="AY274" s="151" t="s">
        <v>113</v>
      </c>
    </row>
    <row r="275" spans="1:65" s="14" customFormat="1" x14ac:dyDescent="0.2">
      <c r="B275" s="157"/>
      <c r="C275" s="205"/>
      <c r="D275" s="150" t="s">
        <v>122</v>
      </c>
      <c r="E275" s="158" t="s">
        <v>1</v>
      </c>
      <c r="F275" s="159" t="s">
        <v>128</v>
      </c>
      <c r="H275" s="160">
        <v>10</v>
      </c>
      <c r="L275" s="157"/>
      <c r="M275" s="161"/>
      <c r="N275" s="162"/>
      <c r="O275" s="162"/>
      <c r="P275" s="162"/>
      <c r="Q275" s="162"/>
      <c r="R275" s="162"/>
      <c r="S275" s="162"/>
      <c r="T275" s="163"/>
      <c r="V275" s="186"/>
      <c r="AT275" s="158" t="s">
        <v>122</v>
      </c>
      <c r="AU275" s="158" t="s">
        <v>120</v>
      </c>
      <c r="AV275" s="14" t="s">
        <v>119</v>
      </c>
      <c r="AW275" s="14" t="s">
        <v>28</v>
      </c>
      <c r="AX275" s="14" t="s">
        <v>77</v>
      </c>
      <c r="AY275" s="158" t="s">
        <v>113</v>
      </c>
    </row>
    <row r="276" spans="1:65" s="2" customFormat="1" ht="24" customHeight="1" x14ac:dyDescent="0.2">
      <c r="A276" s="187"/>
      <c r="B276" s="135"/>
      <c r="C276" s="203">
        <v>61</v>
      </c>
      <c r="D276" s="136" t="s">
        <v>115</v>
      </c>
      <c r="E276" s="137" t="s">
        <v>459</v>
      </c>
      <c r="F276" s="138" t="s">
        <v>458</v>
      </c>
      <c r="G276" s="139" t="s">
        <v>146</v>
      </c>
      <c r="H276" s="140">
        <v>2</v>
      </c>
      <c r="I276" s="141"/>
      <c r="J276" s="141">
        <f>ROUND(I276*H276,2)</f>
        <v>0</v>
      </c>
      <c r="K276" s="142"/>
      <c r="L276" s="29"/>
      <c r="M276" s="143" t="s">
        <v>1</v>
      </c>
      <c r="N276" s="144" t="s">
        <v>38</v>
      </c>
      <c r="O276" s="145">
        <v>1.2250099999999999</v>
      </c>
      <c r="P276" s="145">
        <f>O276*H276</f>
        <v>2.4500199999999999</v>
      </c>
      <c r="Q276" s="145">
        <v>0</v>
      </c>
      <c r="R276" s="145">
        <f>Q276*H276</f>
        <v>0</v>
      </c>
      <c r="S276" s="145">
        <v>0</v>
      </c>
      <c r="T276" s="146">
        <f>S276*H276</f>
        <v>0</v>
      </c>
      <c r="U276" s="187"/>
      <c r="V276" s="179"/>
      <c r="W276" s="187"/>
      <c r="X276" s="187"/>
      <c r="Y276" s="187"/>
      <c r="Z276" s="187"/>
      <c r="AA276" s="187"/>
      <c r="AB276" s="187"/>
      <c r="AC276" s="187"/>
      <c r="AD276" s="187"/>
      <c r="AE276" s="187"/>
      <c r="AR276" s="147" t="s">
        <v>186</v>
      </c>
      <c r="AT276" s="147" t="s">
        <v>115</v>
      </c>
      <c r="AU276" s="147" t="s">
        <v>120</v>
      </c>
      <c r="AY276" s="16" t="s">
        <v>113</v>
      </c>
      <c r="BE276" s="148">
        <f>IF(N276="základná",J276,0)</f>
        <v>0</v>
      </c>
      <c r="BF276" s="148">
        <f>IF(N276="znížená",J276,0)</f>
        <v>0</v>
      </c>
      <c r="BG276" s="148">
        <f>IF(N276="zákl. prenesená",J276,0)</f>
        <v>0</v>
      </c>
      <c r="BH276" s="148">
        <f>IF(N276="zníž. prenesená",J276,0)</f>
        <v>0</v>
      </c>
      <c r="BI276" s="148">
        <f>IF(N276="nulová",J276,0)</f>
        <v>0</v>
      </c>
      <c r="BJ276" s="16" t="s">
        <v>120</v>
      </c>
      <c r="BK276" s="148">
        <f>ROUND(I276*H276,2)</f>
        <v>0</v>
      </c>
      <c r="BL276" s="16" t="s">
        <v>186</v>
      </c>
      <c r="BM276" s="147" t="s">
        <v>325</v>
      </c>
    </row>
    <row r="277" spans="1:65" s="2" customFormat="1" ht="24" customHeight="1" x14ac:dyDescent="0.2">
      <c r="A277" s="28"/>
      <c r="B277" s="135"/>
      <c r="C277" s="207">
        <v>62</v>
      </c>
      <c r="D277" s="164" t="s">
        <v>268</v>
      </c>
      <c r="E277" s="165" t="s">
        <v>327</v>
      </c>
      <c r="F277" s="166" t="s">
        <v>328</v>
      </c>
      <c r="G277" s="167" t="s">
        <v>146</v>
      </c>
      <c r="H277" s="168">
        <v>12</v>
      </c>
      <c r="I277" s="169"/>
      <c r="J277" s="169">
        <f>ROUND(I277*H277,2)</f>
        <v>0</v>
      </c>
      <c r="K277" s="170"/>
      <c r="L277" s="171"/>
      <c r="M277" s="172" t="s">
        <v>1</v>
      </c>
      <c r="N277" s="173" t="s">
        <v>38</v>
      </c>
      <c r="O277" s="145">
        <v>0</v>
      </c>
      <c r="P277" s="145">
        <f>O277*H277</f>
        <v>0</v>
      </c>
      <c r="Q277" s="145">
        <v>1E-3</v>
      </c>
      <c r="R277" s="145">
        <f>Q277*H277</f>
        <v>1.2E-2</v>
      </c>
      <c r="S277" s="145">
        <v>0</v>
      </c>
      <c r="T277" s="146">
        <f>S277*H277</f>
        <v>0</v>
      </c>
      <c r="U277" s="28"/>
      <c r="V277" s="179"/>
      <c r="W277" s="28"/>
      <c r="X277" s="28"/>
      <c r="Y277" s="28"/>
      <c r="Z277" s="28"/>
      <c r="AA277" s="28"/>
      <c r="AB277" s="28"/>
      <c r="AC277" s="28"/>
      <c r="AD277" s="28"/>
      <c r="AE277" s="28"/>
      <c r="AR277" s="147" t="s">
        <v>237</v>
      </c>
      <c r="AT277" s="147" t="s">
        <v>268</v>
      </c>
      <c r="AU277" s="147" t="s">
        <v>120</v>
      </c>
      <c r="AY277" s="16" t="s">
        <v>113</v>
      </c>
      <c r="BE277" s="148">
        <f>IF(N277="základná",J277,0)</f>
        <v>0</v>
      </c>
      <c r="BF277" s="148">
        <f>IF(N277="znížená",J277,0)</f>
        <v>0</v>
      </c>
      <c r="BG277" s="148">
        <f>IF(N277="zákl. prenesená",J277,0)</f>
        <v>0</v>
      </c>
      <c r="BH277" s="148">
        <f>IF(N277="zníž. prenesená",J277,0)</f>
        <v>0</v>
      </c>
      <c r="BI277" s="148">
        <f>IF(N277="nulová",J277,0)</f>
        <v>0</v>
      </c>
      <c r="BJ277" s="16" t="s">
        <v>120</v>
      </c>
      <c r="BK277" s="148">
        <f>ROUND(I277*H277,2)</f>
        <v>0</v>
      </c>
      <c r="BL277" s="16" t="s">
        <v>186</v>
      </c>
      <c r="BM277" s="147" t="s">
        <v>329</v>
      </c>
    </row>
    <row r="278" spans="1:65" s="2" customFormat="1" ht="24" customHeight="1" x14ac:dyDescent="0.2">
      <c r="A278" s="28"/>
      <c r="B278" s="135"/>
      <c r="C278" s="207">
        <v>63</v>
      </c>
      <c r="D278" s="164" t="s">
        <v>268</v>
      </c>
      <c r="E278" s="165" t="s">
        <v>330</v>
      </c>
      <c r="F278" s="166" t="s">
        <v>331</v>
      </c>
      <c r="G278" s="167" t="s">
        <v>146</v>
      </c>
      <c r="H278" s="168">
        <v>10</v>
      </c>
      <c r="I278" s="169"/>
      <c r="J278" s="169">
        <f>ROUND(I278*H278,2)</f>
        <v>0</v>
      </c>
      <c r="K278" s="170"/>
      <c r="L278" s="171"/>
      <c r="M278" s="172" t="s">
        <v>1</v>
      </c>
      <c r="N278" s="173" t="s">
        <v>38</v>
      </c>
      <c r="O278" s="145">
        <v>0</v>
      </c>
      <c r="P278" s="145">
        <f>O278*H278</f>
        <v>0</v>
      </c>
      <c r="Q278" s="145">
        <v>2.5000000000000001E-2</v>
      </c>
      <c r="R278" s="145">
        <f>Q278*H278</f>
        <v>0.25</v>
      </c>
      <c r="S278" s="145">
        <v>0</v>
      </c>
      <c r="T278" s="146">
        <f>S278*H278</f>
        <v>0</v>
      </c>
      <c r="U278" s="28"/>
      <c r="V278" s="179"/>
      <c r="W278" s="28"/>
      <c r="X278" s="28"/>
      <c r="Y278" s="28"/>
      <c r="Z278" s="28"/>
      <c r="AA278" s="28"/>
      <c r="AB278" s="28"/>
      <c r="AC278" s="28"/>
      <c r="AD278" s="28"/>
      <c r="AE278" s="28"/>
      <c r="AR278" s="147" t="s">
        <v>237</v>
      </c>
      <c r="AT278" s="147" t="s">
        <v>268</v>
      </c>
      <c r="AU278" s="147" t="s">
        <v>120</v>
      </c>
      <c r="AY278" s="16" t="s">
        <v>113</v>
      </c>
      <c r="BE278" s="148">
        <f>IF(N278="základná",J278,0)</f>
        <v>0</v>
      </c>
      <c r="BF278" s="148">
        <f>IF(N278="znížená",J278,0)</f>
        <v>0</v>
      </c>
      <c r="BG278" s="148">
        <f>IF(N278="zákl. prenesená",J278,0)</f>
        <v>0</v>
      </c>
      <c r="BH278" s="148">
        <f>IF(N278="zníž. prenesená",J278,0)</f>
        <v>0</v>
      </c>
      <c r="BI278" s="148">
        <f>IF(N278="nulová",J278,0)</f>
        <v>0</v>
      </c>
      <c r="BJ278" s="16" t="s">
        <v>120</v>
      </c>
      <c r="BK278" s="148">
        <f>ROUND(I278*H278,2)</f>
        <v>0</v>
      </c>
      <c r="BL278" s="16" t="s">
        <v>186</v>
      </c>
      <c r="BM278" s="147" t="s">
        <v>332</v>
      </c>
    </row>
    <row r="279" spans="1:65" s="2" customFormat="1" ht="24" customHeight="1" x14ac:dyDescent="0.2">
      <c r="A279" s="187"/>
      <c r="B279" s="135"/>
      <c r="C279" s="207">
        <v>64</v>
      </c>
      <c r="D279" s="164" t="s">
        <v>268</v>
      </c>
      <c r="E279" s="165" t="s">
        <v>460</v>
      </c>
      <c r="F279" s="166" t="s">
        <v>461</v>
      </c>
      <c r="G279" s="167" t="s">
        <v>146</v>
      </c>
      <c r="H279" s="168">
        <v>2</v>
      </c>
      <c r="I279" s="169"/>
      <c r="J279" s="169">
        <f>ROUND(I279*H279,2)</f>
        <v>0</v>
      </c>
      <c r="K279" s="170"/>
      <c r="L279" s="171"/>
      <c r="M279" s="172" t="s">
        <v>1</v>
      </c>
      <c r="N279" s="173" t="s">
        <v>38</v>
      </c>
      <c r="O279" s="145">
        <v>0</v>
      </c>
      <c r="P279" s="145">
        <f>O279*H279</f>
        <v>0</v>
      </c>
      <c r="Q279" s="145">
        <v>2.5000000000000001E-2</v>
      </c>
      <c r="R279" s="145">
        <f>Q279*H279</f>
        <v>0.05</v>
      </c>
      <c r="S279" s="145">
        <v>0</v>
      </c>
      <c r="T279" s="146">
        <f>S279*H279</f>
        <v>0</v>
      </c>
      <c r="U279" s="187"/>
      <c r="V279" s="179"/>
      <c r="W279" s="187"/>
      <c r="X279" s="187"/>
      <c r="Y279" s="187"/>
      <c r="Z279" s="187"/>
      <c r="AA279" s="187"/>
      <c r="AB279" s="187"/>
      <c r="AC279" s="187"/>
      <c r="AD279" s="187"/>
      <c r="AE279" s="187"/>
      <c r="AR279" s="147" t="s">
        <v>237</v>
      </c>
      <c r="AT279" s="147" t="s">
        <v>268</v>
      </c>
      <c r="AU279" s="147" t="s">
        <v>120</v>
      </c>
      <c r="AY279" s="16" t="s">
        <v>113</v>
      </c>
      <c r="BE279" s="148">
        <f>IF(N279="základná",J279,0)</f>
        <v>0</v>
      </c>
      <c r="BF279" s="148">
        <f>IF(N279="znížená",J279,0)</f>
        <v>0</v>
      </c>
      <c r="BG279" s="148">
        <f>IF(N279="zákl. prenesená",J279,0)</f>
        <v>0</v>
      </c>
      <c r="BH279" s="148">
        <f>IF(N279="zníž. prenesená",J279,0)</f>
        <v>0</v>
      </c>
      <c r="BI279" s="148">
        <f>IF(N279="nulová",J279,0)</f>
        <v>0</v>
      </c>
      <c r="BJ279" s="16" t="s">
        <v>120</v>
      </c>
      <c r="BK279" s="148">
        <f>ROUND(I279*H279,2)</f>
        <v>0</v>
      </c>
      <c r="BL279" s="16" t="s">
        <v>186</v>
      </c>
      <c r="BM279" s="147" t="s">
        <v>332</v>
      </c>
    </row>
    <row r="280" spans="1:65" s="2" customFormat="1" ht="24" customHeight="1" x14ac:dyDescent="0.2">
      <c r="A280" s="28"/>
      <c r="B280" s="135"/>
      <c r="C280" s="203">
        <v>65</v>
      </c>
      <c r="D280" s="136" t="s">
        <v>115</v>
      </c>
      <c r="E280" s="137" t="s">
        <v>333</v>
      </c>
      <c r="F280" s="138" t="s">
        <v>334</v>
      </c>
      <c r="G280" s="139" t="s">
        <v>146</v>
      </c>
      <c r="H280" s="140">
        <v>9</v>
      </c>
      <c r="I280" s="141"/>
      <c r="J280" s="141">
        <f>ROUND(I280*H280,2)</f>
        <v>0</v>
      </c>
      <c r="K280" s="142"/>
      <c r="L280" s="29"/>
      <c r="M280" s="143" t="s">
        <v>1</v>
      </c>
      <c r="N280" s="144" t="s">
        <v>38</v>
      </c>
      <c r="O280" s="145">
        <v>0.46184999999999998</v>
      </c>
      <c r="P280" s="145">
        <f>O280*H280</f>
        <v>4.15665</v>
      </c>
      <c r="Q280" s="145">
        <v>2.5999999999999998E-4</v>
      </c>
      <c r="R280" s="145">
        <f>Q280*H280</f>
        <v>2.3399999999999996E-3</v>
      </c>
      <c r="S280" s="145">
        <v>0</v>
      </c>
      <c r="T280" s="146">
        <f>S280*H280</f>
        <v>0</v>
      </c>
      <c r="U280" s="28"/>
      <c r="V280" s="179"/>
      <c r="W280" s="28"/>
      <c r="X280" s="28"/>
      <c r="Y280" s="28"/>
      <c r="Z280" s="28"/>
      <c r="AA280" s="28"/>
      <c r="AB280" s="28"/>
      <c r="AC280" s="28"/>
      <c r="AD280" s="28"/>
      <c r="AE280" s="28"/>
      <c r="AR280" s="147" t="s">
        <v>186</v>
      </c>
      <c r="AT280" s="147" t="s">
        <v>115</v>
      </c>
      <c r="AU280" s="147" t="s">
        <v>120</v>
      </c>
      <c r="AY280" s="16" t="s">
        <v>113</v>
      </c>
      <c r="BE280" s="148">
        <f>IF(N280="základná",J280,0)</f>
        <v>0</v>
      </c>
      <c r="BF280" s="148">
        <f>IF(N280="znížená",J280,0)</f>
        <v>0</v>
      </c>
      <c r="BG280" s="148">
        <f>IF(N280="zákl. prenesená",J280,0)</f>
        <v>0</v>
      </c>
      <c r="BH280" s="148">
        <f>IF(N280="zníž. prenesená",J280,0)</f>
        <v>0</v>
      </c>
      <c r="BI280" s="148">
        <f>IF(N280="nulová",J280,0)</f>
        <v>0</v>
      </c>
      <c r="BJ280" s="16" t="s">
        <v>120</v>
      </c>
      <c r="BK280" s="148">
        <f>ROUND(I280*H280,2)</f>
        <v>0</v>
      </c>
      <c r="BL280" s="16" t="s">
        <v>186</v>
      </c>
      <c r="BM280" s="147" t="s">
        <v>335</v>
      </c>
    </row>
    <row r="281" spans="1:65" s="13" customFormat="1" x14ac:dyDescent="0.2">
      <c r="B281" s="149"/>
      <c r="C281" s="204"/>
      <c r="D281" s="150" t="s">
        <v>122</v>
      </c>
      <c r="E281" s="151" t="s">
        <v>1</v>
      </c>
      <c r="F281" s="152">
        <v>3</v>
      </c>
      <c r="H281" s="153">
        <v>3</v>
      </c>
      <c r="L281" s="149"/>
      <c r="M281" s="154"/>
      <c r="N281" s="155"/>
      <c r="O281" s="155"/>
      <c r="P281" s="155"/>
      <c r="Q281" s="155"/>
      <c r="R281" s="155"/>
      <c r="S281" s="155"/>
      <c r="T281" s="156"/>
      <c r="V281" s="185"/>
      <c r="AT281" s="151" t="s">
        <v>122</v>
      </c>
      <c r="AU281" s="151" t="s">
        <v>120</v>
      </c>
      <c r="AV281" s="13" t="s">
        <v>120</v>
      </c>
      <c r="AW281" s="13" t="s">
        <v>28</v>
      </c>
      <c r="AX281" s="13" t="s">
        <v>72</v>
      </c>
      <c r="AY281" s="151" t="s">
        <v>113</v>
      </c>
    </row>
    <row r="282" spans="1:65" s="13" customFormat="1" x14ac:dyDescent="0.2">
      <c r="B282" s="149"/>
      <c r="C282" s="204"/>
      <c r="D282" s="150" t="s">
        <v>122</v>
      </c>
      <c r="E282" s="151" t="s">
        <v>1</v>
      </c>
      <c r="F282" s="152">
        <v>3</v>
      </c>
      <c r="H282" s="153">
        <v>3</v>
      </c>
      <c r="L282" s="149"/>
      <c r="M282" s="154"/>
      <c r="N282" s="155"/>
      <c r="O282" s="155"/>
      <c r="P282" s="155"/>
      <c r="Q282" s="155"/>
      <c r="R282" s="155"/>
      <c r="S282" s="155"/>
      <c r="T282" s="156"/>
      <c r="V282" s="185"/>
      <c r="AT282" s="151" t="s">
        <v>122</v>
      </c>
      <c r="AU282" s="151" t="s">
        <v>120</v>
      </c>
      <c r="AV282" s="13" t="s">
        <v>120</v>
      </c>
      <c r="AW282" s="13" t="s">
        <v>28</v>
      </c>
      <c r="AX282" s="13" t="s">
        <v>72</v>
      </c>
      <c r="AY282" s="151" t="s">
        <v>113</v>
      </c>
    </row>
    <row r="283" spans="1:65" s="13" customFormat="1" x14ac:dyDescent="0.2">
      <c r="B283" s="149"/>
      <c r="C283" s="204"/>
      <c r="D283" s="150" t="s">
        <v>122</v>
      </c>
      <c r="E283" s="151" t="s">
        <v>1</v>
      </c>
      <c r="F283" s="152">
        <v>2</v>
      </c>
      <c r="H283" s="153">
        <v>2</v>
      </c>
      <c r="L283" s="149"/>
      <c r="M283" s="154"/>
      <c r="N283" s="155"/>
      <c r="O283" s="155"/>
      <c r="P283" s="155"/>
      <c r="Q283" s="155"/>
      <c r="R283" s="155"/>
      <c r="S283" s="155"/>
      <c r="T283" s="156"/>
      <c r="V283" s="185"/>
      <c r="AT283" s="151" t="s">
        <v>122</v>
      </c>
      <c r="AU283" s="151" t="s">
        <v>120</v>
      </c>
      <c r="AV283" s="13" t="s">
        <v>120</v>
      </c>
      <c r="AW283" s="13" t="s">
        <v>28</v>
      </c>
      <c r="AX283" s="13" t="s">
        <v>72</v>
      </c>
      <c r="AY283" s="151" t="s">
        <v>113</v>
      </c>
    </row>
    <row r="284" spans="1:65" s="13" customFormat="1" x14ac:dyDescent="0.2">
      <c r="B284" s="149"/>
      <c r="C284" s="204"/>
      <c r="D284" s="150" t="s">
        <v>122</v>
      </c>
      <c r="E284" s="151" t="s">
        <v>1</v>
      </c>
      <c r="F284" s="152">
        <v>1</v>
      </c>
      <c r="H284" s="153">
        <v>1</v>
      </c>
      <c r="L284" s="149"/>
      <c r="M284" s="154"/>
      <c r="N284" s="155"/>
      <c r="O284" s="155"/>
      <c r="P284" s="155"/>
      <c r="Q284" s="155"/>
      <c r="R284" s="155"/>
      <c r="S284" s="155"/>
      <c r="T284" s="156"/>
      <c r="V284" s="185"/>
      <c r="AT284" s="151" t="s">
        <v>122</v>
      </c>
      <c r="AU284" s="151" t="s">
        <v>120</v>
      </c>
      <c r="AV284" s="13" t="s">
        <v>120</v>
      </c>
      <c r="AW284" s="13" t="s">
        <v>28</v>
      </c>
      <c r="AX284" s="13" t="s">
        <v>72</v>
      </c>
      <c r="AY284" s="151" t="s">
        <v>113</v>
      </c>
    </row>
    <row r="285" spans="1:65" s="14" customFormat="1" x14ac:dyDescent="0.2">
      <c r="B285" s="157"/>
      <c r="C285" s="205"/>
      <c r="D285" s="150" t="s">
        <v>122</v>
      </c>
      <c r="E285" s="158" t="s">
        <v>1</v>
      </c>
      <c r="F285" s="159" t="s">
        <v>128</v>
      </c>
      <c r="H285" s="160">
        <v>9</v>
      </c>
      <c r="L285" s="157"/>
      <c r="M285" s="161"/>
      <c r="N285" s="162"/>
      <c r="O285" s="162"/>
      <c r="P285" s="162"/>
      <c r="Q285" s="162"/>
      <c r="R285" s="162"/>
      <c r="S285" s="162"/>
      <c r="T285" s="163"/>
      <c r="V285" s="186"/>
      <c r="AT285" s="158" t="s">
        <v>122</v>
      </c>
      <c r="AU285" s="158" t="s">
        <v>120</v>
      </c>
      <c r="AV285" s="14" t="s">
        <v>119</v>
      </c>
      <c r="AW285" s="14" t="s">
        <v>28</v>
      </c>
      <c r="AX285" s="14" t="s">
        <v>77</v>
      </c>
      <c r="AY285" s="158" t="s">
        <v>113</v>
      </c>
    </row>
    <row r="286" spans="1:65" s="2" customFormat="1" ht="36" customHeight="1" x14ac:dyDescent="0.2">
      <c r="A286" s="28"/>
      <c r="B286" s="135"/>
      <c r="C286" s="207">
        <v>66</v>
      </c>
      <c r="D286" s="164" t="s">
        <v>268</v>
      </c>
      <c r="E286" s="165" t="s">
        <v>336</v>
      </c>
      <c r="F286" s="166" t="s">
        <v>337</v>
      </c>
      <c r="G286" s="167" t="s">
        <v>151</v>
      </c>
      <c r="H286" s="168">
        <v>11.66</v>
      </c>
      <c r="I286" s="169"/>
      <c r="J286" s="169">
        <f>ROUND(I286*H286,2)</f>
        <v>0</v>
      </c>
      <c r="K286" s="170"/>
      <c r="L286" s="171"/>
      <c r="M286" s="172" t="s">
        <v>1</v>
      </c>
      <c r="N286" s="173" t="s">
        <v>38</v>
      </c>
      <c r="O286" s="145">
        <v>0</v>
      </c>
      <c r="P286" s="145">
        <f>O286*H286</f>
        <v>0</v>
      </c>
      <c r="Q286" s="145">
        <v>1.14E-3</v>
      </c>
      <c r="R286" s="145">
        <f>Q286*H286</f>
        <v>1.3292399999999999E-2</v>
      </c>
      <c r="S286" s="145">
        <v>0</v>
      </c>
      <c r="T286" s="146">
        <f>S286*H286</f>
        <v>0</v>
      </c>
      <c r="U286" s="28"/>
      <c r="V286" s="179"/>
      <c r="W286" s="28"/>
      <c r="X286" s="28"/>
      <c r="Y286" s="28"/>
      <c r="Z286" s="28"/>
      <c r="AA286" s="28"/>
      <c r="AB286" s="28"/>
      <c r="AC286" s="28"/>
      <c r="AD286" s="28"/>
      <c r="AE286" s="28"/>
      <c r="AR286" s="147" t="s">
        <v>237</v>
      </c>
      <c r="AT286" s="147" t="s">
        <v>268</v>
      </c>
      <c r="AU286" s="147" t="s">
        <v>120</v>
      </c>
      <c r="AY286" s="16" t="s">
        <v>113</v>
      </c>
      <c r="BE286" s="148">
        <f>IF(N286="základná",J286,0)</f>
        <v>0</v>
      </c>
      <c r="BF286" s="148">
        <f>IF(N286="znížená",J286,0)</f>
        <v>0</v>
      </c>
      <c r="BG286" s="148">
        <f>IF(N286="zákl. prenesená",J286,0)</f>
        <v>0</v>
      </c>
      <c r="BH286" s="148">
        <f>IF(N286="zníž. prenesená",J286,0)</f>
        <v>0</v>
      </c>
      <c r="BI286" s="148">
        <f>IF(N286="nulová",J286,0)</f>
        <v>0</v>
      </c>
      <c r="BJ286" s="16" t="s">
        <v>120</v>
      </c>
      <c r="BK286" s="148">
        <f>ROUND(I286*H286,2)</f>
        <v>0</v>
      </c>
      <c r="BL286" s="16" t="s">
        <v>186</v>
      </c>
      <c r="BM286" s="147" t="s">
        <v>338</v>
      </c>
    </row>
    <row r="287" spans="1:65" s="13" customFormat="1" x14ac:dyDescent="0.2">
      <c r="B287" s="149"/>
      <c r="C287" s="204"/>
      <c r="D287" s="150" t="s">
        <v>122</v>
      </c>
      <c r="F287" s="152" t="s">
        <v>453</v>
      </c>
      <c r="H287" s="153">
        <v>11.66</v>
      </c>
      <c r="L287" s="149"/>
      <c r="M287" s="154"/>
      <c r="N287" s="155"/>
      <c r="O287" s="155"/>
      <c r="P287" s="155"/>
      <c r="Q287" s="155"/>
      <c r="R287" s="155"/>
      <c r="S287" s="155"/>
      <c r="T287" s="156"/>
      <c r="V287" s="185"/>
      <c r="AT287" s="151" t="s">
        <v>122</v>
      </c>
      <c r="AU287" s="151" t="s">
        <v>120</v>
      </c>
      <c r="AV287" s="13" t="s">
        <v>120</v>
      </c>
      <c r="AW287" s="13" t="s">
        <v>3</v>
      </c>
      <c r="AX287" s="13" t="s">
        <v>77</v>
      </c>
      <c r="AY287" s="151" t="s">
        <v>113</v>
      </c>
    </row>
    <row r="288" spans="1:65" s="2" customFormat="1" ht="36" customHeight="1" x14ac:dyDescent="0.2">
      <c r="A288" s="28"/>
      <c r="B288" s="135"/>
      <c r="C288" s="207">
        <v>67</v>
      </c>
      <c r="D288" s="164" t="s">
        <v>268</v>
      </c>
      <c r="E288" s="165" t="s">
        <v>339</v>
      </c>
      <c r="F288" s="166" t="s">
        <v>340</v>
      </c>
      <c r="G288" s="167" t="s">
        <v>146</v>
      </c>
      <c r="H288" s="168">
        <v>8</v>
      </c>
      <c r="I288" s="169"/>
      <c r="J288" s="169">
        <f>ROUND(I288*H288,2)</f>
        <v>0</v>
      </c>
      <c r="K288" s="170"/>
      <c r="L288" s="171"/>
      <c r="M288" s="172" t="s">
        <v>1</v>
      </c>
      <c r="N288" s="173" t="s">
        <v>38</v>
      </c>
      <c r="O288" s="145">
        <v>0</v>
      </c>
      <c r="P288" s="145">
        <f>O288*H288</f>
        <v>0</v>
      </c>
      <c r="Q288" s="145">
        <v>1E-4</v>
      </c>
      <c r="R288" s="145">
        <f>Q288*H288</f>
        <v>8.0000000000000004E-4</v>
      </c>
      <c r="S288" s="145">
        <v>0</v>
      </c>
      <c r="T288" s="146">
        <f>S288*H288</f>
        <v>0</v>
      </c>
      <c r="U288" s="28"/>
      <c r="V288" s="179"/>
      <c r="W288" s="28"/>
      <c r="X288" s="28"/>
      <c r="Y288" s="28"/>
      <c r="Z288" s="28"/>
      <c r="AA288" s="28"/>
      <c r="AB288" s="28"/>
      <c r="AC288" s="28"/>
      <c r="AD288" s="28"/>
      <c r="AE288" s="28"/>
      <c r="AR288" s="147" t="s">
        <v>237</v>
      </c>
      <c r="AT288" s="147" t="s">
        <v>268</v>
      </c>
      <c r="AU288" s="147" t="s">
        <v>120</v>
      </c>
      <c r="AY288" s="16" t="s">
        <v>113</v>
      </c>
      <c r="BE288" s="148">
        <f>IF(N288="základná",J288,0)</f>
        <v>0</v>
      </c>
      <c r="BF288" s="148">
        <f>IF(N288="znížená",J288,0)</f>
        <v>0</v>
      </c>
      <c r="BG288" s="148">
        <f>IF(N288="zákl. prenesená",J288,0)</f>
        <v>0</v>
      </c>
      <c r="BH288" s="148">
        <f>IF(N288="zníž. prenesená",J288,0)</f>
        <v>0</v>
      </c>
      <c r="BI288" s="148">
        <f>IF(N288="nulová",J288,0)</f>
        <v>0</v>
      </c>
      <c r="BJ288" s="16" t="s">
        <v>120</v>
      </c>
      <c r="BK288" s="148">
        <f>ROUND(I288*H288,2)</f>
        <v>0</v>
      </c>
      <c r="BL288" s="16" t="s">
        <v>186</v>
      </c>
      <c r="BM288" s="147" t="s">
        <v>341</v>
      </c>
    </row>
    <row r="289" spans="1:65" s="2" customFormat="1" ht="24" customHeight="1" x14ac:dyDescent="0.2">
      <c r="A289" s="28"/>
      <c r="B289" s="135"/>
      <c r="C289" s="203">
        <v>68</v>
      </c>
      <c r="D289" s="136" t="s">
        <v>115</v>
      </c>
      <c r="E289" s="137" t="s">
        <v>342</v>
      </c>
      <c r="F289" s="138" t="s">
        <v>343</v>
      </c>
      <c r="G289" s="139" t="s">
        <v>146</v>
      </c>
      <c r="H289" s="140">
        <v>8</v>
      </c>
      <c r="I289" s="141"/>
      <c r="J289" s="141">
        <f>ROUND(I289*H289,2)</f>
        <v>0</v>
      </c>
      <c r="K289" s="142"/>
      <c r="L289" s="29"/>
      <c r="M289" s="143" t="s">
        <v>1</v>
      </c>
      <c r="N289" s="144" t="s">
        <v>38</v>
      </c>
      <c r="O289" s="145">
        <v>0.15</v>
      </c>
      <c r="P289" s="145">
        <f>O289*H289</f>
        <v>1.2</v>
      </c>
      <c r="Q289" s="145">
        <v>0</v>
      </c>
      <c r="R289" s="145">
        <f>Q289*H289</f>
        <v>0</v>
      </c>
      <c r="S289" s="145">
        <v>6.0000000000000001E-3</v>
      </c>
      <c r="T289" s="146">
        <f>S289*H289</f>
        <v>4.8000000000000001E-2</v>
      </c>
      <c r="U289" s="28"/>
      <c r="V289" s="179"/>
      <c r="W289" s="28"/>
      <c r="X289" s="28"/>
      <c r="Y289" s="28"/>
      <c r="Z289" s="28"/>
      <c r="AA289" s="28"/>
      <c r="AB289" s="28"/>
      <c r="AC289" s="28"/>
      <c r="AD289" s="28"/>
      <c r="AE289" s="28"/>
      <c r="AR289" s="147" t="s">
        <v>186</v>
      </c>
      <c r="AT289" s="147" t="s">
        <v>115</v>
      </c>
      <c r="AU289" s="147" t="s">
        <v>120</v>
      </c>
      <c r="AY289" s="16" t="s">
        <v>113</v>
      </c>
      <c r="BE289" s="148">
        <f>IF(N289="základná",J289,0)</f>
        <v>0</v>
      </c>
      <c r="BF289" s="148">
        <f>IF(N289="znížená",J289,0)</f>
        <v>0</v>
      </c>
      <c r="BG289" s="148">
        <f>IF(N289="zákl. prenesená",J289,0)</f>
        <v>0</v>
      </c>
      <c r="BH289" s="148">
        <f>IF(N289="zníž. prenesená",J289,0)</f>
        <v>0</v>
      </c>
      <c r="BI289" s="148">
        <f>IF(N289="nulová",J289,0)</f>
        <v>0</v>
      </c>
      <c r="BJ289" s="16" t="s">
        <v>120</v>
      </c>
      <c r="BK289" s="148">
        <f>ROUND(I289*H289,2)</f>
        <v>0</v>
      </c>
      <c r="BL289" s="16" t="s">
        <v>186</v>
      </c>
      <c r="BM289" s="147" t="s">
        <v>344</v>
      </c>
    </row>
    <row r="290" spans="1:65" s="2" customFormat="1" ht="16.5" customHeight="1" x14ac:dyDescent="0.2">
      <c r="A290" s="28"/>
      <c r="B290" s="135"/>
      <c r="C290" s="203">
        <v>69</v>
      </c>
      <c r="D290" s="136" t="s">
        <v>115</v>
      </c>
      <c r="E290" s="137" t="s">
        <v>345</v>
      </c>
      <c r="F290" s="138" t="s">
        <v>346</v>
      </c>
      <c r="G290" s="139" t="s">
        <v>146</v>
      </c>
      <c r="H290" s="140">
        <v>12</v>
      </c>
      <c r="I290" s="141"/>
      <c r="J290" s="141">
        <f>ROUND(I290*H290,2)</f>
        <v>0</v>
      </c>
      <c r="K290" s="142"/>
      <c r="L290" s="29"/>
      <c r="M290" s="143" t="s">
        <v>1</v>
      </c>
      <c r="N290" s="144" t="s">
        <v>38</v>
      </c>
      <c r="O290" s="145">
        <v>3.0437599999999998</v>
      </c>
      <c r="P290" s="145">
        <f>O290*H290</f>
        <v>36.525120000000001</v>
      </c>
      <c r="Q290" s="145">
        <v>4.4999999999999999E-4</v>
      </c>
      <c r="R290" s="145">
        <f>Q290*H290</f>
        <v>5.4000000000000003E-3</v>
      </c>
      <c r="S290" s="145">
        <v>0</v>
      </c>
      <c r="T290" s="146">
        <f>S290*H290</f>
        <v>0</v>
      </c>
      <c r="U290" s="28"/>
      <c r="V290" s="179"/>
      <c r="W290" s="28"/>
      <c r="X290" s="28"/>
      <c r="Y290" s="28"/>
      <c r="Z290" s="28"/>
      <c r="AA290" s="28"/>
      <c r="AB290" s="28"/>
      <c r="AC290" s="28"/>
      <c r="AD290" s="28"/>
      <c r="AE290" s="28"/>
      <c r="AR290" s="147" t="s">
        <v>186</v>
      </c>
      <c r="AT290" s="147" t="s">
        <v>115</v>
      </c>
      <c r="AU290" s="147" t="s">
        <v>120</v>
      </c>
      <c r="AY290" s="16" t="s">
        <v>113</v>
      </c>
      <c r="BE290" s="148">
        <f>IF(N290="základná",J290,0)</f>
        <v>0</v>
      </c>
      <c r="BF290" s="148">
        <f>IF(N290="znížená",J290,0)</f>
        <v>0</v>
      </c>
      <c r="BG290" s="148">
        <f>IF(N290="zákl. prenesená",J290,0)</f>
        <v>0</v>
      </c>
      <c r="BH290" s="148">
        <f>IF(N290="zníž. prenesená",J290,0)</f>
        <v>0</v>
      </c>
      <c r="BI290" s="148">
        <f>IF(N290="nulová",J290,0)</f>
        <v>0</v>
      </c>
      <c r="BJ290" s="16" t="s">
        <v>120</v>
      </c>
      <c r="BK290" s="148">
        <f>ROUND(I290*H290,2)</f>
        <v>0</v>
      </c>
      <c r="BL290" s="16" t="s">
        <v>186</v>
      </c>
      <c r="BM290" s="147" t="s">
        <v>347</v>
      </c>
    </row>
    <row r="291" spans="1:65" s="13" customFormat="1" x14ac:dyDescent="0.2">
      <c r="B291" s="149"/>
      <c r="D291" s="150" t="s">
        <v>122</v>
      </c>
      <c r="E291" s="151" t="s">
        <v>1</v>
      </c>
      <c r="F291" s="152">
        <v>5</v>
      </c>
      <c r="H291" s="153">
        <v>5</v>
      </c>
      <c r="L291" s="149"/>
      <c r="M291" s="154"/>
      <c r="N291" s="155"/>
      <c r="O291" s="155"/>
      <c r="P291" s="155"/>
      <c r="Q291" s="155"/>
      <c r="R291" s="155"/>
      <c r="S291" s="155"/>
      <c r="T291" s="156"/>
      <c r="V291" s="185"/>
      <c r="AT291" s="151" t="s">
        <v>122</v>
      </c>
      <c r="AU291" s="151" t="s">
        <v>120</v>
      </c>
      <c r="AV291" s="13" t="s">
        <v>120</v>
      </c>
      <c r="AW291" s="13" t="s">
        <v>28</v>
      </c>
      <c r="AX291" s="13" t="s">
        <v>72</v>
      </c>
      <c r="AY291" s="151" t="s">
        <v>113</v>
      </c>
    </row>
    <row r="292" spans="1:65" s="13" customFormat="1" x14ac:dyDescent="0.2">
      <c r="B292" s="149"/>
      <c r="D292" s="150" t="s">
        <v>122</v>
      </c>
      <c r="E292" s="151" t="s">
        <v>1</v>
      </c>
      <c r="F292" s="152" t="s">
        <v>77</v>
      </c>
      <c r="H292" s="153">
        <v>1</v>
      </c>
      <c r="L292" s="149"/>
      <c r="M292" s="154"/>
      <c r="N292" s="155"/>
      <c r="O292" s="155"/>
      <c r="P292" s="155"/>
      <c r="Q292" s="155"/>
      <c r="R292" s="155"/>
      <c r="S292" s="155"/>
      <c r="T292" s="156"/>
      <c r="V292" s="185"/>
      <c r="AT292" s="151" t="s">
        <v>122</v>
      </c>
      <c r="AU292" s="151" t="s">
        <v>120</v>
      </c>
      <c r="AV292" s="13" t="s">
        <v>120</v>
      </c>
      <c r="AW292" s="13" t="s">
        <v>28</v>
      </c>
      <c r="AX292" s="13" t="s">
        <v>72</v>
      </c>
      <c r="AY292" s="151" t="s">
        <v>113</v>
      </c>
    </row>
    <row r="293" spans="1:65" s="13" customFormat="1" x14ac:dyDescent="0.2">
      <c r="B293" s="149"/>
      <c r="D293" s="150" t="s">
        <v>122</v>
      </c>
      <c r="E293" s="151" t="s">
        <v>1</v>
      </c>
      <c r="F293" s="152">
        <v>4</v>
      </c>
      <c r="H293" s="153">
        <v>4</v>
      </c>
      <c r="L293" s="149"/>
      <c r="M293" s="154"/>
      <c r="N293" s="155"/>
      <c r="O293" s="155"/>
      <c r="P293" s="155"/>
      <c r="Q293" s="155"/>
      <c r="R293" s="155"/>
      <c r="S293" s="155"/>
      <c r="T293" s="156"/>
      <c r="V293" s="185"/>
      <c r="AT293" s="151" t="s">
        <v>122</v>
      </c>
      <c r="AU293" s="151" t="s">
        <v>120</v>
      </c>
      <c r="AV293" s="13" t="s">
        <v>120</v>
      </c>
      <c r="AW293" s="13" t="s">
        <v>28</v>
      </c>
      <c r="AX293" s="13" t="s">
        <v>72</v>
      </c>
      <c r="AY293" s="151" t="s">
        <v>113</v>
      </c>
    </row>
    <row r="294" spans="1:65" s="13" customFormat="1" x14ac:dyDescent="0.2">
      <c r="B294" s="149"/>
      <c r="D294" s="150" t="s">
        <v>122</v>
      </c>
      <c r="E294" s="151" t="s">
        <v>1</v>
      </c>
      <c r="F294" s="152">
        <v>1</v>
      </c>
      <c r="H294" s="153">
        <v>1</v>
      </c>
      <c r="L294" s="149"/>
      <c r="M294" s="154"/>
      <c r="N294" s="155"/>
      <c r="O294" s="155"/>
      <c r="P294" s="155"/>
      <c r="Q294" s="155"/>
      <c r="R294" s="155"/>
      <c r="S294" s="155"/>
      <c r="T294" s="156"/>
      <c r="V294" s="185"/>
      <c r="AT294" s="151" t="s">
        <v>122</v>
      </c>
      <c r="AU294" s="151" t="s">
        <v>120</v>
      </c>
      <c r="AV294" s="13" t="s">
        <v>120</v>
      </c>
      <c r="AW294" s="13" t="s">
        <v>28</v>
      </c>
      <c r="AX294" s="13" t="s">
        <v>72</v>
      </c>
      <c r="AY294" s="151" t="s">
        <v>113</v>
      </c>
    </row>
    <row r="295" spans="1:65" s="13" customFormat="1" x14ac:dyDescent="0.2">
      <c r="B295" s="149"/>
      <c r="D295" s="150" t="s">
        <v>122</v>
      </c>
      <c r="E295" s="151" t="s">
        <v>1</v>
      </c>
      <c r="F295" s="152" t="s">
        <v>77</v>
      </c>
      <c r="H295" s="153">
        <v>1</v>
      </c>
      <c r="L295" s="149"/>
      <c r="M295" s="154"/>
      <c r="N295" s="155"/>
      <c r="O295" s="155"/>
      <c r="P295" s="155"/>
      <c r="Q295" s="155"/>
      <c r="R295" s="155"/>
      <c r="S295" s="155"/>
      <c r="T295" s="156"/>
      <c r="V295" s="185"/>
      <c r="AT295" s="151" t="s">
        <v>122</v>
      </c>
      <c r="AU295" s="151" t="s">
        <v>120</v>
      </c>
      <c r="AV295" s="13" t="s">
        <v>120</v>
      </c>
      <c r="AW295" s="13" t="s">
        <v>28</v>
      </c>
      <c r="AX295" s="13" t="s">
        <v>72</v>
      </c>
      <c r="AY295" s="151" t="s">
        <v>113</v>
      </c>
    </row>
    <row r="296" spans="1:65" s="14" customFormat="1" x14ac:dyDescent="0.2">
      <c r="B296" s="157"/>
      <c r="D296" s="150" t="s">
        <v>122</v>
      </c>
      <c r="E296" s="158" t="s">
        <v>1</v>
      </c>
      <c r="F296" s="159" t="s">
        <v>128</v>
      </c>
      <c r="H296" s="160">
        <f>SUM(H291:H295)</f>
        <v>12</v>
      </c>
      <c r="L296" s="157"/>
      <c r="M296" s="161"/>
      <c r="N296" s="162"/>
      <c r="O296" s="162"/>
      <c r="P296" s="162"/>
      <c r="Q296" s="162"/>
      <c r="R296" s="162"/>
      <c r="S296" s="162"/>
      <c r="T296" s="163"/>
      <c r="V296" s="186"/>
      <c r="AT296" s="158" t="s">
        <v>122</v>
      </c>
      <c r="AU296" s="158" t="s">
        <v>120</v>
      </c>
      <c r="AV296" s="14" t="s">
        <v>119</v>
      </c>
      <c r="AW296" s="14" t="s">
        <v>28</v>
      </c>
      <c r="AX296" s="14" t="s">
        <v>77</v>
      </c>
      <c r="AY296" s="158" t="s">
        <v>113</v>
      </c>
    </row>
    <row r="297" spans="1:65" s="2" customFormat="1" ht="48" customHeight="1" x14ac:dyDescent="0.2">
      <c r="A297" s="28"/>
      <c r="B297" s="135"/>
      <c r="C297" s="207">
        <v>70</v>
      </c>
      <c r="D297" s="164" t="s">
        <v>268</v>
      </c>
      <c r="E297" s="165" t="s">
        <v>348</v>
      </c>
      <c r="F297" s="166" t="s">
        <v>349</v>
      </c>
      <c r="G297" s="167" t="s">
        <v>146</v>
      </c>
      <c r="H297" s="168">
        <v>12</v>
      </c>
      <c r="I297" s="169"/>
      <c r="J297" s="169">
        <f>ROUND(I297*H297,2)</f>
        <v>0</v>
      </c>
      <c r="K297" s="170"/>
      <c r="L297" s="171"/>
      <c r="M297" s="172" t="s">
        <v>1</v>
      </c>
      <c r="N297" s="173" t="s">
        <v>38</v>
      </c>
      <c r="O297" s="145">
        <v>0</v>
      </c>
      <c r="P297" s="145">
        <f>O297*H297</f>
        <v>0</v>
      </c>
      <c r="Q297" s="145">
        <v>1.4999999999999999E-2</v>
      </c>
      <c r="R297" s="145">
        <f>Q297*H297</f>
        <v>0.18</v>
      </c>
      <c r="S297" s="145">
        <v>0</v>
      </c>
      <c r="T297" s="146">
        <f>S297*H297</f>
        <v>0</v>
      </c>
      <c r="U297" s="28"/>
      <c r="V297" s="179"/>
      <c r="W297" s="28"/>
      <c r="X297" s="28"/>
      <c r="Y297" s="28"/>
      <c r="Z297" s="28"/>
      <c r="AA297" s="28"/>
      <c r="AB297" s="28"/>
      <c r="AC297" s="28"/>
      <c r="AD297" s="28"/>
      <c r="AE297" s="28"/>
      <c r="AR297" s="147" t="s">
        <v>237</v>
      </c>
      <c r="AT297" s="147" t="s">
        <v>268</v>
      </c>
      <c r="AU297" s="147" t="s">
        <v>120</v>
      </c>
      <c r="AY297" s="16" t="s">
        <v>113</v>
      </c>
      <c r="BE297" s="148">
        <f>IF(N297="základná",J297,0)</f>
        <v>0</v>
      </c>
      <c r="BF297" s="148">
        <f>IF(N297="znížená",J297,0)</f>
        <v>0</v>
      </c>
      <c r="BG297" s="148">
        <f>IF(N297="zákl. prenesená",J297,0)</f>
        <v>0</v>
      </c>
      <c r="BH297" s="148">
        <f>IF(N297="zníž. prenesená",J297,0)</f>
        <v>0</v>
      </c>
      <c r="BI297" s="148">
        <f>IF(N297="nulová",J297,0)</f>
        <v>0</v>
      </c>
      <c r="BJ297" s="16" t="s">
        <v>120</v>
      </c>
      <c r="BK297" s="148">
        <f>ROUND(I297*H297,2)</f>
        <v>0</v>
      </c>
      <c r="BL297" s="16" t="s">
        <v>186</v>
      </c>
      <c r="BM297" s="147" t="s">
        <v>350</v>
      </c>
    </row>
    <row r="298" spans="1:65" s="2" customFormat="1" ht="24" customHeight="1" x14ac:dyDescent="0.2">
      <c r="A298" s="28"/>
      <c r="B298" s="135"/>
      <c r="C298" s="203">
        <v>71</v>
      </c>
      <c r="D298" s="136" t="s">
        <v>115</v>
      </c>
      <c r="E298" s="137" t="s">
        <v>351</v>
      </c>
      <c r="F298" s="138" t="s">
        <v>352</v>
      </c>
      <c r="G298" s="139" t="s">
        <v>229</v>
      </c>
      <c r="H298" s="140">
        <v>1.958</v>
      </c>
      <c r="I298" s="141"/>
      <c r="J298" s="141">
        <f>ROUND(I298*H298,2)</f>
        <v>0</v>
      </c>
      <c r="K298" s="142"/>
      <c r="L298" s="29"/>
      <c r="M298" s="143" t="s">
        <v>1</v>
      </c>
      <c r="N298" s="144" t="s">
        <v>38</v>
      </c>
      <c r="O298" s="145">
        <v>2.133</v>
      </c>
      <c r="P298" s="145">
        <f>O298*H298</f>
        <v>4.1764140000000003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U298" s="28"/>
      <c r="V298" s="179"/>
      <c r="W298" s="28"/>
      <c r="X298" s="28"/>
      <c r="Y298" s="28"/>
      <c r="Z298" s="28"/>
      <c r="AA298" s="28"/>
      <c r="AB298" s="28"/>
      <c r="AC298" s="28"/>
      <c r="AD298" s="28"/>
      <c r="AE298" s="28"/>
      <c r="AR298" s="147" t="s">
        <v>186</v>
      </c>
      <c r="AT298" s="147" t="s">
        <v>115</v>
      </c>
      <c r="AU298" s="147" t="s">
        <v>120</v>
      </c>
      <c r="AY298" s="16" t="s">
        <v>113</v>
      </c>
      <c r="BE298" s="148">
        <f>IF(N298="základná",J298,0)</f>
        <v>0</v>
      </c>
      <c r="BF298" s="148">
        <f>IF(N298="znížená",J298,0)</f>
        <v>0</v>
      </c>
      <c r="BG298" s="148">
        <f>IF(N298="zákl. prenesená",J298,0)</f>
        <v>0</v>
      </c>
      <c r="BH298" s="148">
        <f>IF(N298="zníž. prenesená",J298,0)</f>
        <v>0</v>
      </c>
      <c r="BI298" s="148">
        <f>IF(N298="nulová",J298,0)</f>
        <v>0</v>
      </c>
      <c r="BJ298" s="16" t="s">
        <v>120</v>
      </c>
      <c r="BK298" s="148">
        <f>ROUND(I298*H298,2)</f>
        <v>0</v>
      </c>
      <c r="BL298" s="16" t="s">
        <v>186</v>
      </c>
      <c r="BM298" s="147" t="s">
        <v>353</v>
      </c>
    </row>
    <row r="299" spans="1:65" s="2" customFormat="1" ht="24" customHeight="1" x14ac:dyDescent="0.2">
      <c r="A299" s="28"/>
      <c r="B299" s="135"/>
      <c r="C299" s="203">
        <v>72</v>
      </c>
      <c r="D299" s="136" t="s">
        <v>115</v>
      </c>
      <c r="E299" s="137" t="s">
        <v>354</v>
      </c>
      <c r="F299" s="138" t="s">
        <v>355</v>
      </c>
      <c r="G299" s="139" t="s">
        <v>229</v>
      </c>
      <c r="H299" s="140">
        <v>1.958</v>
      </c>
      <c r="I299" s="141"/>
      <c r="J299" s="141">
        <f>ROUND(I299*H299,2)</f>
        <v>0</v>
      </c>
      <c r="K299" s="142"/>
      <c r="L299" s="29"/>
      <c r="M299" s="143" t="s">
        <v>1</v>
      </c>
      <c r="N299" s="144" t="s">
        <v>38</v>
      </c>
      <c r="O299" s="145">
        <v>0.88900000000000001</v>
      </c>
      <c r="P299" s="145">
        <f>O299*H299</f>
        <v>1.7406619999999999</v>
      </c>
      <c r="Q299" s="145">
        <v>0</v>
      </c>
      <c r="R299" s="145">
        <f>Q299*H299</f>
        <v>0</v>
      </c>
      <c r="S299" s="145">
        <v>0</v>
      </c>
      <c r="T299" s="146">
        <f>S299*H299</f>
        <v>0</v>
      </c>
      <c r="U299" s="28"/>
      <c r="V299" s="179"/>
      <c r="W299" s="28"/>
      <c r="X299" s="28"/>
      <c r="Y299" s="28"/>
      <c r="Z299" s="28"/>
      <c r="AA299" s="28"/>
      <c r="AB299" s="28"/>
      <c r="AC299" s="28"/>
      <c r="AD299" s="28"/>
      <c r="AE299" s="28"/>
      <c r="AR299" s="147" t="s">
        <v>186</v>
      </c>
      <c r="AT299" s="147" t="s">
        <v>115</v>
      </c>
      <c r="AU299" s="147" t="s">
        <v>120</v>
      </c>
      <c r="AY299" s="16" t="s">
        <v>113</v>
      </c>
      <c r="BE299" s="148">
        <f>IF(N299="základná",J299,0)</f>
        <v>0</v>
      </c>
      <c r="BF299" s="148">
        <f>IF(N299="znížená",J299,0)</f>
        <v>0</v>
      </c>
      <c r="BG299" s="148">
        <f>IF(N299="zákl. prenesená",J299,0)</f>
        <v>0</v>
      </c>
      <c r="BH299" s="148">
        <f>IF(N299="zníž. prenesená",J299,0)</f>
        <v>0</v>
      </c>
      <c r="BI299" s="148">
        <f>IF(N299="nulová",J299,0)</f>
        <v>0</v>
      </c>
      <c r="BJ299" s="16" t="s">
        <v>120</v>
      </c>
      <c r="BK299" s="148">
        <f>ROUND(I299*H299,2)</f>
        <v>0</v>
      </c>
      <c r="BL299" s="16" t="s">
        <v>186</v>
      </c>
      <c r="BM299" s="147" t="s">
        <v>356</v>
      </c>
    </row>
    <row r="300" spans="1:65" s="2" customFormat="1" ht="24" customHeight="1" x14ac:dyDescent="0.2">
      <c r="A300" s="28"/>
      <c r="B300" s="135"/>
      <c r="C300" s="203">
        <v>73</v>
      </c>
      <c r="D300" s="136" t="s">
        <v>115</v>
      </c>
      <c r="E300" s="137" t="s">
        <v>357</v>
      </c>
      <c r="F300" s="138" t="s">
        <v>358</v>
      </c>
      <c r="G300" s="139" t="s">
        <v>229</v>
      </c>
      <c r="H300" s="140">
        <v>29.37</v>
      </c>
      <c r="I300" s="141"/>
      <c r="J300" s="141">
        <f>ROUND(I300*H300,2)</f>
        <v>0</v>
      </c>
      <c r="K300" s="142"/>
      <c r="L300" s="29"/>
      <c r="M300" s="143" t="s">
        <v>1</v>
      </c>
      <c r="N300" s="144" t="s">
        <v>38</v>
      </c>
      <c r="O300" s="145">
        <v>1.7000000000000001E-2</v>
      </c>
      <c r="P300" s="145">
        <f>O300*H300</f>
        <v>0.49929000000000007</v>
      </c>
      <c r="Q300" s="145">
        <v>0</v>
      </c>
      <c r="R300" s="145">
        <f>Q300*H300</f>
        <v>0</v>
      </c>
      <c r="S300" s="145">
        <v>0</v>
      </c>
      <c r="T300" s="146">
        <f>S300*H300</f>
        <v>0</v>
      </c>
      <c r="U300" s="28"/>
      <c r="V300" s="179"/>
      <c r="W300" s="28"/>
      <c r="X300" s="28"/>
      <c r="Y300" s="28"/>
      <c r="Z300" s="28"/>
      <c r="AA300" s="28"/>
      <c r="AB300" s="28"/>
      <c r="AC300" s="28"/>
      <c r="AD300" s="28"/>
      <c r="AE300" s="28"/>
      <c r="AR300" s="147" t="s">
        <v>186</v>
      </c>
      <c r="AT300" s="147" t="s">
        <v>115</v>
      </c>
      <c r="AU300" s="147" t="s">
        <v>120</v>
      </c>
      <c r="AY300" s="16" t="s">
        <v>113</v>
      </c>
      <c r="BE300" s="148">
        <f>IF(N300="základná",J300,0)</f>
        <v>0</v>
      </c>
      <c r="BF300" s="148">
        <f>IF(N300="znížená",J300,0)</f>
        <v>0</v>
      </c>
      <c r="BG300" s="148">
        <f>IF(N300="zákl. prenesená",J300,0)</f>
        <v>0</v>
      </c>
      <c r="BH300" s="148">
        <f>IF(N300="zníž. prenesená",J300,0)</f>
        <v>0</v>
      </c>
      <c r="BI300" s="148">
        <f>IF(N300="nulová",J300,0)</f>
        <v>0</v>
      </c>
      <c r="BJ300" s="16" t="s">
        <v>120</v>
      </c>
      <c r="BK300" s="148">
        <f>ROUND(I300*H300,2)</f>
        <v>0</v>
      </c>
      <c r="BL300" s="16" t="s">
        <v>186</v>
      </c>
      <c r="BM300" s="147" t="s">
        <v>359</v>
      </c>
    </row>
    <row r="301" spans="1:65" s="13" customFormat="1" x14ac:dyDescent="0.2">
      <c r="B301" s="149"/>
      <c r="C301" s="204"/>
      <c r="D301" s="150" t="s">
        <v>122</v>
      </c>
      <c r="F301" s="152" t="s">
        <v>462</v>
      </c>
      <c r="H301" s="153">
        <v>29.37</v>
      </c>
      <c r="L301" s="149"/>
      <c r="M301" s="154"/>
      <c r="N301" s="155"/>
      <c r="O301" s="155"/>
      <c r="P301" s="155"/>
      <c r="Q301" s="155"/>
      <c r="R301" s="155"/>
      <c r="S301" s="155"/>
      <c r="T301" s="156"/>
      <c r="V301" s="185"/>
      <c r="AT301" s="151" t="s">
        <v>122</v>
      </c>
      <c r="AU301" s="151" t="s">
        <v>120</v>
      </c>
      <c r="AV301" s="13" t="s">
        <v>120</v>
      </c>
      <c r="AW301" s="13" t="s">
        <v>3</v>
      </c>
      <c r="AX301" s="13" t="s">
        <v>77</v>
      </c>
      <c r="AY301" s="151" t="s">
        <v>113</v>
      </c>
    </row>
    <row r="302" spans="1:65" s="12" customFormat="1" ht="22.9" customHeight="1" x14ac:dyDescent="0.2">
      <c r="B302" s="123"/>
      <c r="C302" s="206"/>
      <c r="D302" s="124" t="s">
        <v>71</v>
      </c>
      <c r="E302" s="133">
        <v>767</v>
      </c>
      <c r="F302" s="133" t="s">
        <v>492</v>
      </c>
      <c r="J302" s="134">
        <f>J303+J304+J306+J307+J311</f>
        <v>0</v>
      </c>
      <c r="L302" s="123"/>
      <c r="M302" s="127"/>
      <c r="N302" s="128"/>
      <c r="O302" s="128"/>
      <c r="P302" s="129">
        <f>SUM(P307:P327)</f>
        <v>236.36329129999999</v>
      </c>
      <c r="Q302" s="128"/>
      <c r="R302" s="129">
        <f>SUM(R307:R327)</f>
        <v>4.9980995899999989</v>
      </c>
      <c r="S302" s="128"/>
      <c r="T302" s="130">
        <f>SUM(T307:T327)</f>
        <v>0.11871999999999999</v>
      </c>
      <c r="V302" s="184"/>
      <c r="AR302" s="124" t="s">
        <v>120</v>
      </c>
      <c r="AT302" s="131" t="s">
        <v>71</v>
      </c>
      <c r="AU302" s="131" t="s">
        <v>77</v>
      </c>
      <c r="AY302" s="124" t="s">
        <v>113</v>
      </c>
      <c r="BK302" s="132">
        <f>SUM(BK307:BK327)</f>
        <v>0</v>
      </c>
    </row>
    <row r="303" spans="1:65" s="2" customFormat="1" ht="19.5" customHeight="1" x14ac:dyDescent="0.2">
      <c r="A303" s="190"/>
      <c r="B303" s="135"/>
      <c r="C303" s="203">
        <v>74</v>
      </c>
      <c r="D303" s="136" t="s">
        <v>115</v>
      </c>
      <c r="E303" s="137" t="s">
        <v>497</v>
      </c>
      <c r="F303" s="138" t="s">
        <v>498</v>
      </c>
      <c r="G303" s="139" t="s">
        <v>146</v>
      </c>
      <c r="H303" s="140">
        <v>2</v>
      </c>
      <c r="I303" s="141"/>
      <c r="J303" s="141">
        <f>ROUND(I303*H303,2)</f>
        <v>0</v>
      </c>
      <c r="K303" s="142"/>
      <c r="L303" s="29"/>
      <c r="M303" s="143" t="s">
        <v>1</v>
      </c>
      <c r="N303" s="144" t="s">
        <v>38</v>
      </c>
      <c r="O303" s="145">
        <v>0.93305000000000005</v>
      </c>
      <c r="P303" s="145">
        <f>O303*H303</f>
        <v>1.8661000000000001</v>
      </c>
      <c r="Q303" s="145">
        <v>3.1700000000000001E-3</v>
      </c>
      <c r="R303" s="145">
        <f>Q303*H303</f>
        <v>6.3400000000000001E-3</v>
      </c>
      <c r="S303" s="145">
        <v>0</v>
      </c>
      <c r="T303" s="146">
        <f>S303*H303</f>
        <v>0</v>
      </c>
      <c r="U303" s="190"/>
      <c r="V303" s="179"/>
      <c r="W303" s="190"/>
      <c r="X303" s="190"/>
      <c r="Y303" s="190"/>
      <c r="Z303" s="190"/>
      <c r="AA303" s="190"/>
      <c r="AB303" s="190"/>
      <c r="AC303" s="190"/>
      <c r="AD303" s="190"/>
      <c r="AE303" s="190"/>
      <c r="AR303" s="147" t="s">
        <v>186</v>
      </c>
      <c r="AT303" s="147" t="s">
        <v>115</v>
      </c>
      <c r="AU303" s="147" t="s">
        <v>120</v>
      </c>
      <c r="AY303" s="16" t="s">
        <v>113</v>
      </c>
      <c r="BE303" s="148">
        <f>IF(N303="základná",J303,0)</f>
        <v>0</v>
      </c>
      <c r="BF303" s="148">
        <f>IF(N303="znížená",J303,0)</f>
        <v>0</v>
      </c>
      <c r="BG303" s="148">
        <f>IF(N303="zákl. prenesená",J303,0)</f>
        <v>0</v>
      </c>
      <c r="BH303" s="148">
        <f>IF(N303="zníž. prenesená",J303,0)</f>
        <v>0</v>
      </c>
      <c r="BI303" s="148">
        <f>IF(N303="nulová",J303,0)</f>
        <v>0</v>
      </c>
      <c r="BJ303" s="16" t="s">
        <v>120</v>
      </c>
      <c r="BK303" s="148">
        <f>ROUND(I303*H303,2)</f>
        <v>0</v>
      </c>
      <c r="BL303" s="16" t="s">
        <v>186</v>
      </c>
      <c r="BM303" s="147" t="s">
        <v>365</v>
      </c>
    </row>
    <row r="304" spans="1:65" s="2" customFormat="1" ht="19.5" customHeight="1" x14ac:dyDescent="0.2">
      <c r="A304" s="202"/>
      <c r="B304" s="135"/>
      <c r="C304" s="203">
        <v>75</v>
      </c>
      <c r="D304" s="136" t="s">
        <v>115</v>
      </c>
      <c r="E304" s="247" t="s">
        <v>1003</v>
      </c>
      <c r="F304" s="246" t="s">
        <v>1004</v>
      </c>
      <c r="G304" s="245" t="s">
        <v>161</v>
      </c>
      <c r="H304" s="140">
        <v>7.9429999999999996</v>
      </c>
      <c r="I304" s="141"/>
      <c r="J304" s="141">
        <f>ROUND(I304*H304,2)</f>
        <v>0</v>
      </c>
      <c r="K304" s="142"/>
      <c r="L304" s="29"/>
      <c r="M304" s="143" t="s">
        <v>1</v>
      </c>
      <c r="N304" s="144" t="s">
        <v>38</v>
      </c>
      <c r="O304" s="145">
        <v>0.93305000000000005</v>
      </c>
      <c r="P304" s="145">
        <f>O304*H304</f>
        <v>7.4112161500000004</v>
      </c>
      <c r="Q304" s="145">
        <v>3.1700000000000001E-3</v>
      </c>
      <c r="R304" s="145">
        <f>Q304*H304</f>
        <v>2.517931E-2</v>
      </c>
      <c r="S304" s="145">
        <v>0</v>
      </c>
      <c r="T304" s="146">
        <f>S304*H304</f>
        <v>0</v>
      </c>
      <c r="U304" s="202"/>
      <c r="V304" s="179"/>
      <c r="W304" s="202"/>
      <c r="X304" s="202"/>
      <c r="Y304" s="202"/>
      <c r="Z304" s="202"/>
      <c r="AA304" s="202"/>
      <c r="AB304" s="202"/>
      <c r="AC304" s="202"/>
      <c r="AD304" s="202"/>
      <c r="AE304" s="202"/>
      <c r="AR304" s="147" t="s">
        <v>186</v>
      </c>
      <c r="AT304" s="147" t="s">
        <v>115</v>
      </c>
      <c r="AU304" s="147" t="s">
        <v>120</v>
      </c>
      <c r="AY304" s="16" t="s">
        <v>113</v>
      </c>
      <c r="BE304" s="148">
        <f>IF(N304="základná",J304,0)</f>
        <v>0</v>
      </c>
      <c r="BF304" s="148">
        <f>IF(N304="znížená",J304,0)</f>
        <v>0</v>
      </c>
      <c r="BG304" s="148">
        <f>IF(N304="zákl. prenesená",J304,0)</f>
        <v>0</v>
      </c>
      <c r="BH304" s="148">
        <f>IF(N304="zníž. prenesená",J304,0)</f>
        <v>0</v>
      </c>
      <c r="BI304" s="148">
        <f>IF(N304="nulová",J304,0)</f>
        <v>0</v>
      </c>
      <c r="BJ304" s="16" t="s">
        <v>120</v>
      </c>
      <c r="BK304" s="148">
        <f>ROUND(I304*H304,2)</f>
        <v>0</v>
      </c>
      <c r="BL304" s="16" t="s">
        <v>186</v>
      </c>
      <c r="BM304" s="147" t="s">
        <v>365</v>
      </c>
    </row>
    <row r="305" spans="1:65" s="13" customFormat="1" x14ac:dyDescent="0.2">
      <c r="B305" s="149"/>
      <c r="C305" s="204"/>
      <c r="D305" s="150" t="s">
        <v>122</v>
      </c>
      <c r="F305" s="340" t="s">
        <v>1005</v>
      </c>
      <c r="H305" s="153">
        <v>7.9429999999999996</v>
      </c>
      <c r="L305" s="149"/>
      <c r="M305" s="154"/>
      <c r="N305" s="155"/>
      <c r="O305" s="155"/>
      <c r="P305" s="155"/>
      <c r="Q305" s="155"/>
      <c r="R305" s="155"/>
      <c r="S305" s="155"/>
      <c r="T305" s="156"/>
      <c r="V305" s="340"/>
      <c r="AT305" s="151" t="s">
        <v>122</v>
      </c>
      <c r="AU305" s="151" t="s">
        <v>120</v>
      </c>
      <c r="AV305" s="13" t="s">
        <v>120</v>
      </c>
      <c r="AW305" s="13" t="s">
        <v>3</v>
      </c>
      <c r="AX305" s="13" t="s">
        <v>77</v>
      </c>
      <c r="AY305" s="151" t="s">
        <v>113</v>
      </c>
    </row>
    <row r="306" spans="1:65" s="2" customFormat="1" ht="24.75" customHeight="1" x14ac:dyDescent="0.2">
      <c r="A306" s="202"/>
      <c r="B306" s="135"/>
      <c r="C306" s="207">
        <v>76</v>
      </c>
      <c r="D306" s="164" t="s">
        <v>268</v>
      </c>
      <c r="E306" s="235" t="s">
        <v>1006</v>
      </c>
      <c r="F306" s="234" t="s">
        <v>1007</v>
      </c>
      <c r="G306" s="233" t="s">
        <v>161</v>
      </c>
      <c r="H306" s="168">
        <v>7.9429999999999996</v>
      </c>
      <c r="I306" s="169"/>
      <c r="J306" s="169">
        <f>ROUND(I306*H306,2)</f>
        <v>0</v>
      </c>
      <c r="K306" s="170"/>
      <c r="L306" s="171"/>
      <c r="M306" s="172" t="s">
        <v>1</v>
      </c>
      <c r="N306" s="173" t="s">
        <v>38</v>
      </c>
      <c r="O306" s="145">
        <v>0</v>
      </c>
      <c r="P306" s="145">
        <f>O306*H306</f>
        <v>0</v>
      </c>
      <c r="Q306" s="145">
        <v>1.4999999999999999E-2</v>
      </c>
      <c r="R306" s="145">
        <f>Q306*H306</f>
        <v>0.11914499999999999</v>
      </c>
      <c r="S306" s="145">
        <v>0</v>
      </c>
      <c r="T306" s="146">
        <f>S306*H306</f>
        <v>0</v>
      </c>
      <c r="U306" s="202"/>
      <c r="V306" s="179"/>
      <c r="W306" s="202"/>
      <c r="X306" s="202"/>
      <c r="Y306" s="202"/>
      <c r="Z306" s="202"/>
      <c r="AA306" s="202"/>
      <c r="AB306" s="202"/>
      <c r="AC306" s="202"/>
      <c r="AD306" s="202"/>
      <c r="AE306" s="202"/>
      <c r="AR306" s="147" t="s">
        <v>237</v>
      </c>
      <c r="AT306" s="147" t="s">
        <v>268</v>
      </c>
      <c r="AU306" s="147" t="s">
        <v>120</v>
      </c>
      <c r="AY306" s="16" t="s">
        <v>113</v>
      </c>
      <c r="BE306" s="148">
        <f>IF(N306="základná",J306,0)</f>
        <v>0</v>
      </c>
      <c r="BF306" s="148">
        <f>IF(N306="znížená",J306,0)</f>
        <v>0</v>
      </c>
      <c r="BG306" s="148">
        <f>IF(N306="zákl. prenesená",J306,0)</f>
        <v>0</v>
      </c>
      <c r="BH306" s="148">
        <f>IF(N306="zníž. prenesená",J306,0)</f>
        <v>0</v>
      </c>
      <c r="BI306" s="148">
        <f>IF(N306="nulová",J306,0)</f>
        <v>0</v>
      </c>
      <c r="BJ306" s="16" t="s">
        <v>120</v>
      </c>
      <c r="BK306" s="148">
        <f>ROUND(I306*H306,2)</f>
        <v>0</v>
      </c>
      <c r="BL306" s="16" t="s">
        <v>186</v>
      </c>
      <c r="BM306" s="147" t="s">
        <v>350</v>
      </c>
    </row>
    <row r="307" spans="1:65" s="2" customFormat="1" ht="19.5" customHeight="1" x14ac:dyDescent="0.2">
      <c r="A307" s="190"/>
      <c r="B307" s="135"/>
      <c r="C307" s="203">
        <v>77</v>
      </c>
      <c r="D307" s="136" t="s">
        <v>115</v>
      </c>
      <c r="E307" s="137" t="s">
        <v>493</v>
      </c>
      <c r="F307" s="138" t="s">
        <v>494</v>
      </c>
      <c r="G307" s="139" t="s">
        <v>161</v>
      </c>
      <c r="H307" s="140">
        <v>17.55</v>
      </c>
      <c r="I307" s="141"/>
      <c r="J307" s="141">
        <f>ROUND(I307*H307,2)</f>
        <v>0</v>
      </c>
      <c r="K307" s="142"/>
      <c r="L307" s="29"/>
      <c r="M307" s="143" t="s">
        <v>1</v>
      </c>
      <c r="N307" s="144" t="s">
        <v>38</v>
      </c>
      <c r="O307" s="145">
        <v>0.93305000000000005</v>
      </c>
      <c r="P307" s="145">
        <f>O307*H307</f>
        <v>16.375027500000002</v>
      </c>
      <c r="Q307" s="145">
        <v>3.1700000000000001E-3</v>
      </c>
      <c r="R307" s="145">
        <f>Q307*H307</f>
        <v>5.5633500000000002E-2</v>
      </c>
      <c r="S307" s="145">
        <v>0</v>
      </c>
      <c r="T307" s="146">
        <f>S307*H307</f>
        <v>0</v>
      </c>
      <c r="U307" s="190"/>
      <c r="V307" s="179"/>
      <c r="W307" s="190"/>
      <c r="X307" s="190"/>
      <c r="Y307" s="190"/>
      <c r="Z307" s="190"/>
      <c r="AA307" s="190"/>
      <c r="AB307" s="190"/>
      <c r="AC307" s="190"/>
      <c r="AD307" s="190"/>
      <c r="AE307" s="190"/>
      <c r="AR307" s="147" t="s">
        <v>186</v>
      </c>
      <c r="AT307" s="147" t="s">
        <v>115</v>
      </c>
      <c r="AU307" s="147" t="s">
        <v>120</v>
      </c>
      <c r="AY307" s="16" t="s">
        <v>113</v>
      </c>
      <c r="BE307" s="148">
        <f>IF(N307="základná",J307,0)</f>
        <v>0</v>
      </c>
      <c r="BF307" s="148">
        <f>IF(N307="znížená",J307,0)</f>
        <v>0</v>
      </c>
      <c r="BG307" s="148">
        <f>IF(N307="zákl. prenesená",J307,0)</f>
        <v>0</v>
      </c>
      <c r="BH307" s="148">
        <f>IF(N307="zníž. prenesená",J307,0)</f>
        <v>0</v>
      </c>
      <c r="BI307" s="148">
        <f>IF(N307="nulová",J307,0)</f>
        <v>0</v>
      </c>
      <c r="BJ307" s="16" t="s">
        <v>120</v>
      </c>
      <c r="BK307" s="148">
        <f>ROUND(I307*H307,2)</f>
        <v>0</v>
      </c>
      <c r="BL307" s="16" t="s">
        <v>186</v>
      </c>
      <c r="BM307" s="147" t="s">
        <v>365</v>
      </c>
    </row>
    <row r="308" spans="1:65" s="13" customFormat="1" x14ac:dyDescent="0.2">
      <c r="B308" s="149"/>
      <c r="C308" s="204"/>
      <c r="D308" s="150" t="s">
        <v>122</v>
      </c>
      <c r="E308" s="151" t="s">
        <v>1</v>
      </c>
      <c r="F308" s="152" t="s">
        <v>495</v>
      </c>
      <c r="H308" s="153">
        <v>15.75</v>
      </c>
      <c r="L308" s="149"/>
      <c r="M308" s="154"/>
      <c r="N308" s="155"/>
      <c r="O308" s="155"/>
      <c r="P308" s="155"/>
      <c r="Q308" s="155"/>
      <c r="R308" s="155"/>
      <c r="S308" s="155"/>
      <c r="T308" s="156"/>
      <c r="V308" s="152"/>
      <c r="AT308" s="151" t="s">
        <v>122</v>
      </c>
      <c r="AU308" s="151" t="s">
        <v>120</v>
      </c>
      <c r="AV308" s="13" t="s">
        <v>120</v>
      </c>
      <c r="AW308" s="13" t="s">
        <v>28</v>
      </c>
      <c r="AX308" s="13" t="s">
        <v>72</v>
      </c>
      <c r="AY308" s="151" t="s">
        <v>113</v>
      </c>
    </row>
    <row r="309" spans="1:65" s="13" customFormat="1" x14ac:dyDescent="0.2">
      <c r="B309" s="149"/>
      <c r="C309" s="204"/>
      <c r="D309" s="150" t="s">
        <v>122</v>
      </c>
      <c r="E309" s="151" t="s">
        <v>1</v>
      </c>
      <c r="F309" s="152" t="s">
        <v>496</v>
      </c>
      <c r="H309" s="153">
        <v>1.8</v>
      </c>
      <c r="L309" s="149"/>
      <c r="M309" s="154"/>
      <c r="N309" s="155"/>
      <c r="O309" s="155"/>
      <c r="P309" s="155"/>
      <c r="Q309" s="155"/>
      <c r="R309" s="155"/>
      <c r="S309" s="155"/>
      <c r="T309" s="156"/>
      <c r="V309" s="152"/>
      <c r="AT309" s="151" t="s">
        <v>122</v>
      </c>
      <c r="AU309" s="151" t="s">
        <v>120</v>
      </c>
      <c r="AV309" s="13" t="s">
        <v>120</v>
      </c>
      <c r="AW309" s="13" t="s">
        <v>28</v>
      </c>
      <c r="AX309" s="13" t="s">
        <v>72</v>
      </c>
      <c r="AY309" s="151" t="s">
        <v>113</v>
      </c>
    </row>
    <row r="310" spans="1:65" s="14" customFormat="1" x14ac:dyDescent="0.2">
      <c r="B310" s="157"/>
      <c r="C310" s="205"/>
      <c r="D310" s="150" t="s">
        <v>122</v>
      </c>
      <c r="E310" s="158" t="s">
        <v>1</v>
      </c>
      <c r="F310" s="159" t="s">
        <v>128</v>
      </c>
      <c r="H310" s="160">
        <f>SUM(H308:H309)</f>
        <v>17.55</v>
      </c>
      <c r="L310" s="157"/>
      <c r="M310" s="161"/>
      <c r="N310" s="162"/>
      <c r="O310" s="162"/>
      <c r="P310" s="162"/>
      <c r="Q310" s="162"/>
      <c r="R310" s="162"/>
      <c r="S310" s="162"/>
      <c r="T310" s="163"/>
      <c r="V310" s="186"/>
      <c r="AT310" s="158" t="s">
        <v>122</v>
      </c>
      <c r="AU310" s="158" t="s">
        <v>120</v>
      </c>
      <c r="AV310" s="14" t="s">
        <v>119</v>
      </c>
      <c r="AW310" s="14" t="s">
        <v>28</v>
      </c>
      <c r="AX310" s="14" t="s">
        <v>77</v>
      </c>
      <c r="AY310" s="158" t="s">
        <v>113</v>
      </c>
    </row>
    <row r="311" spans="1:65" s="2" customFormat="1" ht="27" customHeight="1" x14ac:dyDescent="0.2">
      <c r="A311" s="190"/>
      <c r="B311" s="135"/>
      <c r="C311" s="203">
        <v>78</v>
      </c>
      <c r="D311" s="136" t="s">
        <v>115</v>
      </c>
      <c r="E311" s="137" t="s">
        <v>504</v>
      </c>
      <c r="F311" s="138" t="s">
        <v>505</v>
      </c>
      <c r="G311" s="139" t="s">
        <v>146</v>
      </c>
      <c r="H311" s="140">
        <v>1</v>
      </c>
      <c r="I311" s="141"/>
      <c r="J311" s="141">
        <f>H311*I311</f>
        <v>0</v>
      </c>
      <c r="K311" s="142"/>
      <c r="L311" s="29"/>
      <c r="M311" s="143" t="s">
        <v>1</v>
      </c>
      <c r="N311" s="144" t="s">
        <v>38</v>
      </c>
      <c r="O311" s="145">
        <v>0.93305000000000005</v>
      </c>
      <c r="P311" s="145">
        <f>O311*H311</f>
        <v>0.93305000000000005</v>
      </c>
      <c r="Q311" s="145">
        <v>3.1700000000000001E-3</v>
      </c>
      <c r="R311" s="145">
        <f>Q311*H311</f>
        <v>3.1700000000000001E-3</v>
      </c>
      <c r="S311" s="145">
        <v>0</v>
      </c>
      <c r="T311" s="146">
        <f>S311*H311</f>
        <v>0</v>
      </c>
      <c r="U311" s="190"/>
      <c r="V311" s="179"/>
      <c r="W311" s="190"/>
      <c r="X311" s="190"/>
      <c r="Y311" s="190"/>
      <c r="Z311" s="190"/>
      <c r="AA311" s="190"/>
      <c r="AB311" s="190"/>
      <c r="AC311" s="190"/>
      <c r="AD311" s="190"/>
      <c r="AE311" s="190"/>
      <c r="AR311" s="147" t="s">
        <v>186</v>
      </c>
      <c r="AT311" s="147" t="s">
        <v>115</v>
      </c>
      <c r="AU311" s="147" t="s">
        <v>120</v>
      </c>
      <c r="AY311" s="16" t="s">
        <v>113</v>
      </c>
      <c r="BE311" s="148">
        <f>IF(N311="základná",J311,0)</f>
        <v>0</v>
      </c>
      <c r="BF311" s="148">
        <f>IF(N311="znížená",J311,0)</f>
        <v>0</v>
      </c>
      <c r="BG311" s="148">
        <f>IF(N311="zákl. prenesená",J311,0)</f>
        <v>0</v>
      </c>
      <c r="BH311" s="148">
        <f>IF(N311="zníž. prenesená",J311,0)</f>
        <v>0</v>
      </c>
      <c r="BI311" s="148">
        <f>IF(N311="nulová",J311,0)</f>
        <v>0</v>
      </c>
      <c r="BJ311" s="16" t="s">
        <v>120</v>
      </c>
      <c r="BK311" s="148">
        <f>ROUND(I311*H311,2)</f>
        <v>0</v>
      </c>
      <c r="BL311" s="16" t="s">
        <v>186</v>
      </c>
      <c r="BM311" s="147" t="s">
        <v>365</v>
      </c>
    </row>
    <row r="312" spans="1:65" s="12" customFormat="1" ht="22.9" customHeight="1" x14ac:dyDescent="0.2">
      <c r="B312" s="123"/>
      <c r="C312" s="206"/>
      <c r="D312" s="124" t="s">
        <v>71</v>
      </c>
      <c r="E312" s="133">
        <v>769</v>
      </c>
      <c r="F312" s="133" t="s">
        <v>499</v>
      </c>
      <c r="J312" s="134">
        <f>J313+J314</f>
        <v>0</v>
      </c>
      <c r="L312" s="123"/>
      <c r="M312" s="127"/>
      <c r="N312" s="128"/>
      <c r="O312" s="128"/>
      <c r="P312" s="129">
        <f>SUM(P315:P333)</f>
        <v>135.9005028</v>
      </c>
      <c r="Q312" s="128"/>
      <c r="R312" s="129">
        <f>SUM(R315:R333)</f>
        <v>2.5651100899999992</v>
      </c>
      <c r="S312" s="128"/>
      <c r="T312" s="130">
        <f>SUM(T315:T333)</f>
        <v>0.11871999999999999</v>
      </c>
      <c r="V312" s="184"/>
      <c r="AR312" s="124" t="s">
        <v>120</v>
      </c>
      <c r="AT312" s="131" t="s">
        <v>71</v>
      </c>
      <c r="AU312" s="131" t="s">
        <v>77</v>
      </c>
      <c r="AY312" s="124" t="s">
        <v>113</v>
      </c>
      <c r="BK312" s="132">
        <f>SUM(BK315:BK333)</f>
        <v>0</v>
      </c>
    </row>
    <row r="313" spans="1:65" s="2" customFormat="1" ht="19.5" customHeight="1" x14ac:dyDescent="0.2">
      <c r="A313" s="190"/>
      <c r="B313" s="135"/>
      <c r="C313" s="203">
        <v>79</v>
      </c>
      <c r="D313" s="136" t="s">
        <v>115</v>
      </c>
      <c r="E313" s="137" t="s">
        <v>500</v>
      </c>
      <c r="F313" s="138" t="s">
        <v>501</v>
      </c>
      <c r="G313" s="139" t="s">
        <v>146</v>
      </c>
      <c r="H313" s="140">
        <v>2</v>
      </c>
      <c r="I313" s="141"/>
      <c r="J313" s="141">
        <f>ROUND(I313*H313,2)</f>
        <v>0</v>
      </c>
      <c r="K313" s="142"/>
      <c r="L313" s="29"/>
      <c r="M313" s="143" t="s">
        <v>1</v>
      </c>
      <c r="N313" s="144" t="s">
        <v>38</v>
      </c>
      <c r="O313" s="145">
        <v>0.93305000000000005</v>
      </c>
      <c r="P313" s="145">
        <f>O313*H313</f>
        <v>1.8661000000000001</v>
      </c>
      <c r="Q313" s="145">
        <v>3.1700000000000001E-3</v>
      </c>
      <c r="R313" s="145">
        <f>Q313*H313</f>
        <v>6.3400000000000001E-3</v>
      </c>
      <c r="S313" s="145">
        <v>0</v>
      </c>
      <c r="T313" s="146">
        <f>S313*H313</f>
        <v>0</v>
      </c>
      <c r="U313" s="190"/>
      <c r="V313" s="179"/>
      <c r="W313" s="190"/>
      <c r="X313" s="190"/>
      <c r="Y313" s="190"/>
      <c r="Z313" s="190"/>
      <c r="AA313" s="190"/>
      <c r="AB313" s="190"/>
      <c r="AC313" s="190"/>
      <c r="AD313" s="190"/>
      <c r="AE313" s="190"/>
      <c r="AR313" s="147" t="s">
        <v>186</v>
      </c>
      <c r="AT313" s="147" t="s">
        <v>115</v>
      </c>
      <c r="AU313" s="147" t="s">
        <v>120</v>
      </c>
      <c r="AY313" s="16" t="s">
        <v>113</v>
      </c>
      <c r="BE313" s="148">
        <f>IF(N313="základná",J313,0)</f>
        <v>0</v>
      </c>
      <c r="BF313" s="148">
        <f>IF(N313="znížená",J313,0)</f>
        <v>0</v>
      </c>
      <c r="BG313" s="148">
        <f>IF(N313="zákl. prenesená",J313,0)</f>
        <v>0</v>
      </c>
      <c r="BH313" s="148">
        <f>IF(N313="zníž. prenesená",J313,0)</f>
        <v>0</v>
      </c>
      <c r="BI313" s="148">
        <f>IF(N313="nulová",J313,0)</f>
        <v>0</v>
      </c>
      <c r="BJ313" s="16" t="s">
        <v>120</v>
      </c>
      <c r="BK313" s="148">
        <f>ROUND(I313*H313,2)</f>
        <v>0</v>
      </c>
      <c r="BL313" s="16" t="s">
        <v>186</v>
      </c>
      <c r="BM313" s="147" t="s">
        <v>365</v>
      </c>
    </row>
    <row r="314" spans="1:65" s="2" customFormat="1" ht="27" customHeight="1" x14ac:dyDescent="0.2">
      <c r="A314" s="190"/>
      <c r="B314" s="135"/>
      <c r="C314" s="207">
        <v>80</v>
      </c>
      <c r="D314" s="164" t="s">
        <v>268</v>
      </c>
      <c r="E314" s="165" t="s">
        <v>502</v>
      </c>
      <c r="F314" s="166" t="s">
        <v>503</v>
      </c>
      <c r="G314" s="167" t="s">
        <v>146</v>
      </c>
      <c r="H314" s="168">
        <v>2</v>
      </c>
      <c r="I314" s="169"/>
      <c r="J314" s="169">
        <f>ROUND(I314*H314,2)</f>
        <v>0</v>
      </c>
      <c r="K314" s="170"/>
      <c r="L314" s="171"/>
      <c r="M314" s="172" t="s">
        <v>1</v>
      </c>
      <c r="N314" s="173" t="s">
        <v>38</v>
      </c>
      <c r="O314" s="145">
        <v>0</v>
      </c>
      <c r="P314" s="145">
        <f>O314*H314</f>
        <v>0</v>
      </c>
      <c r="Q314" s="145">
        <v>1.4999999999999999E-2</v>
      </c>
      <c r="R314" s="145">
        <f>Q314*H314</f>
        <v>0.03</v>
      </c>
      <c r="S314" s="145">
        <v>0</v>
      </c>
      <c r="T314" s="146">
        <f>S314*H314</f>
        <v>0</v>
      </c>
      <c r="U314" s="190"/>
      <c r="V314" s="179"/>
      <c r="W314" s="190"/>
      <c r="X314" s="190"/>
      <c r="Y314" s="190"/>
      <c r="Z314" s="190"/>
      <c r="AA314" s="190"/>
      <c r="AB314" s="190"/>
      <c r="AC314" s="190"/>
      <c r="AD314" s="190"/>
      <c r="AE314" s="190"/>
      <c r="AR314" s="147" t="s">
        <v>237</v>
      </c>
      <c r="AT314" s="147" t="s">
        <v>268</v>
      </c>
      <c r="AU314" s="147" t="s">
        <v>120</v>
      </c>
      <c r="AY314" s="16" t="s">
        <v>113</v>
      </c>
      <c r="BE314" s="148">
        <f>IF(N314="základná",J314,0)</f>
        <v>0</v>
      </c>
      <c r="BF314" s="148">
        <f>IF(N314="znížená",J314,0)</f>
        <v>0</v>
      </c>
      <c r="BG314" s="148">
        <f>IF(N314="zákl. prenesená",J314,0)</f>
        <v>0</v>
      </c>
      <c r="BH314" s="148">
        <f>IF(N314="zníž. prenesená",J314,0)</f>
        <v>0</v>
      </c>
      <c r="BI314" s="148">
        <f>IF(N314="nulová",J314,0)</f>
        <v>0</v>
      </c>
      <c r="BJ314" s="16" t="s">
        <v>120</v>
      </c>
      <c r="BK314" s="148">
        <f>ROUND(I314*H314,2)</f>
        <v>0</v>
      </c>
      <c r="BL314" s="16" t="s">
        <v>186</v>
      </c>
      <c r="BM314" s="147" t="s">
        <v>350</v>
      </c>
    </row>
    <row r="315" spans="1:65" s="12" customFormat="1" ht="22.9" customHeight="1" x14ac:dyDescent="0.2">
      <c r="B315" s="123"/>
      <c r="C315" s="206"/>
      <c r="D315" s="124" t="s">
        <v>71</v>
      </c>
      <c r="E315" s="133" t="s">
        <v>361</v>
      </c>
      <c r="F315" s="133" t="s">
        <v>362</v>
      </c>
      <c r="J315" s="134">
        <f>BK315</f>
        <v>0</v>
      </c>
      <c r="L315" s="123"/>
      <c r="M315" s="127"/>
      <c r="N315" s="128"/>
      <c r="O315" s="128"/>
      <c r="P315" s="129">
        <f>SUM(P316:P330)</f>
        <v>40.835857500000003</v>
      </c>
      <c r="Q315" s="128"/>
      <c r="R315" s="129">
        <f>SUM(R316:R330)</f>
        <v>1.1689229999999999</v>
      </c>
      <c r="S315" s="128"/>
      <c r="T315" s="130">
        <f>SUM(T316:T330)</f>
        <v>0</v>
      </c>
      <c r="V315" s="184"/>
      <c r="AR315" s="124" t="s">
        <v>120</v>
      </c>
      <c r="AT315" s="131" t="s">
        <v>71</v>
      </c>
      <c r="AU315" s="131" t="s">
        <v>77</v>
      </c>
      <c r="AY315" s="124" t="s">
        <v>113</v>
      </c>
      <c r="BK315" s="132">
        <f>SUM(BK316:BK330)</f>
        <v>0</v>
      </c>
    </row>
    <row r="316" spans="1:65" s="2" customFormat="1" ht="36" customHeight="1" x14ac:dyDescent="0.2">
      <c r="A316" s="28"/>
      <c r="B316" s="135"/>
      <c r="C316" s="203">
        <v>81</v>
      </c>
      <c r="D316" s="136" t="s">
        <v>115</v>
      </c>
      <c r="E316" s="137" t="s">
        <v>363</v>
      </c>
      <c r="F316" s="138" t="s">
        <v>364</v>
      </c>
      <c r="G316" s="139" t="s">
        <v>161</v>
      </c>
      <c r="H316" s="140">
        <v>41.35</v>
      </c>
      <c r="I316" s="141"/>
      <c r="J316" s="141">
        <f>ROUND(I316*H316,2)</f>
        <v>0</v>
      </c>
      <c r="K316" s="142"/>
      <c r="L316" s="29"/>
      <c r="M316" s="143" t="s">
        <v>1</v>
      </c>
      <c r="N316" s="144" t="s">
        <v>38</v>
      </c>
      <c r="O316" s="145">
        <v>0.93305000000000005</v>
      </c>
      <c r="P316" s="145">
        <f>O316*H316</f>
        <v>38.5816175</v>
      </c>
      <c r="Q316" s="145">
        <v>3.1700000000000001E-3</v>
      </c>
      <c r="R316" s="145">
        <f>Q316*H316</f>
        <v>0.13107950000000002</v>
      </c>
      <c r="S316" s="145">
        <v>0</v>
      </c>
      <c r="T316" s="146">
        <f>S316*H316</f>
        <v>0</v>
      </c>
      <c r="U316" s="28"/>
      <c r="V316" s="179"/>
      <c r="W316" s="28"/>
      <c r="X316" s="28"/>
      <c r="Y316" s="28"/>
      <c r="Z316" s="28"/>
      <c r="AA316" s="28"/>
      <c r="AB316" s="28"/>
      <c r="AC316" s="28"/>
      <c r="AD316" s="28"/>
      <c r="AE316" s="28"/>
      <c r="AR316" s="147" t="s">
        <v>186</v>
      </c>
      <c r="AT316" s="147" t="s">
        <v>115</v>
      </c>
      <c r="AU316" s="147" t="s">
        <v>120</v>
      </c>
      <c r="AY316" s="16" t="s">
        <v>113</v>
      </c>
      <c r="BE316" s="148">
        <f>IF(N316="základná",J316,0)</f>
        <v>0</v>
      </c>
      <c r="BF316" s="148">
        <f>IF(N316="znížená",J316,0)</f>
        <v>0</v>
      </c>
      <c r="BG316" s="148">
        <f>IF(N316="zákl. prenesená",J316,0)</f>
        <v>0</v>
      </c>
      <c r="BH316" s="148">
        <f>IF(N316="zníž. prenesená",J316,0)</f>
        <v>0</v>
      </c>
      <c r="BI316" s="148">
        <f>IF(N316="nulová",J316,0)</f>
        <v>0</v>
      </c>
      <c r="BJ316" s="16" t="s">
        <v>120</v>
      </c>
      <c r="BK316" s="148">
        <f>ROUND(I316*H316,2)</f>
        <v>0</v>
      </c>
      <c r="BL316" s="16" t="s">
        <v>186</v>
      </c>
      <c r="BM316" s="147" t="s">
        <v>365</v>
      </c>
    </row>
    <row r="317" spans="1:65" s="13" customFormat="1" x14ac:dyDescent="0.2">
      <c r="B317" s="149"/>
      <c r="C317" s="204"/>
      <c r="D317" s="150" t="s">
        <v>122</v>
      </c>
      <c r="E317" s="151" t="s">
        <v>1</v>
      </c>
      <c r="F317" s="152">
        <v>13.61</v>
      </c>
      <c r="H317" s="153">
        <v>13.61</v>
      </c>
      <c r="L317" s="149"/>
      <c r="M317" s="154"/>
      <c r="N317" s="155"/>
      <c r="O317" s="155"/>
      <c r="P317" s="155"/>
      <c r="Q317" s="155"/>
      <c r="R317" s="155"/>
      <c r="S317" s="155"/>
      <c r="T317" s="156"/>
      <c r="V317" s="185"/>
      <c r="AT317" s="151" t="s">
        <v>122</v>
      </c>
      <c r="AU317" s="151" t="s">
        <v>120</v>
      </c>
      <c r="AV317" s="13" t="s">
        <v>120</v>
      </c>
      <c r="AW317" s="13" t="s">
        <v>28</v>
      </c>
      <c r="AX317" s="13" t="s">
        <v>72</v>
      </c>
      <c r="AY317" s="151" t="s">
        <v>113</v>
      </c>
    </row>
    <row r="318" spans="1:65" s="13" customFormat="1" x14ac:dyDescent="0.2">
      <c r="B318" s="149"/>
      <c r="C318" s="204"/>
      <c r="D318" s="150" t="s">
        <v>122</v>
      </c>
      <c r="E318" s="151" t="s">
        <v>1</v>
      </c>
      <c r="F318" s="152">
        <v>27.74</v>
      </c>
      <c r="H318" s="153">
        <v>27.74</v>
      </c>
      <c r="L318" s="149"/>
      <c r="M318" s="154"/>
      <c r="N318" s="155"/>
      <c r="O318" s="155"/>
      <c r="P318" s="155"/>
      <c r="Q318" s="155"/>
      <c r="R318" s="155"/>
      <c r="S318" s="155"/>
      <c r="T318" s="156"/>
      <c r="V318" s="185"/>
      <c r="AT318" s="151" t="s">
        <v>122</v>
      </c>
      <c r="AU318" s="151" t="s">
        <v>120</v>
      </c>
      <c r="AV318" s="13" t="s">
        <v>120</v>
      </c>
      <c r="AW318" s="13" t="s">
        <v>28</v>
      </c>
      <c r="AX318" s="13" t="s">
        <v>72</v>
      </c>
      <c r="AY318" s="151" t="s">
        <v>113</v>
      </c>
    </row>
    <row r="319" spans="1:65" s="14" customFormat="1" x14ac:dyDescent="0.2">
      <c r="B319" s="157"/>
      <c r="C319" s="205"/>
      <c r="D319" s="150" t="s">
        <v>122</v>
      </c>
      <c r="E319" s="158" t="s">
        <v>1</v>
      </c>
      <c r="F319" s="159" t="s">
        <v>128</v>
      </c>
      <c r="H319" s="160">
        <f>SUM(H317:H318)</f>
        <v>41.349999999999994</v>
      </c>
      <c r="L319" s="157"/>
      <c r="M319" s="161"/>
      <c r="N319" s="162"/>
      <c r="O319" s="162"/>
      <c r="P319" s="162"/>
      <c r="Q319" s="162"/>
      <c r="R319" s="162"/>
      <c r="S319" s="162"/>
      <c r="T319" s="163"/>
      <c r="V319" s="186"/>
      <c r="AT319" s="158" t="s">
        <v>122</v>
      </c>
      <c r="AU319" s="158" t="s">
        <v>120</v>
      </c>
      <c r="AV319" s="14" t="s">
        <v>119</v>
      </c>
      <c r="AW319" s="14" t="s">
        <v>28</v>
      </c>
      <c r="AX319" s="14" t="s">
        <v>77</v>
      </c>
      <c r="AY319" s="158" t="s">
        <v>113</v>
      </c>
    </row>
    <row r="320" spans="1:65" s="2" customFormat="1" ht="24" customHeight="1" x14ac:dyDescent="0.2">
      <c r="A320" s="28"/>
      <c r="B320" s="135"/>
      <c r="C320" s="207">
        <v>82</v>
      </c>
      <c r="D320" s="164" t="s">
        <v>268</v>
      </c>
      <c r="E320" s="165" t="s">
        <v>366</v>
      </c>
      <c r="F320" s="166" t="s">
        <v>367</v>
      </c>
      <c r="G320" s="167" t="s">
        <v>161</v>
      </c>
      <c r="H320" s="168">
        <v>42.177</v>
      </c>
      <c r="I320" s="169"/>
      <c r="J320" s="169">
        <f>ROUND(I320*H320,2)</f>
        <v>0</v>
      </c>
      <c r="K320" s="170"/>
      <c r="L320" s="171"/>
      <c r="M320" s="172" t="s">
        <v>1</v>
      </c>
      <c r="N320" s="173" t="s">
        <v>38</v>
      </c>
      <c r="O320" s="145">
        <v>0</v>
      </c>
      <c r="P320" s="145">
        <f>O320*H320</f>
        <v>0</v>
      </c>
      <c r="Q320" s="145">
        <v>1.9199999999999998E-2</v>
      </c>
      <c r="R320" s="145">
        <f>Q320*H320</f>
        <v>0.80979839999999992</v>
      </c>
      <c r="S320" s="145">
        <v>0</v>
      </c>
      <c r="T320" s="146">
        <f>S320*H320</f>
        <v>0</v>
      </c>
      <c r="U320" s="28"/>
      <c r="V320" s="179"/>
      <c r="W320" s="28"/>
      <c r="X320" s="28"/>
      <c r="Y320" s="28"/>
      <c r="Z320" s="28"/>
      <c r="AA320" s="28"/>
      <c r="AB320" s="28"/>
      <c r="AC320" s="28"/>
      <c r="AD320" s="28"/>
      <c r="AE320" s="28"/>
      <c r="AR320" s="147" t="s">
        <v>237</v>
      </c>
      <c r="AT320" s="147" t="s">
        <v>268</v>
      </c>
      <c r="AU320" s="147" t="s">
        <v>120</v>
      </c>
      <c r="AY320" s="16" t="s">
        <v>113</v>
      </c>
      <c r="BE320" s="148">
        <f>IF(N320="základná",J320,0)</f>
        <v>0</v>
      </c>
      <c r="BF320" s="148">
        <f>IF(N320="znížená",J320,0)</f>
        <v>0</v>
      </c>
      <c r="BG320" s="148">
        <f>IF(N320="zákl. prenesená",J320,0)</f>
        <v>0</v>
      </c>
      <c r="BH320" s="148">
        <f>IF(N320="zníž. prenesená",J320,0)</f>
        <v>0</v>
      </c>
      <c r="BI320" s="148">
        <f>IF(N320="nulová",J320,0)</f>
        <v>0</v>
      </c>
      <c r="BJ320" s="16" t="s">
        <v>120</v>
      </c>
      <c r="BK320" s="148">
        <f>ROUND(I320*H320,2)</f>
        <v>0</v>
      </c>
      <c r="BL320" s="16" t="s">
        <v>186</v>
      </c>
      <c r="BM320" s="147" t="s">
        <v>368</v>
      </c>
    </row>
    <row r="321" spans="1:65" s="13" customFormat="1" x14ac:dyDescent="0.2">
      <c r="B321" s="149"/>
      <c r="C321" s="204"/>
      <c r="D321" s="150" t="s">
        <v>122</v>
      </c>
      <c r="F321" s="152" t="s">
        <v>463</v>
      </c>
      <c r="H321" s="153">
        <v>42.177</v>
      </c>
      <c r="L321" s="149"/>
      <c r="M321" s="154"/>
      <c r="N321" s="155"/>
      <c r="O321" s="155"/>
      <c r="P321" s="155"/>
      <c r="Q321" s="155"/>
      <c r="R321" s="155"/>
      <c r="S321" s="155"/>
      <c r="T321" s="156"/>
      <c r="V321" s="185"/>
      <c r="AT321" s="151" t="s">
        <v>122</v>
      </c>
      <c r="AU321" s="151" t="s">
        <v>120</v>
      </c>
      <c r="AV321" s="13" t="s">
        <v>120</v>
      </c>
      <c r="AW321" s="13" t="s">
        <v>3</v>
      </c>
      <c r="AX321" s="13" t="s">
        <v>77</v>
      </c>
      <c r="AY321" s="151" t="s">
        <v>113</v>
      </c>
    </row>
    <row r="322" spans="1:65" s="2" customFormat="1" ht="24" customHeight="1" x14ac:dyDescent="0.2">
      <c r="A322" s="28"/>
      <c r="B322" s="135"/>
      <c r="C322" s="207">
        <v>83</v>
      </c>
      <c r="D322" s="164" t="s">
        <v>268</v>
      </c>
      <c r="E322" s="165" t="s">
        <v>369</v>
      </c>
      <c r="F322" s="166" t="s">
        <v>370</v>
      </c>
      <c r="G322" s="167" t="s">
        <v>271</v>
      </c>
      <c r="H322" s="168">
        <v>186.07499999999999</v>
      </c>
      <c r="I322" s="169"/>
      <c r="J322" s="169">
        <f>ROUND(I322*H322,2)</f>
        <v>0</v>
      </c>
      <c r="K322" s="170"/>
      <c r="L322" s="171"/>
      <c r="M322" s="172" t="s">
        <v>1</v>
      </c>
      <c r="N322" s="173" t="s">
        <v>38</v>
      </c>
      <c r="O322" s="145">
        <v>0</v>
      </c>
      <c r="P322" s="145">
        <f>O322*H322</f>
        <v>0</v>
      </c>
      <c r="Q322" s="145">
        <v>1E-3</v>
      </c>
      <c r="R322" s="145">
        <f>Q322*H322</f>
        <v>0.18607499999999999</v>
      </c>
      <c r="S322" s="145">
        <v>0</v>
      </c>
      <c r="T322" s="146">
        <f>S322*H322</f>
        <v>0</v>
      </c>
      <c r="U322" s="28"/>
      <c r="V322" s="179"/>
      <c r="W322" s="28"/>
      <c r="X322" s="28"/>
      <c r="Y322" s="28"/>
      <c r="Z322" s="28"/>
      <c r="AA322" s="28"/>
      <c r="AB322" s="28"/>
      <c r="AC322" s="28"/>
      <c r="AD322" s="28"/>
      <c r="AE322" s="28"/>
      <c r="AR322" s="147" t="s">
        <v>237</v>
      </c>
      <c r="AT322" s="147" t="s">
        <v>268</v>
      </c>
      <c r="AU322" s="147" t="s">
        <v>120</v>
      </c>
      <c r="AY322" s="16" t="s">
        <v>113</v>
      </c>
      <c r="BE322" s="148">
        <f>IF(N322="základná",J322,0)</f>
        <v>0</v>
      </c>
      <c r="BF322" s="148">
        <f>IF(N322="znížená",J322,0)</f>
        <v>0</v>
      </c>
      <c r="BG322" s="148">
        <f>IF(N322="zákl. prenesená",J322,0)</f>
        <v>0</v>
      </c>
      <c r="BH322" s="148">
        <f>IF(N322="zníž. prenesená",J322,0)</f>
        <v>0</v>
      </c>
      <c r="BI322" s="148">
        <f>IF(N322="nulová",J322,0)</f>
        <v>0</v>
      </c>
      <c r="BJ322" s="16" t="s">
        <v>120</v>
      </c>
      <c r="BK322" s="148">
        <f>ROUND(I322*H322,2)</f>
        <v>0</v>
      </c>
      <c r="BL322" s="16" t="s">
        <v>186</v>
      </c>
      <c r="BM322" s="147" t="s">
        <v>371</v>
      </c>
    </row>
    <row r="323" spans="1:65" s="13" customFormat="1" x14ac:dyDescent="0.2">
      <c r="B323" s="149"/>
      <c r="D323" s="150" t="s">
        <v>122</v>
      </c>
      <c r="F323" s="152" t="s">
        <v>464</v>
      </c>
      <c r="H323" s="153">
        <v>186.07499999999999</v>
      </c>
      <c r="L323" s="149"/>
      <c r="M323" s="154"/>
      <c r="N323" s="155"/>
      <c r="O323" s="155"/>
      <c r="P323" s="155"/>
      <c r="Q323" s="155"/>
      <c r="R323" s="155"/>
      <c r="S323" s="155"/>
      <c r="T323" s="156"/>
      <c r="V323" s="185"/>
      <c r="AT323" s="151" t="s">
        <v>122</v>
      </c>
      <c r="AU323" s="151" t="s">
        <v>120</v>
      </c>
      <c r="AV323" s="13" t="s">
        <v>120</v>
      </c>
      <c r="AW323" s="13" t="s">
        <v>3</v>
      </c>
      <c r="AX323" s="13" t="s">
        <v>77</v>
      </c>
      <c r="AY323" s="151" t="s">
        <v>113</v>
      </c>
    </row>
    <row r="324" spans="1:65" s="2" customFormat="1" ht="36" customHeight="1" x14ac:dyDescent="0.2">
      <c r="A324" s="28"/>
      <c r="B324" s="135"/>
      <c r="C324" s="207">
        <v>84</v>
      </c>
      <c r="D324" s="164" t="s">
        <v>268</v>
      </c>
      <c r="E324" s="165" t="s">
        <v>372</v>
      </c>
      <c r="F324" s="166" t="s">
        <v>373</v>
      </c>
      <c r="G324" s="167" t="s">
        <v>271</v>
      </c>
      <c r="H324" s="168">
        <v>41.35</v>
      </c>
      <c r="I324" s="169"/>
      <c r="J324" s="169">
        <f>ROUND(I324*H324,2)</f>
        <v>0</v>
      </c>
      <c r="K324" s="170"/>
      <c r="L324" s="171"/>
      <c r="M324" s="172" t="s">
        <v>1</v>
      </c>
      <c r="N324" s="173" t="s">
        <v>38</v>
      </c>
      <c r="O324" s="145">
        <v>0</v>
      </c>
      <c r="P324" s="145">
        <f>O324*H324</f>
        <v>0</v>
      </c>
      <c r="Q324" s="145">
        <v>1E-3</v>
      </c>
      <c r="R324" s="145">
        <f>Q324*H324</f>
        <v>4.1350000000000005E-2</v>
      </c>
      <c r="S324" s="145">
        <v>0</v>
      </c>
      <c r="T324" s="146">
        <f>S324*H324</f>
        <v>0</v>
      </c>
      <c r="U324" s="28"/>
      <c r="V324" s="179"/>
      <c r="W324" s="28"/>
      <c r="X324" s="28"/>
      <c r="Y324" s="28"/>
      <c r="Z324" s="28"/>
      <c r="AA324" s="28"/>
      <c r="AB324" s="28"/>
      <c r="AC324" s="28"/>
      <c r="AD324" s="28"/>
      <c r="AE324" s="28"/>
      <c r="AR324" s="147" t="s">
        <v>237</v>
      </c>
      <c r="AT324" s="147" t="s">
        <v>268</v>
      </c>
      <c r="AU324" s="147" t="s">
        <v>120</v>
      </c>
      <c r="AY324" s="16" t="s">
        <v>113</v>
      </c>
      <c r="BE324" s="148">
        <f>IF(N324="základná",J324,0)</f>
        <v>0</v>
      </c>
      <c r="BF324" s="148">
        <f>IF(N324="znížená",J324,0)</f>
        <v>0</v>
      </c>
      <c r="BG324" s="148">
        <f>IF(N324="zákl. prenesená",J324,0)</f>
        <v>0</v>
      </c>
      <c r="BH324" s="148">
        <f>IF(N324="zníž. prenesená",J324,0)</f>
        <v>0</v>
      </c>
      <c r="BI324" s="148">
        <f>IF(N324="nulová",J324,0)</f>
        <v>0</v>
      </c>
      <c r="BJ324" s="16" t="s">
        <v>120</v>
      </c>
      <c r="BK324" s="148">
        <f>ROUND(I324*H324,2)</f>
        <v>0</v>
      </c>
      <c r="BL324" s="16" t="s">
        <v>186</v>
      </c>
      <c r="BM324" s="147" t="s">
        <v>374</v>
      </c>
    </row>
    <row r="325" spans="1:65" s="2" customFormat="1" ht="24" customHeight="1" x14ac:dyDescent="0.2">
      <c r="A325" s="28"/>
      <c r="B325" s="135"/>
      <c r="C325" s="207">
        <v>85</v>
      </c>
      <c r="D325" s="164" t="s">
        <v>268</v>
      </c>
      <c r="E325" s="165" t="s">
        <v>375</v>
      </c>
      <c r="F325" s="166" t="s">
        <v>376</v>
      </c>
      <c r="G325" s="167" t="s">
        <v>377</v>
      </c>
      <c r="H325" s="168">
        <v>2.0670000000000002</v>
      </c>
      <c r="I325" s="169"/>
      <c r="J325" s="169">
        <f>ROUND(I325*H325,2)</f>
        <v>0</v>
      </c>
      <c r="K325" s="170"/>
      <c r="L325" s="171"/>
      <c r="M325" s="172" t="s">
        <v>1</v>
      </c>
      <c r="N325" s="173" t="s">
        <v>38</v>
      </c>
      <c r="O325" s="145">
        <v>0</v>
      </c>
      <c r="P325" s="145">
        <f>O325*H325</f>
        <v>0</v>
      </c>
      <c r="Q325" s="145">
        <v>2.9999999999999997E-4</v>
      </c>
      <c r="R325" s="145">
        <f>Q325*H325</f>
        <v>6.2009999999999995E-4</v>
      </c>
      <c r="S325" s="145">
        <v>0</v>
      </c>
      <c r="T325" s="146">
        <f>S325*H325</f>
        <v>0</v>
      </c>
      <c r="U325" s="28"/>
      <c r="V325" s="179"/>
      <c r="W325" s="28"/>
      <c r="X325" s="28"/>
      <c r="Y325" s="28"/>
      <c r="Z325" s="28"/>
      <c r="AA325" s="28"/>
      <c r="AB325" s="28"/>
      <c r="AC325" s="28"/>
      <c r="AD325" s="28"/>
      <c r="AE325" s="28"/>
      <c r="AR325" s="147" t="s">
        <v>237</v>
      </c>
      <c r="AT325" s="147" t="s">
        <v>268</v>
      </c>
      <c r="AU325" s="147" t="s">
        <v>120</v>
      </c>
      <c r="AY325" s="16" t="s">
        <v>113</v>
      </c>
      <c r="BE325" s="148">
        <f>IF(N325="základná",J325,0)</f>
        <v>0</v>
      </c>
      <c r="BF325" s="148">
        <f>IF(N325="znížená",J325,0)</f>
        <v>0</v>
      </c>
      <c r="BG325" s="148">
        <f>IF(N325="zákl. prenesená",J325,0)</f>
        <v>0</v>
      </c>
      <c r="BH325" s="148">
        <f>IF(N325="zníž. prenesená",J325,0)</f>
        <v>0</v>
      </c>
      <c r="BI325" s="148">
        <f>IF(N325="nulová",J325,0)</f>
        <v>0</v>
      </c>
      <c r="BJ325" s="16" t="s">
        <v>120</v>
      </c>
      <c r="BK325" s="148">
        <f>ROUND(I325*H325,2)</f>
        <v>0</v>
      </c>
      <c r="BL325" s="16" t="s">
        <v>186</v>
      </c>
      <c r="BM325" s="147" t="s">
        <v>378</v>
      </c>
    </row>
    <row r="326" spans="1:65" s="13" customFormat="1" x14ac:dyDescent="0.2">
      <c r="B326" s="149"/>
      <c r="C326" s="204"/>
      <c r="D326" s="150" t="s">
        <v>122</v>
      </c>
      <c r="F326" s="152" t="s">
        <v>465</v>
      </c>
      <c r="H326" s="153">
        <v>2.0670000000000002</v>
      </c>
      <c r="L326" s="149"/>
      <c r="M326" s="154"/>
      <c r="N326" s="155"/>
      <c r="O326" s="155"/>
      <c r="P326" s="155"/>
      <c r="Q326" s="155"/>
      <c r="R326" s="155"/>
      <c r="S326" s="155"/>
      <c r="T326" s="156"/>
      <c r="V326" s="185"/>
      <c r="AT326" s="151" t="s">
        <v>122</v>
      </c>
      <c r="AU326" s="151" t="s">
        <v>120</v>
      </c>
      <c r="AV326" s="13" t="s">
        <v>120</v>
      </c>
      <c r="AW326" s="13" t="s">
        <v>3</v>
      </c>
      <c r="AX326" s="13" t="s">
        <v>77</v>
      </c>
      <c r="AY326" s="151" t="s">
        <v>113</v>
      </c>
    </row>
    <row r="327" spans="1:65" s="2" customFormat="1" ht="24" customHeight="1" x14ac:dyDescent="0.2">
      <c r="A327" s="28"/>
      <c r="B327" s="135"/>
      <c r="C327" s="203">
        <v>86</v>
      </c>
      <c r="D327" s="136" t="s">
        <v>115</v>
      </c>
      <c r="E327" s="137" t="s">
        <v>379</v>
      </c>
      <c r="F327" s="138" t="s">
        <v>380</v>
      </c>
      <c r="G327" s="139" t="s">
        <v>229</v>
      </c>
      <c r="H327" s="140">
        <v>1.1679999999999999</v>
      </c>
      <c r="I327" s="141"/>
      <c r="J327" s="141">
        <f>ROUND(I327*H327,2)</f>
        <v>0</v>
      </c>
      <c r="K327" s="142"/>
      <c r="L327" s="29"/>
      <c r="M327" s="143" t="s">
        <v>1</v>
      </c>
      <c r="N327" s="144" t="s">
        <v>38</v>
      </c>
      <c r="O327" s="145">
        <v>1.6020000000000001</v>
      </c>
      <c r="P327" s="145">
        <f>O327*H327</f>
        <v>1.8711359999999999</v>
      </c>
      <c r="Q327" s="145">
        <v>0</v>
      </c>
      <c r="R327" s="145">
        <f>Q327*H327</f>
        <v>0</v>
      </c>
      <c r="S327" s="145">
        <v>0</v>
      </c>
      <c r="T327" s="146">
        <f>S327*H327</f>
        <v>0</v>
      </c>
      <c r="U327" s="28"/>
      <c r="V327" s="179"/>
      <c r="W327" s="28"/>
      <c r="X327" s="28"/>
      <c r="Y327" s="28"/>
      <c r="Z327" s="28"/>
      <c r="AA327" s="28"/>
      <c r="AB327" s="28"/>
      <c r="AC327" s="28"/>
      <c r="AD327" s="28"/>
      <c r="AE327" s="28"/>
      <c r="AR327" s="147" t="s">
        <v>186</v>
      </c>
      <c r="AT327" s="147" t="s">
        <v>115</v>
      </c>
      <c r="AU327" s="147" t="s">
        <v>120</v>
      </c>
      <c r="AY327" s="16" t="s">
        <v>113</v>
      </c>
      <c r="BE327" s="148">
        <f>IF(N327="základná",J327,0)</f>
        <v>0</v>
      </c>
      <c r="BF327" s="148">
        <f>IF(N327="znížená",J327,0)</f>
        <v>0</v>
      </c>
      <c r="BG327" s="148">
        <f>IF(N327="zákl. prenesená",J327,0)</f>
        <v>0</v>
      </c>
      <c r="BH327" s="148">
        <f>IF(N327="zníž. prenesená",J327,0)</f>
        <v>0</v>
      </c>
      <c r="BI327" s="148">
        <f>IF(N327="nulová",J327,0)</f>
        <v>0</v>
      </c>
      <c r="BJ327" s="16" t="s">
        <v>120</v>
      </c>
      <c r="BK327" s="148">
        <f>ROUND(I327*H327,2)</f>
        <v>0</v>
      </c>
      <c r="BL327" s="16" t="s">
        <v>186</v>
      </c>
      <c r="BM327" s="147" t="s">
        <v>381</v>
      </c>
    </row>
    <row r="328" spans="1:65" s="2" customFormat="1" ht="24" customHeight="1" x14ac:dyDescent="0.2">
      <c r="A328" s="28"/>
      <c r="B328" s="135"/>
      <c r="C328" s="203">
        <v>87</v>
      </c>
      <c r="D328" s="136" t="s">
        <v>115</v>
      </c>
      <c r="E328" s="137" t="s">
        <v>382</v>
      </c>
      <c r="F328" s="138" t="s">
        <v>383</v>
      </c>
      <c r="G328" s="139" t="s">
        <v>229</v>
      </c>
      <c r="H328" s="140">
        <v>1.1679999999999999</v>
      </c>
      <c r="I328" s="141"/>
      <c r="J328" s="141">
        <f>ROUND(I328*H328,2)</f>
        <v>0</v>
      </c>
      <c r="K328" s="142"/>
      <c r="L328" s="29"/>
      <c r="M328" s="143" t="s">
        <v>1</v>
      </c>
      <c r="N328" s="144" t="s">
        <v>38</v>
      </c>
      <c r="O328" s="145">
        <v>0.20799999999999999</v>
      </c>
      <c r="P328" s="145">
        <f>O328*H328</f>
        <v>0.24294399999999997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U328" s="28"/>
      <c r="V328" s="179"/>
      <c r="W328" s="28"/>
      <c r="X328" s="28"/>
      <c r="Y328" s="28"/>
      <c r="Z328" s="28"/>
      <c r="AA328" s="28"/>
      <c r="AB328" s="28"/>
      <c r="AC328" s="28"/>
      <c r="AD328" s="28"/>
      <c r="AE328" s="28"/>
      <c r="AR328" s="147" t="s">
        <v>186</v>
      </c>
      <c r="AT328" s="147" t="s">
        <v>115</v>
      </c>
      <c r="AU328" s="147" t="s">
        <v>120</v>
      </c>
      <c r="AY328" s="16" t="s">
        <v>113</v>
      </c>
      <c r="BE328" s="148">
        <f>IF(N328="základná",J328,0)</f>
        <v>0</v>
      </c>
      <c r="BF328" s="148">
        <f>IF(N328="znížená",J328,0)</f>
        <v>0</v>
      </c>
      <c r="BG328" s="148">
        <f>IF(N328="zákl. prenesená",J328,0)</f>
        <v>0</v>
      </c>
      <c r="BH328" s="148">
        <f>IF(N328="zníž. prenesená",J328,0)</f>
        <v>0</v>
      </c>
      <c r="BI328" s="148">
        <f>IF(N328="nulová",J328,0)</f>
        <v>0</v>
      </c>
      <c r="BJ328" s="16" t="s">
        <v>120</v>
      </c>
      <c r="BK328" s="148">
        <f>ROUND(I328*H328,2)</f>
        <v>0</v>
      </c>
      <c r="BL328" s="16" t="s">
        <v>186</v>
      </c>
      <c r="BM328" s="147" t="s">
        <v>384</v>
      </c>
    </row>
    <row r="329" spans="1:65" s="2" customFormat="1" ht="24" customHeight="1" x14ac:dyDescent="0.2">
      <c r="A329" s="28"/>
      <c r="B329" s="135"/>
      <c r="C329" s="203">
        <v>88</v>
      </c>
      <c r="D329" s="136" t="s">
        <v>115</v>
      </c>
      <c r="E329" s="137" t="s">
        <v>385</v>
      </c>
      <c r="F329" s="138" t="s">
        <v>386</v>
      </c>
      <c r="G329" s="139" t="s">
        <v>229</v>
      </c>
      <c r="H329" s="140">
        <v>17.52</v>
      </c>
      <c r="I329" s="141"/>
      <c r="J329" s="141">
        <f>ROUND(I329*H329,2)</f>
        <v>0</v>
      </c>
      <c r="K329" s="142"/>
      <c r="L329" s="29"/>
      <c r="M329" s="143" t="s">
        <v>1</v>
      </c>
      <c r="N329" s="144" t="s">
        <v>38</v>
      </c>
      <c r="O329" s="145">
        <v>8.0000000000000002E-3</v>
      </c>
      <c r="P329" s="145">
        <f>O329*H329</f>
        <v>0.14016000000000001</v>
      </c>
      <c r="Q329" s="145">
        <v>0</v>
      </c>
      <c r="R329" s="145">
        <f>Q329*H329</f>
        <v>0</v>
      </c>
      <c r="S329" s="145">
        <v>0</v>
      </c>
      <c r="T329" s="146">
        <f>S329*H329</f>
        <v>0</v>
      </c>
      <c r="U329" s="28"/>
      <c r="V329" s="179"/>
      <c r="W329" s="28"/>
      <c r="X329" s="28"/>
      <c r="Y329" s="28"/>
      <c r="Z329" s="28"/>
      <c r="AA329" s="28"/>
      <c r="AB329" s="28"/>
      <c r="AC329" s="28"/>
      <c r="AD329" s="28"/>
      <c r="AE329" s="28"/>
      <c r="AR329" s="147" t="s">
        <v>186</v>
      </c>
      <c r="AT329" s="147" t="s">
        <v>115</v>
      </c>
      <c r="AU329" s="147" t="s">
        <v>120</v>
      </c>
      <c r="AY329" s="16" t="s">
        <v>113</v>
      </c>
      <c r="BE329" s="148">
        <f>IF(N329="základná",J329,0)</f>
        <v>0</v>
      </c>
      <c r="BF329" s="148">
        <f>IF(N329="znížená",J329,0)</f>
        <v>0</v>
      </c>
      <c r="BG329" s="148">
        <f>IF(N329="zákl. prenesená",J329,0)</f>
        <v>0</v>
      </c>
      <c r="BH329" s="148">
        <f>IF(N329="zníž. prenesená",J329,0)</f>
        <v>0</v>
      </c>
      <c r="BI329" s="148">
        <f>IF(N329="nulová",J329,0)</f>
        <v>0</v>
      </c>
      <c r="BJ329" s="16" t="s">
        <v>120</v>
      </c>
      <c r="BK329" s="148">
        <f>ROUND(I329*H329,2)</f>
        <v>0</v>
      </c>
      <c r="BL329" s="16" t="s">
        <v>186</v>
      </c>
      <c r="BM329" s="147" t="s">
        <v>387</v>
      </c>
    </row>
    <row r="330" spans="1:65" s="13" customFormat="1" x14ac:dyDescent="0.2">
      <c r="B330" s="149"/>
      <c r="C330" s="204"/>
      <c r="D330" s="150" t="s">
        <v>122</v>
      </c>
      <c r="F330" s="152" t="s">
        <v>466</v>
      </c>
      <c r="H330" s="153">
        <v>17.52</v>
      </c>
      <c r="L330" s="149"/>
      <c r="M330" s="154"/>
      <c r="N330" s="155"/>
      <c r="O330" s="155"/>
      <c r="P330" s="155"/>
      <c r="Q330" s="155"/>
      <c r="R330" s="155"/>
      <c r="S330" s="155"/>
      <c r="T330" s="156"/>
      <c r="V330" s="185"/>
      <c r="AT330" s="151" t="s">
        <v>122</v>
      </c>
      <c r="AU330" s="151" t="s">
        <v>120</v>
      </c>
      <c r="AV330" s="13" t="s">
        <v>120</v>
      </c>
      <c r="AW330" s="13" t="s">
        <v>3</v>
      </c>
      <c r="AX330" s="13" t="s">
        <v>77</v>
      </c>
      <c r="AY330" s="151" t="s">
        <v>113</v>
      </c>
    </row>
    <row r="331" spans="1:65" s="12" customFormat="1" ht="22.9" customHeight="1" x14ac:dyDescent="0.2">
      <c r="B331" s="123"/>
      <c r="C331" s="206"/>
      <c r="D331" s="124" t="s">
        <v>71</v>
      </c>
      <c r="E331" s="133" t="s">
        <v>388</v>
      </c>
      <c r="F331" s="133" t="s">
        <v>389</v>
      </c>
      <c r="J331" s="134">
        <f>BK331</f>
        <v>0</v>
      </c>
      <c r="L331" s="123"/>
      <c r="M331" s="127"/>
      <c r="N331" s="128"/>
      <c r="O331" s="128"/>
      <c r="P331" s="129">
        <f>SUM(P332:P352)</f>
        <v>45.261177799999999</v>
      </c>
      <c r="Q331" s="128"/>
      <c r="R331" s="129">
        <f>SUM(R332:R352)</f>
        <v>0.22726409</v>
      </c>
      <c r="S331" s="128"/>
      <c r="T331" s="130">
        <f>SUM(T332:T352)</f>
        <v>8.1509999999999999E-2</v>
      </c>
      <c r="V331" s="184"/>
      <c r="AR331" s="124" t="s">
        <v>120</v>
      </c>
      <c r="AT331" s="131" t="s">
        <v>71</v>
      </c>
      <c r="AU331" s="131" t="s">
        <v>77</v>
      </c>
      <c r="AY331" s="124" t="s">
        <v>113</v>
      </c>
      <c r="BK331" s="132">
        <f>SUM(BK332:BK352)</f>
        <v>0</v>
      </c>
    </row>
    <row r="332" spans="1:65" s="2" customFormat="1" ht="24" customHeight="1" x14ac:dyDescent="0.2">
      <c r="A332" s="28"/>
      <c r="B332" s="135"/>
      <c r="C332" s="203">
        <v>89</v>
      </c>
      <c r="D332" s="136" t="s">
        <v>115</v>
      </c>
      <c r="E332" s="137" t="s">
        <v>390</v>
      </c>
      <c r="F332" s="138" t="s">
        <v>391</v>
      </c>
      <c r="G332" s="139" t="s">
        <v>161</v>
      </c>
      <c r="H332" s="140">
        <v>37.21</v>
      </c>
      <c r="I332" s="141"/>
      <c r="J332" s="141">
        <f>ROUND(I332*H332,2)</f>
        <v>0</v>
      </c>
      <c r="K332" s="142"/>
      <c r="L332" s="29"/>
      <c r="M332" s="143" t="s">
        <v>1</v>
      </c>
      <c r="N332" s="144" t="s">
        <v>38</v>
      </c>
      <c r="O332" s="145">
        <v>0.24099999999999999</v>
      </c>
      <c r="P332" s="145">
        <f>O332*H332</f>
        <v>8.9676100000000005</v>
      </c>
      <c r="Q332" s="145">
        <v>0</v>
      </c>
      <c r="R332" s="145">
        <f>Q332*H332</f>
        <v>0</v>
      </c>
      <c r="S332" s="145">
        <v>1E-3</v>
      </c>
      <c r="T332" s="146">
        <f>S332*H332</f>
        <v>3.721E-2</v>
      </c>
      <c r="U332" s="28"/>
      <c r="V332" s="179"/>
      <c r="W332" s="28"/>
      <c r="X332" s="28"/>
      <c r="Y332" s="28"/>
      <c r="Z332" s="28"/>
      <c r="AA332" s="28"/>
      <c r="AB332" s="28"/>
      <c r="AC332" s="28"/>
      <c r="AD332" s="28"/>
      <c r="AE332" s="28"/>
      <c r="AR332" s="147" t="s">
        <v>186</v>
      </c>
      <c r="AT332" s="147" t="s">
        <v>115</v>
      </c>
      <c r="AU332" s="147" t="s">
        <v>120</v>
      </c>
      <c r="AY332" s="16" t="s">
        <v>113</v>
      </c>
      <c r="BE332" s="148">
        <f>IF(N332="základná",J332,0)</f>
        <v>0</v>
      </c>
      <c r="BF332" s="148">
        <f>IF(N332="znížená",J332,0)</f>
        <v>0</v>
      </c>
      <c r="BG332" s="148">
        <f>IF(N332="zákl. prenesená",J332,0)</f>
        <v>0</v>
      </c>
      <c r="BH332" s="148">
        <f>IF(N332="zníž. prenesená",J332,0)</f>
        <v>0</v>
      </c>
      <c r="BI332" s="148">
        <f>IF(N332="nulová",J332,0)</f>
        <v>0</v>
      </c>
      <c r="BJ332" s="16" t="s">
        <v>120</v>
      </c>
      <c r="BK332" s="148">
        <f>ROUND(I332*H332,2)</f>
        <v>0</v>
      </c>
      <c r="BL332" s="16" t="s">
        <v>186</v>
      </c>
      <c r="BM332" s="147" t="s">
        <v>392</v>
      </c>
    </row>
    <row r="333" spans="1:65" s="13" customFormat="1" x14ac:dyDescent="0.2">
      <c r="B333" s="149"/>
      <c r="C333" s="204"/>
      <c r="D333" s="150" t="s">
        <v>122</v>
      </c>
      <c r="E333" s="151" t="s">
        <v>1</v>
      </c>
      <c r="F333" s="152">
        <v>26.79</v>
      </c>
      <c r="H333" s="153">
        <v>26.79</v>
      </c>
      <c r="L333" s="149"/>
      <c r="M333" s="154"/>
      <c r="N333" s="155"/>
      <c r="O333" s="155"/>
      <c r="P333" s="155"/>
      <c r="Q333" s="155"/>
      <c r="R333" s="155"/>
      <c r="S333" s="155"/>
      <c r="T333" s="156"/>
      <c r="V333" s="185"/>
      <c r="AT333" s="151" t="s">
        <v>122</v>
      </c>
      <c r="AU333" s="151" t="s">
        <v>120</v>
      </c>
      <c r="AV333" s="13" t="s">
        <v>120</v>
      </c>
      <c r="AW333" s="13" t="s">
        <v>28</v>
      </c>
      <c r="AX333" s="13" t="s">
        <v>77</v>
      </c>
      <c r="AY333" s="151" t="s">
        <v>113</v>
      </c>
    </row>
    <row r="334" spans="1:65" s="13" customFormat="1" x14ac:dyDescent="0.2">
      <c r="B334" s="149"/>
      <c r="C334" s="204"/>
      <c r="D334" s="150" t="s">
        <v>122</v>
      </c>
      <c r="E334" s="151" t="s">
        <v>1</v>
      </c>
      <c r="F334" s="152">
        <v>10.42</v>
      </c>
      <c r="H334" s="153">
        <v>10.42</v>
      </c>
      <c r="L334" s="149"/>
      <c r="M334" s="154"/>
      <c r="N334" s="155"/>
      <c r="O334" s="155"/>
      <c r="P334" s="155"/>
      <c r="Q334" s="155"/>
      <c r="R334" s="155"/>
      <c r="S334" s="155"/>
      <c r="T334" s="156"/>
      <c r="V334" s="185"/>
      <c r="AT334" s="151" t="s">
        <v>122</v>
      </c>
      <c r="AU334" s="151" t="s">
        <v>120</v>
      </c>
      <c r="AV334" s="13" t="s">
        <v>120</v>
      </c>
      <c r="AW334" s="13" t="s">
        <v>28</v>
      </c>
      <c r="AX334" s="13" t="s">
        <v>77</v>
      </c>
      <c r="AY334" s="151" t="s">
        <v>113</v>
      </c>
    </row>
    <row r="335" spans="1:65" s="14" customFormat="1" x14ac:dyDescent="0.2">
      <c r="B335" s="157"/>
      <c r="C335" s="205"/>
      <c r="D335" s="150" t="s">
        <v>122</v>
      </c>
      <c r="E335" s="158" t="s">
        <v>1</v>
      </c>
      <c r="F335" s="159" t="s">
        <v>128</v>
      </c>
      <c r="H335" s="160">
        <f>SUM(H333:H334)</f>
        <v>37.21</v>
      </c>
      <c r="L335" s="157"/>
      <c r="M335" s="161"/>
      <c r="N335" s="162"/>
      <c r="O335" s="162"/>
      <c r="P335" s="162"/>
      <c r="Q335" s="162"/>
      <c r="R335" s="162"/>
      <c r="S335" s="162"/>
      <c r="T335" s="163"/>
      <c r="V335" s="186"/>
      <c r="AT335" s="158" t="s">
        <v>122</v>
      </c>
      <c r="AU335" s="158" t="s">
        <v>120</v>
      </c>
      <c r="AV335" s="14" t="s">
        <v>119</v>
      </c>
      <c r="AW335" s="14" t="s">
        <v>28</v>
      </c>
      <c r="AX335" s="14" t="s">
        <v>77</v>
      </c>
      <c r="AY335" s="158" t="s">
        <v>113</v>
      </c>
    </row>
    <row r="336" spans="1:65" s="2" customFormat="1" ht="16.5" customHeight="1" x14ac:dyDescent="0.2">
      <c r="A336" s="28"/>
      <c r="B336" s="135"/>
      <c r="C336" s="203">
        <v>90</v>
      </c>
      <c r="D336" s="136" t="s">
        <v>115</v>
      </c>
      <c r="E336" s="137" t="s">
        <v>393</v>
      </c>
      <c r="F336" s="138" t="s">
        <v>394</v>
      </c>
      <c r="G336" s="139" t="s">
        <v>151</v>
      </c>
      <c r="H336" s="140">
        <v>44.3</v>
      </c>
      <c r="I336" s="141"/>
      <c r="J336" s="141">
        <f>ROUND(I336*H336,2)</f>
        <v>0</v>
      </c>
      <c r="K336" s="142"/>
      <c r="L336" s="29"/>
      <c r="M336" s="143" t="s">
        <v>1</v>
      </c>
      <c r="N336" s="144" t="s">
        <v>38</v>
      </c>
      <c r="O336" s="145">
        <v>9.5000000000000001E-2</v>
      </c>
      <c r="P336" s="145">
        <f>O336*H336</f>
        <v>4.2084999999999999</v>
      </c>
      <c r="Q336" s="145">
        <v>0</v>
      </c>
      <c r="R336" s="145">
        <f>Q336*H336</f>
        <v>0</v>
      </c>
      <c r="S336" s="145">
        <v>1E-3</v>
      </c>
      <c r="T336" s="146">
        <f>S336*H336</f>
        <v>4.4299999999999999E-2</v>
      </c>
      <c r="U336" s="28"/>
      <c r="V336" s="179"/>
      <c r="W336" s="28"/>
      <c r="X336" s="28"/>
      <c r="Y336" s="28"/>
      <c r="Z336" s="28"/>
      <c r="AA336" s="28"/>
      <c r="AB336" s="28"/>
      <c r="AC336" s="28"/>
      <c r="AD336" s="28"/>
      <c r="AE336" s="28"/>
      <c r="AR336" s="147" t="s">
        <v>186</v>
      </c>
      <c r="AT336" s="147" t="s">
        <v>115</v>
      </c>
      <c r="AU336" s="147" t="s">
        <v>120</v>
      </c>
      <c r="AY336" s="16" t="s">
        <v>113</v>
      </c>
      <c r="BE336" s="148">
        <f>IF(N336="základná",J336,0)</f>
        <v>0</v>
      </c>
      <c r="BF336" s="148">
        <f>IF(N336="znížená",J336,0)</f>
        <v>0</v>
      </c>
      <c r="BG336" s="148">
        <f>IF(N336="zákl. prenesená",J336,0)</f>
        <v>0</v>
      </c>
      <c r="BH336" s="148">
        <f>IF(N336="zníž. prenesená",J336,0)</f>
        <v>0</v>
      </c>
      <c r="BI336" s="148">
        <f>IF(N336="nulová",J336,0)</f>
        <v>0</v>
      </c>
      <c r="BJ336" s="16" t="s">
        <v>120</v>
      </c>
      <c r="BK336" s="148">
        <f>ROUND(I336*H336,2)</f>
        <v>0</v>
      </c>
      <c r="BL336" s="16" t="s">
        <v>186</v>
      </c>
      <c r="BM336" s="147" t="s">
        <v>395</v>
      </c>
    </row>
    <row r="337" spans="1:65" s="13" customFormat="1" x14ac:dyDescent="0.2">
      <c r="B337" s="149"/>
      <c r="C337" s="204"/>
      <c r="D337" s="150" t="s">
        <v>122</v>
      </c>
      <c r="E337" s="151" t="s">
        <v>1</v>
      </c>
      <c r="F337" s="152">
        <v>44.3</v>
      </c>
      <c r="H337" s="153">
        <v>44.3</v>
      </c>
      <c r="L337" s="149"/>
      <c r="M337" s="154"/>
      <c r="N337" s="155"/>
      <c r="O337" s="155"/>
      <c r="P337" s="155"/>
      <c r="Q337" s="155"/>
      <c r="R337" s="155"/>
      <c r="S337" s="155"/>
      <c r="T337" s="156"/>
      <c r="V337" s="185"/>
      <c r="AT337" s="151" t="s">
        <v>122</v>
      </c>
      <c r="AU337" s="151" t="s">
        <v>120</v>
      </c>
      <c r="AV337" s="13" t="s">
        <v>120</v>
      </c>
      <c r="AW337" s="13" t="s">
        <v>28</v>
      </c>
      <c r="AX337" s="13" t="s">
        <v>77</v>
      </c>
      <c r="AY337" s="151" t="s">
        <v>113</v>
      </c>
    </row>
    <row r="338" spans="1:65" s="2" customFormat="1" ht="24" customHeight="1" x14ac:dyDescent="0.2">
      <c r="A338" s="28"/>
      <c r="B338" s="135"/>
      <c r="C338" s="203">
        <v>91</v>
      </c>
      <c r="D338" s="136" t="s">
        <v>115</v>
      </c>
      <c r="E338" s="137" t="s">
        <v>396</v>
      </c>
      <c r="F338" s="138" t="s">
        <v>397</v>
      </c>
      <c r="G338" s="139" t="s">
        <v>161</v>
      </c>
      <c r="H338" s="140">
        <v>37.21</v>
      </c>
      <c r="I338" s="141"/>
      <c r="J338" s="141">
        <f>ROUND(I338*H338,2)</f>
        <v>0</v>
      </c>
      <c r="K338" s="142"/>
      <c r="L338" s="29"/>
      <c r="M338" s="143" t="s">
        <v>1</v>
      </c>
      <c r="N338" s="144" t="s">
        <v>38</v>
      </c>
      <c r="O338" s="145">
        <v>3.9E-2</v>
      </c>
      <c r="P338" s="145">
        <f>O338*H338</f>
        <v>1.45119</v>
      </c>
      <c r="Q338" s="145">
        <v>0</v>
      </c>
      <c r="R338" s="145">
        <f>Q338*H338</f>
        <v>0</v>
      </c>
      <c r="S338" s="145">
        <v>0</v>
      </c>
      <c r="T338" s="146">
        <f>S338*H338</f>
        <v>0</v>
      </c>
      <c r="U338" s="28"/>
      <c r="V338" s="179"/>
      <c r="W338" s="28"/>
      <c r="X338" s="28"/>
      <c r="Y338" s="28"/>
      <c r="Z338" s="28"/>
      <c r="AA338" s="28"/>
      <c r="AB338" s="28"/>
      <c r="AC338" s="28"/>
      <c r="AD338" s="28"/>
      <c r="AE338" s="28"/>
      <c r="AR338" s="147" t="s">
        <v>186</v>
      </c>
      <c r="AT338" s="147" t="s">
        <v>115</v>
      </c>
      <c r="AU338" s="147" t="s">
        <v>120</v>
      </c>
      <c r="AY338" s="16" t="s">
        <v>113</v>
      </c>
      <c r="BE338" s="148">
        <f>IF(N338="základná",J338,0)</f>
        <v>0</v>
      </c>
      <c r="BF338" s="148">
        <f>IF(N338="znížená",J338,0)</f>
        <v>0</v>
      </c>
      <c r="BG338" s="148">
        <f>IF(N338="zákl. prenesená",J338,0)</f>
        <v>0</v>
      </c>
      <c r="BH338" s="148">
        <f>IF(N338="zníž. prenesená",J338,0)</f>
        <v>0</v>
      </c>
      <c r="BI338" s="148">
        <f>IF(N338="nulová",J338,0)</f>
        <v>0</v>
      </c>
      <c r="BJ338" s="16" t="s">
        <v>120</v>
      </c>
      <c r="BK338" s="148">
        <f>ROUND(I338*H338,2)</f>
        <v>0</v>
      </c>
      <c r="BL338" s="16" t="s">
        <v>186</v>
      </c>
      <c r="BM338" s="147" t="s">
        <v>398</v>
      </c>
    </row>
    <row r="339" spans="1:65" s="2" customFormat="1" ht="16.5" customHeight="1" x14ac:dyDescent="0.2">
      <c r="A339" s="28"/>
      <c r="B339" s="135"/>
      <c r="C339" s="203">
        <v>92</v>
      </c>
      <c r="D339" s="136" t="s">
        <v>115</v>
      </c>
      <c r="E339" s="137" t="s">
        <v>399</v>
      </c>
      <c r="F339" s="138" t="s">
        <v>400</v>
      </c>
      <c r="G339" s="139" t="s">
        <v>161</v>
      </c>
      <c r="H339" s="140">
        <v>37.21</v>
      </c>
      <c r="I339" s="141"/>
      <c r="J339" s="141">
        <f>ROUND(I339*H339,2)</f>
        <v>0</v>
      </c>
      <c r="K339" s="142"/>
      <c r="L339" s="29"/>
      <c r="M339" s="143" t="s">
        <v>1</v>
      </c>
      <c r="N339" s="144" t="s">
        <v>38</v>
      </c>
      <c r="O339" s="145">
        <v>0.08</v>
      </c>
      <c r="P339" s="145">
        <f>O339*H339</f>
        <v>2.9768000000000003</v>
      </c>
      <c r="Q339" s="145">
        <v>0</v>
      </c>
      <c r="R339" s="145">
        <f>Q339*H339</f>
        <v>0</v>
      </c>
      <c r="S339" s="145">
        <v>0</v>
      </c>
      <c r="T339" s="146">
        <f>S339*H339</f>
        <v>0</v>
      </c>
      <c r="U339" s="28"/>
      <c r="V339" s="179"/>
      <c r="W339" s="28"/>
      <c r="X339" s="28"/>
      <c r="Y339" s="28"/>
      <c r="Z339" s="28"/>
      <c r="AA339" s="28"/>
      <c r="AB339" s="28"/>
      <c r="AC339" s="28"/>
      <c r="AD339" s="28"/>
      <c r="AE339" s="28"/>
      <c r="AR339" s="147" t="s">
        <v>186</v>
      </c>
      <c r="AT339" s="147" t="s">
        <v>115</v>
      </c>
      <c r="AU339" s="147" t="s">
        <v>120</v>
      </c>
      <c r="AY339" s="16" t="s">
        <v>113</v>
      </c>
      <c r="BE339" s="148">
        <f>IF(N339="základná",J339,0)</f>
        <v>0</v>
      </c>
      <c r="BF339" s="148">
        <f>IF(N339="znížená",J339,0)</f>
        <v>0</v>
      </c>
      <c r="BG339" s="148">
        <f>IF(N339="zákl. prenesená",J339,0)</f>
        <v>0</v>
      </c>
      <c r="BH339" s="148">
        <f>IF(N339="zníž. prenesená",J339,0)</f>
        <v>0</v>
      </c>
      <c r="BI339" s="148">
        <f>IF(N339="nulová",J339,0)</f>
        <v>0</v>
      </c>
      <c r="BJ339" s="16" t="s">
        <v>120</v>
      </c>
      <c r="BK339" s="148">
        <f>ROUND(I339*H339,2)</f>
        <v>0</v>
      </c>
      <c r="BL339" s="16" t="s">
        <v>186</v>
      </c>
      <c r="BM339" s="147" t="s">
        <v>401</v>
      </c>
    </row>
    <row r="340" spans="1:65" s="2" customFormat="1" ht="24" customHeight="1" x14ac:dyDescent="0.2">
      <c r="A340" s="28"/>
      <c r="B340" s="135"/>
      <c r="C340" s="203">
        <v>93</v>
      </c>
      <c r="D340" s="136" t="s">
        <v>115</v>
      </c>
      <c r="E340" s="137" t="s">
        <v>402</v>
      </c>
      <c r="F340" s="138" t="s">
        <v>403</v>
      </c>
      <c r="G340" s="139" t="s">
        <v>161</v>
      </c>
      <c r="H340" s="140">
        <v>37.21</v>
      </c>
      <c r="I340" s="141"/>
      <c r="J340" s="141">
        <f>ROUND(I340*H340,2)</f>
        <v>0</v>
      </c>
      <c r="K340" s="142"/>
      <c r="L340" s="29"/>
      <c r="M340" s="143" t="s">
        <v>1</v>
      </c>
      <c r="N340" s="144" t="s">
        <v>38</v>
      </c>
      <c r="O340" s="145">
        <v>1.3140000000000001E-2</v>
      </c>
      <c r="P340" s="145">
        <f>O340*H340</f>
        <v>0.48893940000000002</v>
      </c>
      <c r="Q340" s="145">
        <v>8.0000000000000007E-5</v>
      </c>
      <c r="R340" s="145">
        <f>Q340*H340</f>
        <v>2.9768000000000004E-3</v>
      </c>
      <c r="S340" s="145">
        <v>0</v>
      </c>
      <c r="T340" s="146">
        <f>S340*H340</f>
        <v>0</v>
      </c>
      <c r="U340" s="28"/>
      <c r="V340" s="179"/>
      <c r="W340" s="28"/>
      <c r="X340" s="28"/>
      <c r="Y340" s="28"/>
      <c r="Z340" s="28"/>
      <c r="AA340" s="28"/>
      <c r="AB340" s="28"/>
      <c r="AC340" s="28"/>
      <c r="AD340" s="28"/>
      <c r="AE340" s="28"/>
      <c r="AR340" s="147" t="s">
        <v>186</v>
      </c>
      <c r="AT340" s="147" t="s">
        <v>115</v>
      </c>
      <c r="AU340" s="147" t="s">
        <v>120</v>
      </c>
      <c r="AY340" s="16" t="s">
        <v>113</v>
      </c>
      <c r="BE340" s="148">
        <f>IF(N340="základná",J340,0)</f>
        <v>0</v>
      </c>
      <c r="BF340" s="148">
        <f>IF(N340="znížená",J340,0)</f>
        <v>0</v>
      </c>
      <c r="BG340" s="148">
        <f>IF(N340="zákl. prenesená",J340,0)</f>
        <v>0</v>
      </c>
      <c r="BH340" s="148">
        <f>IF(N340="zníž. prenesená",J340,0)</f>
        <v>0</v>
      </c>
      <c r="BI340" s="148">
        <f>IF(N340="nulová",J340,0)</f>
        <v>0</v>
      </c>
      <c r="BJ340" s="16" t="s">
        <v>120</v>
      </c>
      <c r="BK340" s="148">
        <f>ROUND(I340*H340,2)</f>
        <v>0</v>
      </c>
      <c r="BL340" s="16" t="s">
        <v>186</v>
      </c>
      <c r="BM340" s="147" t="s">
        <v>404</v>
      </c>
    </row>
    <row r="341" spans="1:65" s="2" customFormat="1" ht="24" customHeight="1" x14ac:dyDescent="0.2">
      <c r="A341" s="28"/>
      <c r="B341" s="135"/>
      <c r="C341" s="203">
        <v>94</v>
      </c>
      <c r="D341" s="136" t="s">
        <v>115</v>
      </c>
      <c r="E341" s="137" t="s">
        <v>405</v>
      </c>
      <c r="F341" s="138" t="s">
        <v>406</v>
      </c>
      <c r="G341" s="139" t="s">
        <v>161</v>
      </c>
      <c r="H341" s="140">
        <v>37.21</v>
      </c>
      <c r="I341" s="141"/>
      <c r="J341" s="141">
        <f>ROUND(I341*H341,2)</f>
        <v>0</v>
      </c>
      <c r="K341" s="142"/>
      <c r="L341" s="29"/>
      <c r="M341" s="143" t="s">
        <v>1</v>
      </c>
      <c r="N341" s="144" t="s">
        <v>38</v>
      </c>
      <c r="O341" s="145">
        <v>0.27500000000000002</v>
      </c>
      <c r="P341" s="145">
        <f>O341*H341</f>
        <v>10.232750000000001</v>
      </c>
      <c r="Q341" s="145">
        <v>0</v>
      </c>
      <c r="R341" s="145">
        <f>Q341*H341</f>
        <v>0</v>
      </c>
      <c r="S341" s="145">
        <v>0</v>
      </c>
      <c r="T341" s="146">
        <f>S341*H341</f>
        <v>0</v>
      </c>
      <c r="U341" s="28"/>
      <c r="V341" s="179"/>
      <c r="W341" s="28"/>
      <c r="X341" s="28"/>
      <c r="Y341" s="28"/>
      <c r="Z341" s="28"/>
      <c r="AA341" s="28"/>
      <c r="AB341" s="28"/>
      <c r="AC341" s="28"/>
      <c r="AD341" s="28"/>
      <c r="AE341" s="28"/>
      <c r="AR341" s="147" t="s">
        <v>186</v>
      </c>
      <c r="AT341" s="147" t="s">
        <v>115</v>
      </c>
      <c r="AU341" s="147" t="s">
        <v>120</v>
      </c>
      <c r="AY341" s="16" t="s">
        <v>113</v>
      </c>
      <c r="BE341" s="148">
        <f>IF(N341="základná",J341,0)</f>
        <v>0</v>
      </c>
      <c r="BF341" s="148">
        <f>IF(N341="znížená",J341,0)</f>
        <v>0</v>
      </c>
      <c r="BG341" s="148">
        <f>IF(N341="zákl. prenesená",J341,0)</f>
        <v>0</v>
      </c>
      <c r="BH341" s="148">
        <f>IF(N341="zníž. prenesená",J341,0)</f>
        <v>0</v>
      </c>
      <c r="BI341" s="148">
        <f>IF(N341="nulová",J341,0)</f>
        <v>0</v>
      </c>
      <c r="BJ341" s="16" t="s">
        <v>120</v>
      </c>
      <c r="BK341" s="148">
        <f>ROUND(I341*H341,2)</f>
        <v>0</v>
      </c>
      <c r="BL341" s="16" t="s">
        <v>186</v>
      </c>
      <c r="BM341" s="147" t="s">
        <v>407</v>
      </c>
    </row>
    <row r="342" spans="1:65" s="2" customFormat="1" ht="16.5" customHeight="1" x14ac:dyDescent="0.2">
      <c r="A342" s="28"/>
      <c r="B342" s="135"/>
      <c r="C342" s="203">
        <v>95</v>
      </c>
      <c r="D342" s="136" t="s">
        <v>115</v>
      </c>
      <c r="E342" s="137" t="s">
        <v>408</v>
      </c>
      <c r="F342" s="138" t="s">
        <v>409</v>
      </c>
      <c r="G342" s="139" t="s">
        <v>151</v>
      </c>
      <c r="H342" s="140">
        <v>44.3</v>
      </c>
      <c r="I342" s="141"/>
      <c r="J342" s="141">
        <f>ROUND(I342*H342,2)</f>
        <v>0</v>
      </c>
      <c r="K342" s="142"/>
      <c r="L342" s="29"/>
      <c r="M342" s="143" t="s">
        <v>1</v>
      </c>
      <c r="N342" s="144" t="s">
        <v>38</v>
      </c>
      <c r="O342" s="145">
        <v>0.11806999999999999</v>
      </c>
      <c r="P342" s="145">
        <f>O342*H342</f>
        <v>5.2305009999999994</v>
      </c>
      <c r="Q342" s="145">
        <v>4.0000000000000003E-5</v>
      </c>
      <c r="R342" s="145">
        <f>Q342*H342</f>
        <v>1.7720000000000001E-3</v>
      </c>
      <c r="S342" s="145">
        <v>0</v>
      </c>
      <c r="T342" s="146">
        <f>S342*H342</f>
        <v>0</v>
      </c>
      <c r="U342" s="28"/>
      <c r="V342" s="179"/>
      <c r="W342" s="28"/>
      <c r="X342" s="28"/>
      <c r="Y342" s="28"/>
      <c r="Z342" s="28"/>
      <c r="AA342" s="28"/>
      <c r="AB342" s="28"/>
      <c r="AC342" s="28"/>
      <c r="AD342" s="28"/>
      <c r="AE342" s="28"/>
      <c r="AR342" s="147" t="s">
        <v>186</v>
      </c>
      <c r="AT342" s="147" t="s">
        <v>115</v>
      </c>
      <c r="AU342" s="147" t="s">
        <v>120</v>
      </c>
      <c r="AY342" s="16" t="s">
        <v>113</v>
      </c>
      <c r="BE342" s="148">
        <f>IF(N342="základná",J342,0)</f>
        <v>0</v>
      </c>
      <c r="BF342" s="148">
        <f>IF(N342="znížená",J342,0)</f>
        <v>0</v>
      </c>
      <c r="BG342" s="148">
        <f>IF(N342="zákl. prenesená",J342,0)</f>
        <v>0</v>
      </c>
      <c r="BH342" s="148">
        <f>IF(N342="zníž. prenesená",J342,0)</f>
        <v>0</v>
      </c>
      <c r="BI342" s="148">
        <f>IF(N342="nulová",J342,0)</f>
        <v>0</v>
      </c>
      <c r="BJ342" s="16" t="s">
        <v>120</v>
      </c>
      <c r="BK342" s="148">
        <f>ROUND(I342*H342,2)</f>
        <v>0</v>
      </c>
      <c r="BL342" s="16" t="s">
        <v>186</v>
      </c>
      <c r="BM342" s="147" t="s">
        <v>410</v>
      </c>
    </row>
    <row r="343" spans="1:65" s="13" customFormat="1" x14ac:dyDescent="0.2">
      <c r="B343" s="149"/>
      <c r="C343" s="204"/>
      <c r="D343" s="150" t="s">
        <v>122</v>
      </c>
      <c r="E343" s="151" t="s">
        <v>1</v>
      </c>
      <c r="F343" s="152">
        <v>44.3</v>
      </c>
      <c r="H343" s="153">
        <v>44.3</v>
      </c>
      <c r="L343" s="149"/>
      <c r="M343" s="154"/>
      <c r="N343" s="155"/>
      <c r="O343" s="155"/>
      <c r="P343" s="155"/>
      <c r="Q343" s="155"/>
      <c r="R343" s="155"/>
      <c r="S343" s="155"/>
      <c r="T343" s="156"/>
      <c r="V343" s="185"/>
      <c r="AT343" s="151" t="s">
        <v>122</v>
      </c>
      <c r="AU343" s="151" t="s">
        <v>120</v>
      </c>
      <c r="AV343" s="13" t="s">
        <v>120</v>
      </c>
      <c r="AW343" s="13" t="s">
        <v>28</v>
      </c>
      <c r="AX343" s="13" t="s">
        <v>77</v>
      </c>
      <c r="AY343" s="151" t="s">
        <v>113</v>
      </c>
    </row>
    <row r="344" spans="1:65" s="2" customFormat="1" ht="24" customHeight="1" x14ac:dyDescent="0.2">
      <c r="A344" s="28"/>
      <c r="B344" s="135"/>
      <c r="C344" s="207">
        <v>96</v>
      </c>
      <c r="D344" s="164" t="s">
        <v>268</v>
      </c>
      <c r="E344" s="165" t="s">
        <v>411</v>
      </c>
      <c r="F344" s="166" t="s">
        <v>412</v>
      </c>
      <c r="G344" s="167" t="s">
        <v>151</v>
      </c>
      <c r="H344" s="168">
        <v>44.743000000000002</v>
      </c>
      <c r="I344" s="169"/>
      <c r="J344" s="169">
        <f>ROUND(I344*H344,2)</f>
        <v>0</v>
      </c>
      <c r="K344" s="170"/>
      <c r="L344" s="171"/>
      <c r="M344" s="172" t="s">
        <v>1</v>
      </c>
      <c r="N344" s="173" t="s">
        <v>38</v>
      </c>
      <c r="O344" s="145">
        <v>0</v>
      </c>
      <c r="P344" s="145">
        <f>O344*H344</f>
        <v>0</v>
      </c>
      <c r="Q344" s="145">
        <v>1.6299999999999999E-3</v>
      </c>
      <c r="R344" s="145">
        <f>Q344*H344</f>
        <v>7.2931090000000004E-2</v>
      </c>
      <c r="S344" s="145">
        <v>0</v>
      </c>
      <c r="T344" s="146">
        <f>S344*H344</f>
        <v>0</v>
      </c>
      <c r="U344" s="28"/>
      <c r="V344" s="179"/>
      <c r="W344" s="28"/>
      <c r="X344" s="28"/>
      <c r="Y344" s="28"/>
      <c r="Z344" s="28"/>
      <c r="AA344" s="28"/>
      <c r="AB344" s="28"/>
      <c r="AC344" s="28"/>
      <c r="AD344" s="28"/>
      <c r="AE344" s="28"/>
      <c r="AR344" s="147" t="s">
        <v>237</v>
      </c>
      <c r="AT344" s="147" t="s">
        <v>268</v>
      </c>
      <c r="AU344" s="147" t="s">
        <v>120</v>
      </c>
      <c r="AY344" s="16" t="s">
        <v>113</v>
      </c>
      <c r="BE344" s="148">
        <f>IF(N344="základná",J344,0)</f>
        <v>0</v>
      </c>
      <c r="BF344" s="148">
        <f>IF(N344="znížená",J344,0)</f>
        <v>0</v>
      </c>
      <c r="BG344" s="148">
        <f>IF(N344="zákl. prenesená",J344,0)</f>
        <v>0</v>
      </c>
      <c r="BH344" s="148">
        <f>IF(N344="zníž. prenesená",J344,0)</f>
        <v>0</v>
      </c>
      <c r="BI344" s="148">
        <f>IF(N344="nulová",J344,0)</f>
        <v>0</v>
      </c>
      <c r="BJ344" s="16" t="s">
        <v>120</v>
      </c>
      <c r="BK344" s="148">
        <f>ROUND(I344*H344,2)</f>
        <v>0</v>
      </c>
      <c r="BL344" s="16" t="s">
        <v>186</v>
      </c>
      <c r="BM344" s="147" t="s">
        <v>413</v>
      </c>
    </row>
    <row r="345" spans="1:65" s="13" customFormat="1" x14ac:dyDescent="0.2">
      <c r="B345" s="149"/>
      <c r="C345" s="204"/>
      <c r="D345" s="150" t="s">
        <v>122</v>
      </c>
      <c r="F345" s="152" t="s">
        <v>467</v>
      </c>
      <c r="H345" s="153">
        <v>44.743000000000002</v>
      </c>
      <c r="L345" s="149"/>
      <c r="M345" s="154"/>
      <c r="N345" s="155"/>
      <c r="O345" s="155"/>
      <c r="P345" s="155"/>
      <c r="Q345" s="155"/>
      <c r="R345" s="155"/>
      <c r="S345" s="155"/>
      <c r="T345" s="156"/>
      <c r="V345" s="185"/>
      <c r="AT345" s="151" t="s">
        <v>122</v>
      </c>
      <c r="AU345" s="151" t="s">
        <v>120</v>
      </c>
      <c r="AV345" s="13" t="s">
        <v>120</v>
      </c>
      <c r="AW345" s="13" t="s">
        <v>3</v>
      </c>
      <c r="AX345" s="13" t="s">
        <v>77</v>
      </c>
      <c r="AY345" s="151" t="s">
        <v>113</v>
      </c>
    </row>
    <row r="346" spans="1:65" s="2" customFormat="1" ht="24" customHeight="1" x14ac:dyDescent="0.2">
      <c r="A346" s="28"/>
      <c r="B346" s="135"/>
      <c r="C346" s="203">
        <v>97</v>
      </c>
      <c r="D346" s="136" t="s">
        <v>115</v>
      </c>
      <c r="E346" s="137" t="s">
        <v>414</v>
      </c>
      <c r="F346" s="138" t="s">
        <v>415</v>
      </c>
      <c r="G346" s="139" t="s">
        <v>161</v>
      </c>
      <c r="H346" s="140">
        <v>37.21</v>
      </c>
      <c r="I346" s="141"/>
      <c r="J346" s="141">
        <f>ROUND(I346*H346,2)</f>
        <v>0</v>
      </c>
      <c r="K346" s="142"/>
      <c r="L346" s="29"/>
      <c r="M346" s="143" t="s">
        <v>1</v>
      </c>
      <c r="N346" s="144" t="s">
        <v>38</v>
      </c>
      <c r="O346" s="145">
        <v>0.30853999999999998</v>
      </c>
      <c r="P346" s="145">
        <f>O346*H346</f>
        <v>11.4807734</v>
      </c>
      <c r="Q346" s="145">
        <v>2.9999999999999997E-4</v>
      </c>
      <c r="R346" s="145">
        <f>Q346*H346</f>
        <v>1.1162999999999999E-2</v>
      </c>
      <c r="S346" s="145">
        <v>0</v>
      </c>
      <c r="T346" s="146">
        <f>S346*H346</f>
        <v>0</v>
      </c>
      <c r="U346" s="28"/>
      <c r="V346" s="179"/>
      <c r="W346" s="28"/>
      <c r="X346" s="28"/>
      <c r="Y346" s="28"/>
      <c r="Z346" s="28"/>
      <c r="AA346" s="28"/>
      <c r="AB346" s="28"/>
      <c r="AC346" s="28"/>
      <c r="AD346" s="28"/>
      <c r="AE346" s="28"/>
      <c r="AR346" s="147" t="s">
        <v>186</v>
      </c>
      <c r="AT346" s="147" t="s">
        <v>115</v>
      </c>
      <c r="AU346" s="147" t="s">
        <v>120</v>
      </c>
      <c r="AY346" s="16" t="s">
        <v>113</v>
      </c>
      <c r="BE346" s="148">
        <f>IF(N346="základná",J346,0)</f>
        <v>0</v>
      </c>
      <c r="BF346" s="148">
        <f>IF(N346="znížená",J346,0)</f>
        <v>0</v>
      </c>
      <c r="BG346" s="148">
        <f>IF(N346="zákl. prenesená",J346,0)</f>
        <v>0</v>
      </c>
      <c r="BH346" s="148">
        <f>IF(N346="zníž. prenesená",J346,0)</f>
        <v>0</v>
      </c>
      <c r="BI346" s="148">
        <f>IF(N346="nulová",J346,0)</f>
        <v>0</v>
      </c>
      <c r="BJ346" s="16" t="s">
        <v>120</v>
      </c>
      <c r="BK346" s="148">
        <f>ROUND(I346*H346,2)</f>
        <v>0</v>
      </c>
      <c r="BL346" s="16" t="s">
        <v>186</v>
      </c>
      <c r="BM346" s="147" t="s">
        <v>416</v>
      </c>
    </row>
    <row r="347" spans="1:65" s="2" customFormat="1" ht="24" customHeight="1" x14ac:dyDescent="0.2">
      <c r="A347" s="28"/>
      <c r="B347" s="135"/>
      <c r="C347" s="207">
        <v>98</v>
      </c>
      <c r="D347" s="164" t="s">
        <v>268</v>
      </c>
      <c r="E347" s="165" t="s">
        <v>417</v>
      </c>
      <c r="F347" s="166" t="s">
        <v>468</v>
      </c>
      <c r="G347" s="167" t="s">
        <v>161</v>
      </c>
      <c r="H347" s="168">
        <v>44.652000000000001</v>
      </c>
      <c r="I347" s="169"/>
      <c r="J347" s="169">
        <f>ROUND(I347*H347,2)</f>
        <v>0</v>
      </c>
      <c r="K347" s="170"/>
      <c r="L347" s="171"/>
      <c r="M347" s="172" t="s">
        <v>1</v>
      </c>
      <c r="N347" s="173" t="s">
        <v>38</v>
      </c>
      <c r="O347" s="145">
        <v>0</v>
      </c>
      <c r="P347" s="145">
        <f>O347*H347</f>
        <v>0</v>
      </c>
      <c r="Q347" s="145">
        <v>3.0999999999999999E-3</v>
      </c>
      <c r="R347" s="145">
        <f>Q347*H347</f>
        <v>0.13842119999999999</v>
      </c>
      <c r="S347" s="145">
        <v>0</v>
      </c>
      <c r="T347" s="146">
        <f>S347*H347</f>
        <v>0</v>
      </c>
      <c r="U347" s="28"/>
      <c r="V347" s="179"/>
      <c r="W347" s="28"/>
      <c r="X347" s="28"/>
      <c r="Y347" s="28"/>
      <c r="Z347" s="28"/>
      <c r="AA347" s="28"/>
      <c r="AB347" s="28"/>
      <c r="AC347" s="28"/>
      <c r="AD347" s="28"/>
      <c r="AE347" s="28"/>
      <c r="AR347" s="147" t="s">
        <v>237</v>
      </c>
      <c r="AT347" s="147" t="s">
        <v>268</v>
      </c>
      <c r="AU347" s="147" t="s">
        <v>120</v>
      </c>
      <c r="AY347" s="16" t="s">
        <v>113</v>
      </c>
      <c r="BE347" s="148">
        <f>IF(N347="základná",J347,0)</f>
        <v>0</v>
      </c>
      <c r="BF347" s="148">
        <f>IF(N347="znížená",J347,0)</f>
        <v>0</v>
      </c>
      <c r="BG347" s="148">
        <f>IF(N347="zákl. prenesená",J347,0)</f>
        <v>0</v>
      </c>
      <c r="BH347" s="148">
        <f>IF(N347="zníž. prenesená",J347,0)</f>
        <v>0</v>
      </c>
      <c r="BI347" s="148">
        <f>IF(N347="nulová",J347,0)</f>
        <v>0</v>
      </c>
      <c r="BJ347" s="16" t="s">
        <v>120</v>
      </c>
      <c r="BK347" s="148">
        <f>ROUND(I347*H347,2)</f>
        <v>0</v>
      </c>
      <c r="BL347" s="16" t="s">
        <v>186</v>
      </c>
      <c r="BM347" s="147" t="s">
        <v>418</v>
      </c>
    </row>
    <row r="348" spans="1:65" s="13" customFormat="1" x14ac:dyDescent="0.2">
      <c r="B348" s="149"/>
      <c r="C348" s="204"/>
      <c r="D348" s="150" t="s">
        <v>122</v>
      </c>
      <c r="F348" s="152" t="s">
        <v>469</v>
      </c>
      <c r="H348" s="153">
        <v>44.652000000000001</v>
      </c>
      <c r="L348" s="149"/>
      <c r="M348" s="154"/>
      <c r="N348" s="155"/>
      <c r="O348" s="155"/>
      <c r="P348" s="155"/>
      <c r="Q348" s="155"/>
      <c r="R348" s="155"/>
      <c r="S348" s="155"/>
      <c r="T348" s="156"/>
      <c r="V348" s="185"/>
      <c r="AT348" s="151" t="s">
        <v>122</v>
      </c>
      <c r="AU348" s="151" t="s">
        <v>120</v>
      </c>
      <c r="AV348" s="13" t="s">
        <v>120</v>
      </c>
      <c r="AW348" s="13" t="s">
        <v>3</v>
      </c>
      <c r="AX348" s="13" t="s">
        <v>77</v>
      </c>
      <c r="AY348" s="151" t="s">
        <v>113</v>
      </c>
    </row>
    <row r="349" spans="1:65" s="2" customFormat="1" ht="24" customHeight="1" x14ac:dyDescent="0.2">
      <c r="A349" s="28"/>
      <c r="B349" s="135"/>
      <c r="C349" s="203">
        <v>99</v>
      </c>
      <c r="D349" s="136" t="s">
        <v>115</v>
      </c>
      <c r="E349" s="137" t="s">
        <v>419</v>
      </c>
      <c r="F349" s="138" t="s">
        <v>420</v>
      </c>
      <c r="G349" s="139" t="s">
        <v>229</v>
      </c>
      <c r="H349" s="140">
        <v>0.16700000000000001</v>
      </c>
      <c r="I349" s="141"/>
      <c r="J349" s="141">
        <f>ROUND(I349*H349,2)</f>
        <v>0</v>
      </c>
      <c r="K349" s="142"/>
      <c r="L349" s="29"/>
      <c r="M349" s="143" t="s">
        <v>1</v>
      </c>
      <c r="N349" s="144" t="s">
        <v>38</v>
      </c>
      <c r="O349" s="145">
        <v>1.0309999999999999</v>
      </c>
      <c r="P349" s="145">
        <f>O349*H349</f>
        <v>0.172177</v>
      </c>
      <c r="Q349" s="145">
        <v>0</v>
      </c>
      <c r="R349" s="145">
        <f>Q349*H349</f>
        <v>0</v>
      </c>
      <c r="S349" s="145">
        <v>0</v>
      </c>
      <c r="T349" s="146">
        <f>S349*H349</f>
        <v>0</v>
      </c>
      <c r="U349" s="28"/>
      <c r="V349" s="179"/>
      <c r="W349" s="28"/>
      <c r="X349" s="28"/>
      <c r="Y349" s="28"/>
      <c r="Z349" s="28"/>
      <c r="AA349" s="28"/>
      <c r="AB349" s="28"/>
      <c r="AC349" s="28"/>
      <c r="AD349" s="28"/>
      <c r="AE349" s="28"/>
      <c r="AR349" s="147" t="s">
        <v>186</v>
      </c>
      <c r="AT349" s="147" t="s">
        <v>115</v>
      </c>
      <c r="AU349" s="147" t="s">
        <v>120</v>
      </c>
      <c r="AY349" s="16" t="s">
        <v>113</v>
      </c>
      <c r="BE349" s="148">
        <f>IF(N349="základná",J349,0)</f>
        <v>0</v>
      </c>
      <c r="BF349" s="148">
        <f>IF(N349="znížená",J349,0)</f>
        <v>0</v>
      </c>
      <c r="BG349" s="148">
        <f>IF(N349="zákl. prenesená",J349,0)</f>
        <v>0</v>
      </c>
      <c r="BH349" s="148">
        <f>IF(N349="zníž. prenesená",J349,0)</f>
        <v>0</v>
      </c>
      <c r="BI349" s="148">
        <f>IF(N349="nulová",J349,0)</f>
        <v>0</v>
      </c>
      <c r="BJ349" s="16" t="s">
        <v>120</v>
      </c>
      <c r="BK349" s="148">
        <f>ROUND(I349*H349,2)</f>
        <v>0</v>
      </c>
      <c r="BL349" s="16" t="s">
        <v>186</v>
      </c>
      <c r="BM349" s="147" t="s">
        <v>421</v>
      </c>
    </row>
    <row r="350" spans="1:65" s="2" customFormat="1" ht="24" customHeight="1" x14ac:dyDescent="0.2">
      <c r="A350" s="28"/>
      <c r="B350" s="135"/>
      <c r="C350" s="203">
        <v>100</v>
      </c>
      <c r="D350" s="136" t="s">
        <v>115</v>
      </c>
      <c r="E350" s="137" t="s">
        <v>422</v>
      </c>
      <c r="F350" s="138" t="s">
        <v>423</v>
      </c>
      <c r="G350" s="139" t="s">
        <v>229</v>
      </c>
      <c r="H350" s="140">
        <v>0.16700000000000001</v>
      </c>
      <c r="I350" s="141"/>
      <c r="J350" s="141">
        <f>ROUND(I350*H350,2)</f>
        <v>0</v>
      </c>
      <c r="K350" s="142"/>
      <c r="L350" s="29"/>
      <c r="M350" s="143" t="s">
        <v>1</v>
      </c>
      <c r="N350" s="144" t="s">
        <v>38</v>
      </c>
      <c r="O350" s="145">
        <v>0.191</v>
      </c>
      <c r="P350" s="145">
        <f>O350*H350</f>
        <v>3.1897000000000002E-2</v>
      </c>
      <c r="Q350" s="145">
        <v>0</v>
      </c>
      <c r="R350" s="145">
        <f>Q350*H350</f>
        <v>0</v>
      </c>
      <c r="S350" s="145">
        <v>0</v>
      </c>
      <c r="T350" s="146">
        <f>S350*H350</f>
        <v>0</v>
      </c>
      <c r="U350" s="28"/>
      <c r="V350" s="179"/>
      <c r="W350" s="28"/>
      <c r="X350" s="28"/>
      <c r="Y350" s="28"/>
      <c r="Z350" s="28"/>
      <c r="AA350" s="28"/>
      <c r="AB350" s="28"/>
      <c r="AC350" s="28"/>
      <c r="AD350" s="28"/>
      <c r="AE350" s="28"/>
      <c r="AR350" s="147" t="s">
        <v>186</v>
      </c>
      <c r="AT350" s="147" t="s">
        <v>115</v>
      </c>
      <c r="AU350" s="147" t="s">
        <v>120</v>
      </c>
      <c r="AY350" s="16" t="s">
        <v>113</v>
      </c>
      <c r="BE350" s="148">
        <f>IF(N350="základná",J350,0)</f>
        <v>0</v>
      </c>
      <c r="BF350" s="148">
        <f>IF(N350="znížená",J350,0)</f>
        <v>0</v>
      </c>
      <c r="BG350" s="148">
        <f>IF(N350="zákl. prenesená",J350,0)</f>
        <v>0</v>
      </c>
      <c r="BH350" s="148">
        <f>IF(N350="zníž. prenesená",J350,0)</f>
        <v>0</v>
      </c>
      <c r="BI350" s="148">
        <f>IF(N350="nulová",J350,0)</f>
        <v>0</v>
      </c>
      <c r="BJ350" s="16" t="s">
        <v>120</v>
      </c>
      <c r="BK350" s="148">
        <f>ROUND(I350*H350,2)</f>
        <v>0</v>
      </c>
      <c r="BL350" s="16" t="s">
        <v>186</v>
      </c>
      <c r="BM350" s="147" t="s">
        <v>424</v>
      </c>
    </row>
    <row r="351" spans="1:65" s="2" customFormat="1" ht="24" customHeight="1" x14ac:dyDescent="0.2">
      <c r="A351" s="28"/>
      <c r="B351" s="135"/>
      <c r="C351" s="203">
        <v>101</v>
      </c>
      <c r="D351" s="136" t="s">
        <v>115</v>
      </c>
      <c r="E351" s="137" t="s">
        <v>425</v>
      </c>
      <c r="F351" s="138" t="s">
        <v>426</v>
      </c>
      <c r="G351" s="139" t="s">
        <v>229</v>
      </c>
      <c r="H351" s="140">
        <v>2.5049999999999999</v>
      </c>
      <c r="I351" s="141"/>
      <c r="J351" s="141">
        <f>ROUND(I351*H351,2)</f>
        <v>0</v>
      </c>
      <c r="K351" s="142"/>
      <c r="L351" s="29"/>
      <c r="M351" s="143" t="s">
        <v>1</v>
      </c>
      <c r="N351" s="144" t="s">
        <v>38</v>
      </c>
      <c r="O351" s="145">
        <v>8.0000000000000002E-3</v>
      </c>
      <c r="P351" s="145">
        <f>O351*H351</f>
        <v>2.0039999999999999E-2</v>
      </c>
      <c r="Q351" s="145">
        <v>0</v>
      </c>
      <c r="R351" s="145">
        <f>Q351*H351</f>
        <v>0</v>
      </c>
      <c r="S351" s="145">
        <v>0</v>
      </c>
      <c r="T351" s="146">
        <f>S351*H351</f>
        <v>0</v>
      </c>
      <c r="U351" s="28"/>
      <c r="V351" s="179"/>
      <c r="W351" s="28"/>
      <c r="X351" s="28"/>
      <c r="Y351" s="28"/>
      <c r="Z351" s="28"/>
      <c r="AA351" s="28"/>
      <c r="AB351" s="28"/>
      <c r="AC351" s="28"/>
      <c r="AD351" s="28"/>
      <c r="AE351" s="28"/>
      <c r="AR351" s="147" t="s">
        <v>186</v>
      </c>
      <c r="AT351" s="147" t="s">
        <v>115</v>
      </c>
      <c r="AU351" s="147" t="s">
        <v>120</v>
      </c>
      <c r="AY351" s="16" t="s">
        <v>113</v>
      </c>
      <c r="BE351" s="148">
        <f>IF(N351="základná",J351,0)</f>
        <v>0</v>
      </c>
      <c r="BF351" s="148">
        <f>IF(N351="znížená",J351,0)</f>
        <v>0</v>
      </c>
      <c r="BG351" s="148">
        <f>IF(N351="zákl. prenesená",J351,0)</f>
        <v>0</v>
      </c>
      <c r="BH351" s="148">
        <f>IF(N351="zníž. prenesená",J351,0)</f>
        <v>0</v>
      </c>
      <c r="BI351" s="148">
        <f>IF(N351="nulová",J351,0)</f>
        <v>0</v>
      </c>
      <c r="BJ351" s="16" t="s">
        <v>120</v>
      </c>
      <c r="BK351" s="148">
        <f>ROUND(I351*H351,2)</f>
        <v>0</v>
      </c>
      <c r="BL351" s="16" t="s">
        <v>186</v>
      </c>
      <c r="BM351" s="147" t="s">
        <v>427</v>
      </c>
    </row>
    <row r="352" spans="1:65" s="13" customFormat="1" x14ac:dyDescent="0.2">
      <c r="B352" s="149"/>
      <c r="C352" s="204"/>
      <c r="D352" s="150" t="s">
        <v>122</v>
      </c>
      <c r="F352" s="152" t="s">
        <v>470</v>
      </c>
      <c r="H352" s="153">
        <v>2.5049999999999999</v>
      </c>
      <c r="L352" s="149"/>
      <c r="M352" s="154"/>
      <c r="N352" s="155"/>
      <c r="O352" s="155"/>
      <c r="P352" s="155"/>
      <c r="Q352" s="155"/>
      <c r="R352" s="155"/>
      <c r="S352" s="155"/>
      <c r="T352" s="156"/>
      <c r="V352" s="185"/>
      <c r="AT352" s="151" t="s">
        <v>122</v>
      </c>
      <c r="AU352" s="151" t="s">
        <v>120</v>
      </c>
      <c r="AV352" s="13" t="s">
        <v>120</v>
      </c>
      <c r="AW352" s="13" t="s">
        <v>3</v>
      </c>
      <c r="AX352" s="13" t="s">
        <v>77</v>
      </c>
      <c r="AY352" s="151" t="s">
        <v>113</v>
      </c>
    </row>
    <row r="353" spans="1:65" s="12" customFormat="1" ht="22.9" customHeight="1" x14ac:dyDescent="0.2">
      <c r="B353" s="123"/>
      <c r="C353" s="206"/>
      <c r="D353" s="124" t="s">
        <v>71</v>
      </c>
      <c r="E353" s="133">
        <v>781</v>
      </c>
      <c r="F353" s="133" t="s">
        <v>482</v>
      </c>
      <c r="J353" s="134">
        <f>J354+J355+J356</f>
        <v>0</v>
      </c>
      <c r="L353" s="123"/>
      <c r="M353" s="127"/>
      <c r="N353" s="128"/>
      <c r="O353" s="128"/>
      <c r="P353" s="129">
        <f>SUM(P354:P359)</f>
        <v>112.73012352000002</v>
      </c>
      <c r="Q353" s="128"/>
      <c r="R353" s="129">
        <f>SUM(R354:R359)</f>
        <v>0.34393043000000006</v>
      </c>
      <c r="S353" s="128"/>
      <c r="T353" s="130">
        <f>SUM(T354:T359)</f>
        <v>0</v>
      </c>
      <c r="V353" s="184"/>
      <c r="AR353" s="124" t="s">
        <v>120</v>
      </c>
      <c r="AT353" s="131" t="s">
        <v>71</v>
      </c>
      <c r="AU353" s="131" t="s">
        <v>77</v>
      </c>
      <c r="AY353" s="124" t="s">
        <v>113</v>
      </c>
      <c r="BK353" s="132">
        <f>SUM(BK354:BK359)</f>
        <v>0</v>
      </c>
    </row>
    <row r="354" spans="1:65" s="2" customFormat="1" ht="24" customHeight="1" x14ac:dyDescent="0.2">
      <c r="A354" s="188"/>
      <c r="B354" s="135"/>
      <c r="C354" s="203">
        <v>102</v>
      </c>
      <c r="D354" s="136" t="s">
        <v>115</v>
      </c>
      <c r="E354" s="137" t="s">
        <v>483</v>
      </c>
      <c r="F354" s="138" t="s">
        <v>484</v>
      </c>
      <c r="G354" s="139" t="s">
        <v>161</v>
      </c>
      <c r="H354" s="191">
        <v>14.736000000000001</v>
      </c>
      <c r="I354" s="141"/>
      <c r="J354" s="141">
        <f>ROUND(I354*H354,2)</f>
        <v>0</v>
      </c>
      <c r="K354" s="142"/>
      <c r="L354" s="29"/>
      <c r="M354" s="143" t="s">
        <v>1</v>
      </c>
      <c r="N354" s="144" t="s">
        <v>38</v>
      </c>
      <c r="O354" s="145">
        <v>0.11806999999999999</v>
      </c>
      <c r="P354" s="145">
        <f>O354*H354</f>
        <v>1.7398795199999999</v>
      </c>
      <c r="Q354" s="145">
        <v>4.0000000000000003E-5</v>
      </c>
      <c r="R354" s="145">
        <f>Q354*H354</f>
        <v>5.894400000000001E-4</v>
      </c>
      <c r="S354" s="145">
        <v>0</v>
      </c>
      <c r="T354" s="146">
        <f>S354*H354</f>
        <v>0</v>
      </c>
      <c r="U354" s="188"/>
      <c r="V354" s="179"/>
      <c r="W354" s="188"/>
      <c r="X354" s="188"/>
      <c r="Y354" s="188"/>
      <c r="Z354" s="188"/>
      <c r="AA354" s="188"/>
      <c r="AB354" s="188"/>
      <c r="AC354" s="188"/>
      <c r="AD354" s="188"/>
      <c r="AE354" s="188"/>
      <c r="AR354" s="147" t="s">
        <v>186</v>
      </c>
      <c r="AT354" s="147" t="s">
        <v>115</v>
      </c>
      <c r="AU354" s="147" t="s">
        <v>120</v>
      </c>
      <c r="AY354" s="16" t="s">
        <v>113</v>
      </c>
      <c r="BE354" s="148">
        <f>IF(N354="základná",J354,0)</f>
        <v>0</v>
      </c>
      <c r="BF354" s="148">
        <f>IF(N354="znížená",J354,0)</f>
        <v>0</v>
      </c>
      <c r="BG354" s="148">
        <f>IF(N354="zákl. prenesená",J354,0)</f>
        <v>0</v>
      </c>
      <c r="BH354" s="148">
        <f>IF(N354="zníž. prenesená",J354,0)</f>
        <v>0</v>
      </c>
      <c r="BI354" s="148">
        <f>IF(N354="nulová",J354,0)</f>
        <v>0</v>
      </c>
      <c r="BJ354" s="16" t="s">
        <v>120</v>
      </c>
      <c r="BK354" s="148">
        <f>ROUND(I354*H354,2)</f>
        <v>0</v>
      </c>
      <c r="BL354" s="16" t="s">
        <v>186</v>
      </c>
      <c r="BM354" s="147" t="s">
        <v>410</v>
      </c>
    </row>
    <row r="355" spans="1:65" s="2" customFormat="1" ht="24" customHeight="1" x14ac:dyDescent="0.2">
      <c r="A355" s="188"/>
      <c r="B355" s="135"/>
      <c r="C355" s="207">
        <v>103</v>
      </c>
      <c r="D355" s="164" t="s">
        <v>268</v>
      </c>
      <c r="E355" s="165" t="s">
        <v>485</v>
      </c>
      <c r="F355" s="166" t="s">
        <v>486</v>
      </c>
      <c r="G355" s="167" t="s">
        <v>161</v>
      </c>
      <c r="H355" s="192">
        <v>15.473000000000001</v>
      </c>
      <c r="I355" s="169"/>
      <c r="J355" s="169">
        <f>ROUND(I355*H355,2)</f>
        <v>0</v>
      </c>
      <c r="K355" s="170"/>
      <c r="L355" s="171"/>
      <c r="M355" s="172" t="s">
        <v>1</v>
      </c>
      <c r="N355" s="173" t="s">
        <v>38</v>
      </c>
      <c r="O355" s="145">
        <v>0</v>
      </c>
      <c r="P355" s="145">
        <f>O355*H355</f>
        <v>0</v>
      </c>
      <c r="Q355" s="145">
        <v>1.6299999999999999E-3</v>
      </c>
      <c r="R355" s="145">
        <f>Q355*H355</f>
        <v>2.5220989999999999E-2</v>
      </c>
      <c r="S355" s="145">
        <v>0</v>
      </c>
      <c r="T355" s="146">
        <f>S355*H355</f>
        <v>0</v>
      </c>
      <c r="U355" s="188"/>
      <c r="V355" s="179"/>
      <c r="W355" s="188"/>
      <c r="X355" s="188"/>
      <c r="Y355" s="188"/>
      <c r="Z355" s="188"/>
      <c r="AA355" s="188"/>
      <c r="AB355" s="188"/>
      <c r="AC355" s="188"/>
      <c r="AD355" s="188"/>
      <c r="AE355" s="188"/>
      <c r="AR355" s="147" t="s">
        <v>237</v>
      </c>
      <c r="AT355" s="147" t="s">
        <v>268</v>
      </c>
      <c r="AU355" s="147" t="s">
        <v>120</v>
      </c>
      <c r="AY355" s="16" t="s">
        <v>113</v>
      </c>
      <c r="BE355" s="148">
        <f>IF(N355="základná",J355,0)</f>
        <v>0</v>
      </c>
      <c r="BF355" s="148">
        <f>IF(N355="znížená",J355,0)</f>
        <v>0</v>
      </c>
      <c r="BG355" s="148">
        <f>IF(N355="zákl. prenesená",J355,0)</f>
        <v>0</v>
      </c>
      <c r="BH355" s="148">
        <f>IF(N355="zníž. prenesená",J355,0)</f>
        <v>0</v>
      </c>
      <c r="BI355" s="148">
        <f>IF(N355="nulová",J355,0)</f>
        <v>0</v>
      </c>
      <c r="BJ355" s="16" t="s">
        <v>120</v>
      </c>
      <c r="BK355" s="148">
        <f>ROUND(I355*H355,2)</f>
        <v>0</v>
      </c>
      <c r="BL355" s="16" t="s">
        <v>186</v>
      </c>
      <c r="BM355" s="147" t="s">
        <v>413</v>
      </c>
    </row>
    <row r="356" spans="1:65" s="2" customFormat="1" ht="24" customHeight="1" x14ac:dyDescent="0.2">
      <c r="A356" s="188"/>
      <c r="B356" s="135"/>
      <c r="C356" s="203">
        <v>104</v>
      </c>
      <c r="D356" s="136" t="s">
        <v>115</v>
      </c>
      <c r="E356" s="137" t="s">
        <v>487</v>
      </c>
      <c r="F356" s="138" t="s">
        <v>488</v>
      </c>
      <c r="G356" s="139" t="s">
        <v>229</v>
      </c>
      <c r="H356" s="191">
        <v>0.185</v>
      </c>
      <c r="I356" s="141"/>
      <c r="J356" s="141">
        <f>ROUND(I356*H356,2)</f>
        <v>0</v>
      </c>
      <c r="K356" s="142"/>
      <c r="L356" s="29"/>
      <c r="M356" s="143" t="s">
        <v>1</v>
      </c>
      <c r="N356" s="144" t="s">
        <v>38</v>
      </c>
      <c r="O356" s="145">
        <v>1.0309999999999999</v>
      </c>
      <c r="P356" s="145">
        <f>O356*H356</f>
        <v>0.19073499999999999</v>
      </c>
      <c r="Q356" s="145">
        <v>0</v>
      </c>
      <c r="R356" s="145">
        <f>Q356*H356</f>
        <v>0</v>
      </c>
      <c r="S356" s="145">
        <v>0</v>
      </c>
      <c r="T356" s="146">
        <f>S356*H356</f>
        <v>0</v>
      </c>
      <c r="U356" s="188"/>
      <c r="V356" s="179"/>
      <c r="W356" s="188"/>
      <c r="X356" s="188"/>
      <c r="Y356" s="188"/>
      <c r="Z356" s="188"/>
      <c r="AA356" s="188"/>
      <c r="AB356" s="188"/>
      <c r="AC356" s="188"/>
      <c r="AD356" s="188"/>
      <c r="AE356" s="188"/>
      <c r="AR356" s="147" t="s">
        <v>186</v>
      </c>
      <c r="AT356" s="147" t="s">
        <v>115</v>
      </c>
      <c r="AU356" s="147" t="s">
        <v>120</v>
      </c>
      <c r="AY356" s="16" t="s">
        <v>113</v>
      </c>
      <c r="BE356" s="148">
        <f>IF(N356="základná",J356,0)</f>
        <v>0</v>
      </c>
      <c r="BF356" s="148">
        <f>IF(N356="znížená",J356,0)</f>
        <v>0</v>
      </c>
      <c r="BG356" s="148">
        <f>IF(N356="zákl. prenesená",J356,0)</f>
        <v>0</v>
      </c>
      <c r="BH356" s="148">
        <f>IF(N356="zníž. prenesená",J356,0)</f>
        <v>0</v>
      </c>
      <c r="BI356" s="148">
        <f>IF(N356="nulová",J356,0)</f>
        <v>0</v>
      </c>
      <c r="BJ356" s="16" t="s">
        <v>120</v>
      </c>
      <c r="BK356" s="148">
        <f>ROUND(I356*H356,2)</f>
        <v>0</v>
      </c>
      <c r="BL356" s="16" t="s">
        <v>186</v>
      </c>
      <c r="BM356" s="147" t="s">
        <v>421</v>
      </c>
    </row>
    <row r="357" spans="1:65" s="13" customFormat="1" x14ac:dyDescent="0.2">
      <c r="B357" s="149"/>
      <c r="D357" s="150"/>
      <c r="F357" s="152"/>
      <c r="H357" s="193"/>
      <c r="L357" s="149"/>
      <c r="M357" s="154"/>
      <c r="N357" s="155"/>
      <c r="O357" s="155"/>
      <c r="P357" s="155"/>
      <c r="Q357" s="155"/>
      <c r="R357" s="155"/>
      <c r="S357" s="155"/>
      <c r="T357" s="156"/>
      <c r="V357" s="185"/>
      <c r="AT357" s="151"/>
      <c r="AU357" s="151"/>
      <c r="AY357" s="151"/>
    </row>
    <row r="358" spans="1:65" s="12" customFormat="1" ht="22.9" customHeight="1" x14ac:dyDescent="0.2">
      <c r="B358" s="123"/>
      <c r="D358" s="124" t="s">
        <v>71</v>
      </c>
      <c r="E358" s="133" t="s">
        <v>428</v>
      </c>
      <c r="F358" s="133" t="s">
        <v>429</v>
      </c>
      <c r="J358" s="134">
        <f>BK358</f>
        <v>0</v>
      </c>
      <c r="L358" s="123"/>
      <c r="M358" s="127"/>
      <c r="N358" s="128"/>
      <c r="O358" s="128"/>
      <c r="P358" s="129">
        <f>SUM(P359:P363)</f>
        <v>106.39884900000001</v>
      </c>
      <c r="Q358" s="128"/>
      <c r="R358" s="129">
        <f>SUM(R359:R363)</f>
        <v>0.31812000000000007</v>
      </c>
      <c r="S358" s="128"/>
      <c r="T358" s="130">
        <f>SUM(T359:T363)</f>
        <v>0</v>
      </c>
      <c r="V358" s="184"/>
      <c r="AR358" s="124" t="s">
        <v>120</v>
      </c>
      <c r="AT358" s="131" t="s">
        <v>71</v>
      </c>
      <c r="AU358" s="131" t="s">
        <v>77</v>
      </c>
      <c r="AY358" s="124" t="s">
        <v>113</v>
      </c>
      <c r="BK358" s="132">
        <f>SUM(BK359:BK363)</f>
        <v>0</v>
      </c>
    </row>
    <row r="359" spans="1:65" s="2" customFormat="1" ht="24" customHeight="1" x14ac:dyDescent="0.2">
      <c r="A359" s="28"/>
      <c r="B359" s="135"/>
      <c r="C359" s="136">
        <v>105</v>
      </c>
      <c r="D359" s="136" t="s">
        <v>115</v>
      </c>
      <c r="E359" s="137" t="s">
        <v>430</v>
      </c>
      <c r="F359" s="138" t="s">
        <v>431</v>
      </c>
      <c r="G359" s="139" t="s">
        <v>161</v>
      </c>
      <c r="H359" s="140">
        <v>530.20000000000005</v>
      </c>
      <c r="I359" s="141"/>
      <c r="J359" s="141">
        <f>ROUND(I359*H359,2)</f>
        <v>0</v>
      </c>
      <c r="K359" s="142"/>
      <c r="L359" s="29"/>
      <c r="M359" s="143" t="s">
        <v>1</v>
      </c>
      <c r="N359" s="144" t="s">
        <v>38</v>
      </c>
      <c r="O359" s="145">
        <v>8.3000000000000001E-3</v>
      </c>
      <c r="P359" s="145">
        <f>O359*H359</f>
        <v>4.4006600000000002</v>
      </c>
      <c r="Q359" s="145">
        <v>0</v>
      </c>
      <c r="R359" s="145">
        <f>Q359*H359</f>
        <v>0</v>
      </c>
      <c r="S359" s="145">
        <v>0</v>
      </c>
      <c r="T359" s="146">
        <f>S359*H359</f>
        <v>0</v>
      </c>
      <c r="U359" s="28"/>
      <c r="V359" s="179"/>
      <c r="W359" s="28"/>
      <c r="X359" s="28"/>
      <c r="Y359" s="28"/>
      <c r="Z359" s="28"/>
      <c r="AA359" s="28"/>
      <c r="AB359" s="28"/>
      <c r="AC359" s="28"/>
      <c r="AD359" s="28"/>
      <c r="AE359" s="28"/>
      <c r="AR359" s="147" t="s">
        <v>186</v>
      </c>
      <c r="AT359" s="147" t="s">
        <v>115</v>
      </c>
      <c r="AU359" s="147" t="s">
        <v>120</v>
      </c>
      <c r="AY359" s="16" t="s">
        <v>113</v>
      </c>
      <c r="BE359" s="148">
        <f>IF(N359="základná",J359,0)</f>
        <v>0</v>
      </c>
      <c r="BF359" s="148">
        <f>IF(N359="znížená",J359,0)</f>
        <v>0</v>
      </c>
      <c r="BG359" s="148">
        <f>IF(N359="zákl. prenesená",J359,0)</f>
        <v>0</v>
      </c>
      <c r="BH359" s="148">
        <f>IF(N359="zníž. prenesená",J359,0)</f>
        <v>0</v>
      </c>
      <c r="BI359" s="148">
        <f>IF(N359="nulová",J359,0)</f>
        <v>0</v>
      </c>
      <c r="BJ359" s="16" t="s">
        <v>120</v>
      </c>
      <c r="BK359" s="148">
        <f>ROUND(I359*H359,2)</f>
        <v>0</v>
      </c>
      <c r="BL359" s="16" t="s">
        <v>186</v>
      </c>
      <c r="BM359" s="147" t="s">
        <v>432</v>
      </c>
    </row>
    <row r="360" spans="1:65" s="2" customFormat="1" ht="24" customHeight="1" x14ac:dyDescent="0.2">
      <c r="A360" s="28"/>
      <c r="B360" s="135"/>
      <c r="C360" s="136">
        <v>106</v>
      </c>
      <c r="D360" s="136" t="s">
        <v>115</v>
      </c>
      <c r="E360" s="137" t="s">
        <v>433</v>
      </c>
      <c r="F360" s="138" t="s">
        <v>434</v>
      </c>
      <c r="G360" s="139" t="s">
        <v>161</v>
      </c>
      <c r="H360" s="140">
        <v>94.9</v>
      </c>
      <c r="I360" s="141"/>
      <c r="J360" s="141">
        <f>ROUND(I360*H360,2)</f>
        <v>0</v>
      </c>
      <c r="K360" s="142"/>
      <c r="L360" s="29"/>
      <c r="M360" s="143" t="s">
        <v>1</v>
      </c>
      <c r="N360" s="144" t="s">
        <v>38</v>
      </c>
      <c r="O360" s="145">
        <v>6.5070000000000003E-2</v>
      </c>
      <c r="P360" s="145">
        <f>O360*H360</f>
        <v>6.1751430000000003</v>
      </c>
      <c r="Q360" s="145">
        <v>0</v>
      </c>
      <c r="R360" s="145">
        <f>Q360*H360</f>
        <v>0</v>
      </c>
      <c r="S360" s="145">
        <v>0</v>
      </c>
      <c r="T360" s="146">
        <f>S360*H360</f>
        <v>0</v>
      </c>
      <c r="U360" s="28"/>
      <c r="V360" s="179"/>
      <c r="W360" s="28"/>
      <c r="X360" s="28"/>
      <c r="Y360" s="28"/>
      <c r="Z360" s="28"/>
      <c r="AA360" s="28"/>
      <c r="AB360" s="28"/>
      <c r="AC360" s="28"/>
      <c r="AD360" s="28"/>
      <c r="AE360" s="28"/>
      <c r="AR360" s="147" t="s">
        <v>186</v>
      </c>
      <c r="AT360" s="147" t="s">
        <v>115</v>
      </c>
      <c r="AU360" s="147" t="s">
        <v>120</v>
      </c>
      <c r="AY360" s="16" t="s">
        <v>113</v>
      </c>
      <c r="BE360" s="148">
        <f>IF(N360="základná",J360,0)</f>
        <v>0</v>
      </c>
      <c r="BF360" s="148">
        <f>IF(N360="znížená",J360,0)</f>
        <v>0</v>
      </c>
      <c r="BG360" s="148">
        <f>IF(N360="zákl. prenesená",J360,0)</f>
        <v>0</v>
      </c>
      <c r="BH360" s="148">
        <f>IF(N360="zníž. prenesená",J360,0)</f>
        <v>0</v>
      </c>
      <c r="BI360" s="148">
        <f>IF(N360="nulová",J360,0)</f>
        <v>0</v>
      </c>
      <c r="BJ360" s="16" t="s">
        <v>120</v>
      </c>
      <c r="BK360" s="148">
        <f>ROUND(I360*H360,2)</f>
        <v>0</v>
      </c>
      <c r="BL360" s="16" t="s">
        <v>186</v>
      </c>
      <c r="BM360" s="147" t="s">
        <v>435</v>
      </c>
    </row>
    <row r="361" spans="1:65" s="13" customFormat="1" x14ac:dyDescent="0.2">
      <c r="B361" s="149"/>
      <c r="D361" s="150" t="s">
        <v>122</v>
      </c>
      <c r="E361" s="151" t="s">
        <v>1</v>
      </c>
      <c r="F361" s="152" t="s">
        <v>185</v>
      </c>
      <c r="H361" s="153">
        <v>94.9</v>
      </c>
      <c r="L361" s="149"/>
      <c r="M361" s="154"/>
      <c r="N361" s="155"/>
      <c r="O361" s="155"/>
      <c r="P361" s="155"/>
      <c r="Q361" s="155"/>
      <c r="R361" s="155"/>
      <c r="S361" s="155"/>
      <c r="T361" s="156"/>
      <c r="V361" s="185"/>
      <c r="AT361" s="151" t="s">
        <v>122</v>
      </c>
      <c r="AU361" s="151" t="s">
        <v>120</v>
      </c>
      <c r="AV361" s="13" t="s">
        <v>120</v>
      </c>
      <c r="AW361" s="13" t="s">
        <v>28</v>
      </c>
      <c r="AX361" s="13" t="s">
        <v>77</v>
      </c>
      <c r="AY361" s="151" t="s">
        <v>113</v>
      </c>
    </row>
    <row r="362" spans="1:65" s="2" customFormat="1" ht="24" customHeight="1" x14ac:dyDescent="0.2">
      <c r="A362" s="28"/>
      <c r="B362" s="135"/>
      <c r="C362" s="136">
        <v>107</v>
      </c>
      <c r="D362" s="136" t="s">
        <v>115</v>
      </c>
      <c r="E362" s="137" t="s">
        <v>436</v>
      </c>
      <c r="F362" s="138" t="s">
        <v>437</v>
      </c>
      <c r="G362" s="139" t="s">
        <v>161</v>
      </c>
      <c r="H362" s="140">
        <v>530.20000000000005</v>
      </c>
      <c r="I362" s="141"/>
      <c r="J362" s="141">
        <f>ROUND(I362*H362,2)</f>
        <v>0</v>
      </c>
      <c r="K362" s="142"/>
      <c r="L362" s="29"/>
      <c r="M362" s="143" t="s">
        <v>1</v>
      </c>
      <c r="N362" s="144" t="s">
        <v>38</v>
      </c>
      <c r="O362" s="145">
        <v>9.3299999999999994E-2</v>
      </c>
      <c r="P362" s="145">
        <f>O362*H362</f>
        <v>49.467660000000002</v>
      </c>
      <c r="Q362" s="145">
        <v>2.7999999999999998E-4</v>
      </c>
      <c r="R362" s="145">
        <f>Q362*H362</f>
        <v>0.148456</v>
      </c>
      <c r="S362" s="145">
        <v>0</v>
      </c>
      <c r="T362" s="146">
        <f>S362*H362</f>
        <v>0</v>
      </c>
      <c r="U362" s="28"/>
      <c r="V362" s="179"/>
      <c r="W362" s="28"/>
      <c r="X362" s="28"/>
      <c r="Y362" s="28"/>
      <c r="Z362" s="28"/>
      <c r="AA362" s="28"/>
      <c r="AB362" s="28"/>
      <c r="AC362" s="28"/>
      <c r="AD362" s="28"/>
      <c r="AE362" s="28"/>
      <c r="AR362" s="147" t="s">
        <v>186</v>
      </c>
      <c r="AT362" s="147" t="s">
        <v>115</v>
      </c>
      <c r="AU362" s="147" t="s">
        <v>120</v>
      </c>
      <c r="AY362" s="16" t="s">
        <v>113</v>
      </c>
      <c r="BE362" s="148">
        <f>IF(N362="základná",J362,0)</f>
        <v>0</v>
      </c>
      <c r="BF362" s="148">
        <f>IF(N362="znížená",J362,0)</f>
        <v>0</v>
      </c>
      <c r="BG362" s="148">
        <f>IF(N362="zákl. prenesená",J362,0)</f>
        <v>0</v>
      </c>
      <c r="BH362" s="148">
        <f>IF(N362="zníž. prenesená",J362,0)</f>
        <v>0</v>
      </c>
      <c r="BI362" s="148">
        <f>IF(N362="nulová",J362,0)</f>
        <v>0</v>
      </c>
      <c r="BJ362" s="16" t="s">
        <v>120</v>
      </c>
      <c r="BK362" s="148">
        <f>ROUND(I362*H362,2)</f>
        <v>0</v>
      </c>
      <c r="BL362" s="16" t="s">
        <v>186</v>
      </c>
      <c r="BM362" s="147" t="s">
        <v>438</v>
      </c>
    </row>
    <row r="363" spans="1:65" s="2" customFormat="1" ht="36" customHeight="1" x14ac:dyDescent="0.2">
      <c r="A363" s="28"/>
      <c r="B363" s="135"/>
      <c r="C363" s="136">
        <v>108</v>
      </c>
      <c r="D363" s="136" t="s">
        <v>115</v>
      </c>
      <c r="E363" s="137" t="s">
        <v>439</v>
      </c>
      <c r="F363" s="138" t="s">
        <v>440</v>
      </c>
      <c r="G363" s="139" t="s">
        <v>161</v>
      </c>
      <c r="H363" s="140">
        <v>530.20000000000005</v>
      </c>
      <c r="I363" s="141"/>
      <c r="J363" s="141">
        <f>ROUND(I363*H363,2)</f>
        <v>0</v>
      </c>
      <c r="K363" s="142"/>
      <c r="L363" s="29"/>
      <c r="M363" s="174" t="s">
        <v>1</v>
      </c>
      <c r="N363" s="175" t="s">
        <v>38</v>
      </c>
      <c r="O363" s="176">
        <v>8.7429999999999994E-2</v>
      </c>
      <c r="P363" s="176">
        <f>O363*H363</f>
        <v>46.355386000000003</v>
      </c>
      <c r="Q363" s="176">
        <v>3.2000000000000003E-4</v>
      </c>
      <c r="R363" s="176">
        <f>Q363*H363</f>
        <v>0.16966400000000004</v>
      </c>
      <c r="S363" s="176">
        <v>0</v>
      </c>
      <c r="T363" s="177">
        <f>S363*H363</f>
        <v>0</v>
      </c>
      <c r="U363" s="28"/>
      <c r="V363" s="179"/>
      <c r="W363" s="28"/>
      <c r="X363" s="28"/>
      <c r="Y363" s="28"/>
      <c r="Z363" s="28"/>
      <c r="AA363" s="28"/>
      <c r="AB363" s="28"/>
      <c r="AC363" s="28"/>
      <c r="AD363" s="28"/>
      <c r="AE363" s="28"/>
      <c r="AR363" s="147" t="s">
        <v>186</v>
      </c>
      <c r="AT363" s="147" t="s">
        <v>115</v>
      </c>
      <c r="AU363" s="147" t="s">
        <v>120</v>
      </c>
      <c r="AY363" s="16" t="s">
        <v>113</v>
      </c>
      <c r="BE363" s="148">
        <f>IF(N363="základná",J363,0)</f>
        <v>0</v>
      </c>
      <c r="BF363" s="148">
        <f>IF(N363="znížená",J363,0)</f>
        <v>0</v>
      </c>
      <c r="BG363" s="148">
        <f>IF(N363="zákl. prenesená",J363,0)</f>
        <v>0</v>
      </c>
      <c r="BH363" s="148">
        <f>IF(N363="zníž. prenesená",J363,0)</f>
        <v>0</v>
      </c>
      <c r="BI363" s="148">
        <f>IF(N363="nulová",J363,0)</f>
        <v>0</v>
      </c>
      <c r="BJ363" s="16" t="s">
        <v>120</v>
      </c>
      <c r="BK363" s="148">
        <f>ROUND(I363*H363,2)</f>
        <v>0</v>
      </c>
      <c r="BL363" s="16" t="s">
        <v>186</v>
      </c>
      <c r="BM363" s="147" t="s">
        <v>441</v>
      </c>
    </row>
    <row r="364" spans="1:65" s="2" customFormat="1" ht="6.95" customHeight="1" x14ac:dyDescent="0.2">
      <c r="A364" s="28"/>
      <c r="B364" s="43"/>
      <c r="C364" s="44"/>
      <c r="D364" s="44"/>
      <c r="E364" s="44"/>
      <c r="F364" s="44"/>
      <c r="G364" s="44"/>
      <c r="H364" s="44"/>
      <c r="I364" s="44"/>
      <c r="J364" s="44"/>
      <c r="K364" s="44"/>
      <c r="L364" s="29"/>
      <c r="M364" s="28"/>
      <c r="O364" s="28"/>
      <c r="P364" s="28"/>
      <c r="Q364" s="28"/>
      <c r="R364" s="28"/>
      <c r="S364" s="28"/>
      <c r="T364" s="28"/>
      <c r="U364" s="28"/>
      <c r="V364" s="179"/>
      <c r="W364" s="28"/>
      <c r="X364" s="28"/>
      <c r="Y364" s="28"/>
      <c r="Z364" s="28"/>
      <c r="AA364" s="28"/>
      <c r="AB364" s="28"/>
      <c r="AC364" s="28"/>
      <c r="AD364" s="28"/>
      <c r="AE364" s="28"/>
    </row>
  </sheetData>
  <autoFilter ref="C128:K363" xr:uid="{00000000-0009-0000-0000-000001000000}"/>
  <mergeCells count="6">
    <mergeCell ref="E121:H121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copies="2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90"/>
  <sheetViews>
    <sheetView showGridLines="0" topLeftCell="A185" workbookViewId="0">
      <selection activeCell="N118" sqref="N118"/>
    </sheetView>
  </sheetViews>
  <sheetFormatPr defaultRowHeight="11.25" x14ac:dyDescent="0.2"/>
  <cols>
    <col min="1" max="1" width="8.33203125" style="196" customWidth="1"/>
    <col min="2" max="2" width="1.6640625" style="196" customWidth="1"/>
    <col min="3" max="3" width="4.1640625" style="196" customWidth="1"/>
    <col min="4" max="4" width="4.33203125" style="196" customWidth="1"/>
    <col min="5" max="5" width="17.1640625" style="196" customWidth="1"/>
    <col min="6" max="6" width="50.83203125" style="196" customWidth="1"/>
    <col min="7" max="7" width="7" style="196" customWidth="1"/>
    <col min="8" max="8" width="11.5" style="196" customWidth="1"/>
    <col min="9" max="10" width="20.1640625" style="196" customWidth="1"/>
    <col min="11" max="11" width="20.1640625" style="196" hidden="1" customWidth="1"/>
    <col min="12" max="12" width="9.33203125" style="196" customWidth="1"/>
    <col min="13" max="13" width="10.83203125" style="196" hidden="1" customWidth="1"/>
    <col min="14" max="14" width="9.33203125" style="196"/>
    <col min="15" max="20" width="14.1640625" style="196" hidden="1" customWidth="1"/>
    <col min="21" max="21" width="16.33203125" style="196" hidden="1" customWidth="1"/>
    <col min="22" max="22" width="12.33203125" style="196" customWidth="1"/>
    <col min="23" max="23" width="16.33203125" style="196" customWidth="1"/>
    <col min="24" max="24" width="12.33203125" style="196" customWidth="1"/>
    <col min="25" max="25" width="15" style="196" customWidth="1"/>
    <col min="26" max="26" width="11" style="196" customWidth="1"/>
    <col min="27" max="27" width="15" style="196" customWidth="1"/>
    <col min="28" max="28" width="16.33203125" style="196" customWidth="1"/>
    <col min="29" max="29" width="11" style="196" customWidth="1"/>
    <col min="30" max="30" width="15" style="196" customWidth="1"/>
    <col min="31" max="31" width="16.33203125" style="196" customWidth="1"/>
    <col min="32" max="16384" width="9.33203125" style="196"/>
  </cols>
  <sheetData>
    <row r="1" spans="1:46" x14ac:dyDescent="0.2">
      <c r="A1" s="84"/>
    </row>
    <row r="2" spans="1:46" ht="36.950000000000003" customHeight="1" x14ac:dyDescent="0.2">
      <c r="L2" s="401" t="s">
        <v>5</v>
      </c>
      <c r="M2" s="399"/>
      <c r="N2" s="399"/>
      <c r="O2" s="399"/>
      <c r="P2" s="399"/>
      <c r="Q2" s="399"/>
      <c r="R2" s="399"/>
      <c r="S2" s="399"/>
      <c r="T2" s="399"/>
      <c r="U2" s="399"/>
      <c r="V2" s="399"/>
      <c r="AT2" s="16" t="s">
        <v>511</v>
      </c>
    </row>
    <row r="3" spans="1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ht="24.95" customHeight="1" x14ac:dyDescent="0.2">
      <c r="B4" s="19"/>
      <c r="D4" s="20" t="s">
        <v>1134</v>
      </c>
      <c r="L4" s="19"/>
      <c r="M4" s="85" t="s">
        <v>9</v>
      </c>
      <c r="AT4" s="16" t="s">
        <v>3</v>
      </c>
    </row>
    <row r="5" spans="1:46" ht="6.95" customHeight="1" x14ac:dyDescent="0.2">
      <c r="B5" s="19"/>
      <c r="L5" s="19"/>
    </row>
    <row r="6" spans="1:46" s="2" customFormat="1" ht="12" customHeight="1" x14ac:dyDescent="0.2">
      <c r="A6" s="202"/>
      <c r="B6" s="29"/>
      <c r="C6" s="202"/>
      <c r="D6" s="25" t="s">
        <v>12</v>
      </c>
      <c r="E6" s="202"/>
      <c r="F6" s="202"/>
      <c r="G6" s="202"/>
      <c r="H6" s="202"/>
      <c r="I6" s="202"/>
      <c r="J6" s="202"/>
      <c r="K6" s="202"/>
      <c r="L6" s="38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</row>
    <row r="7" spans="1:46" s="2" customFormat="1" ht="16.5" customHeight="1" x14ac:dyDescent="0.2">
      <c r="A7" s="202"/>
      <c r="B7" s="29"/>
      <c r="C7" s="202"/>
      <c r="D7" s="202"/>
      <c r="E7" s="382" t="s">
        <v>512</v>
      </c>
      <c r="F7" s="413"/>
      <c r="G7" s="413"/>
      <c r="H7" s="413"/>
      <c r="I7" s="202"/>
      <c r="J7" s="202"/>
      <c r="K7" s="202"/>
      <c r="L7" s="38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</row>
    <row r="8" spans="1:46" s="2" customFormat="1" x14ac:dyDescent="0.2">
      <c r="A8" s="202"/>
      <c r="B8" s="29"/>
      <c r="C8" s="202"/>
      <c r="D8" s="202"/>
      <c r="E8" s="202"/>
      <c r="F8" s="202"/>
      <c r="G8" s="202"/>
      <c r="H8" s="202"/>
      <c r="I8" s="202"/>
      <c r="J8" s="202"/>
      <c r="K8" s="202"/>
      <c r="L8" s="38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</row>
    <row r="9" spans="1:46" s="2" customFormat="1" ht="12" customHeight="1" x14ac:dyDescent="0.2">
      <c r="A9" s="202"/>
      <c r="B9" s="29"/>
      <c r="C9" s="202"/>
      <c r="D9" s="25" t="s">
        <v>14</v>
      </c>
      <c r="E9" s="202"/>
      <c r="F9" s="195" t="s">
        <v>1</v>
      </c>
      <c r="G9" s="202"/>
      <c r="H9" s="202"/>
      <c r="I9" s="25" t="s">
        <v>15</v>
      </c>
      <c r="J9" s="195" t="s">
        <v>1</v>
      </c>
      <c r="K9" s="202"/>
      <c r="L9" s="38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</row>
    <row r="10" spans="1:46" s="2" customFormat="1" ht="12" customHeight="1" x14ac:dyDescent="0.2">
      <c r="A10" s="202"/>
      <c r="B10" s="29"/>
      <c r="C10" s="202"/>
      <c r="D10" s="25" t="s">
        <v>16</v>
      </c>
      <c r="E10" s="202"/>
      <c r="F10" s="195" t="s">
        <v>17</v>
      </c>
      <c r="G10" s="202"/>
      <c r="H10" s="202"/>
      <c r="I10" s="25" t="s">
        <v>18</v>
      </c>
      <c r="J10" s="201"/>
      <c r="K10" s="202"/>
      <c r="L10" s="38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</row>
    <row r="11" spans="1:46" s="2" customFormat="1" ht="10.9" customHeight="1" x14ac:dyDescent="0.2">
      <c r="A11" s="202"/>
      <c r="B11" s="29"/>
      <c r="C11" s="202"/>
      <c r="D11" s="202"/>
      <c r="E11" s="202"/>
      <c r="F11" s="202"/>
      <c r="G11" s="202"/>
      <c r="H11" s="202"/>
      <c r="I11" s="202"/>
      <c r="J11" s="202"/>
      <c r="K11" s="202"/>
      <c r="L11" s="38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</row>
    <row r="12" spans="1:46" s="2" customFormat="1" ht="12" customHeight="1" x14ac:dyDescent="0.2">
      <c r="A12" s="202"/>
      <c r="B12" s="29"/>
      <c r="C12" s="202"/>
      <c r="D12" s="25" t="s">
        <v>19</v>
      </c>
      <c r="E12" s="202"/>
      <c r="F12" s="375" t="s">
        <v>1137</v>
      </c>
      <c r="G12" s="202"/>
      <c r="H12" s="202"/>
      <c r="I12" s="25" t="s">
        <v>20</v>
      </c>
      <c r="J12" s="195" t="s">
        <v>1</v>
      </c>
      <c r="K12" s="202"/>
      <c r="L12" s="38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</row>
    <row r="13" spans="1:46" s="2" customFormat="1" ht="18" customHeight="1" x14ac:dyDescent="0.2">
      <c r="A13" s="202"/>
      <c r="B13" s="29"/>
      <c r="C13" s="202"/>
      <c r="D13" s="202"/>
      <c r="E13" s="195"/>
      <c r="F13" s="202"/>
      <c r="G13" s="202"/>
      <c r="H13" s="202"/>
      <c r="I13" s="25" t="s">
        <v>22</v>
      </c>
      <c r="J13" s="195" t="s">
        <v>1</v>
      </c>
      <c r="K13" s="202"/>
      <c r="L13" s="38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</row>
    <row r="14" spans="1:46" s="2" customFormat="1" ht="6.95" customHeight="1" x14ac:dyDescent="0.2">
      <c r="A14" s="202"/>
      <c r="B14" s="29"/>
      <c r="C14" s="202"/>
      <c r="D14" s="202"/>
      <c r="E14" s="202"/>
      <c r="F14" s="202"/>
      <c r="G14" s="202"/>
      <c r="H14" s="202"/>
      <c r="I14" s="202"/>
      <c r="J14" s="202"/>
      <c r="K14" s="202"/>
      <c r="L14" s="38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</row>
    <row r="15" spans="1:46" s="2" customFormat="1" ht="12" customHeight="1" x14ac:dyDescent="0.2">
      <c r="A15" s="202"/>
      <c r="B15" s="29"/>
      <c r="C15" s="202"/>
      <c r="D15" s="25" t="s">
        <v>23</v>
      </c>
      <c r="E15" s="202"/>
      <c r="F15" s="202"/>
      <c r="G15" s="202"/>
      <c r="H15" s="202"/>
      <c r="I15" s="25" t="s">
        <v>20</v>
      </c>
      <c r="J15" s="195" t="str">
        <f>'[1]Rekapitulácia stavby'!AN13</f>
        <v/>
      </c>
      <c r="K15" s="202"/>
      <c r="L15" s="38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</row>
    <row r="16" spans="1:46" s="2" customFormat="1" ht="18" customHeight="1" x14ac:dyDescent="0.2">
      <c r="A16" s="202"/>
      <c r="B16" s="29"/>
      <c r="C16" s="202"/>
      <c r="D16" s="202"/>
      <c r="E16" s="398" t="str">
        <f>'[1]Rekapitulácia stavby'!E14</f>
        <v xml:space="preserve"> </v>
      </c>
      <c r="F16" s="398"/>
      <c r="G16" s="398"/>
      <c r="H16" s="398"/>
      <c r="I16" s="25" t="s">
        <v>22</v>
      </c>
      <c r="J16" s="195" t="str">
        <f>'[1]Rekapitulácia stavby'!AN14</f>
        <v/>
      </c>
      <c r="K16" s="202"/>
      <c r="L16" s="38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</row>
    <row r="17" spans="1:31" s="2" customFormat="1" ht="6.95" customHeight="1" x14ac:dyDescent="0.2">
      <c r="A17" s="202"/>
      <c r="B17" s="29"/>
      <c r="C17" s="202"/>
      <c r="D17" s="202"/>
      <c r="E17" s="202"/>
      <c r="F17" s="202"/>
      <c r="G17" s="202"/>
      <c r="H17" s="202"/>
      <c r="I17" s="202"/>
      <c r="J17" s="202"/>
      <c r="K17" s="202"/>
      <c r="L17" s="38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</row>
    <row r="18" spans="1:31" s="2" customFormat="1" ht="12" customHeight="1" x14ac:dyDescent="0.2">
      <c r="A18" s="202"/>
      <c r="B18" s="29"/>
      <c r="C18" s="202"/>
      <c r="D18" s="25" t="s">
        <v>24</v>
      </c>
      <c r="E18" s="202"/>
      <c r="F18" s="202"/>
      <c r="G18" s="202"/>
      <c r="H18" s="202"/>
      <c r="I18" s="25" t="s">
        <v>20</v>
      </c>
      <c r="J18" s="195" t="str">
        <f>IF('[1]Rekapitulácia stavby'!AN16="","",'[1]Rekapitulácia stavby'!AN16)</f>
        <v/>
      </c>
      <c r="K18" s="202"/>
      <c r="L18" s="38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</row>
    <row r="19" spans="1:31" s="2" customFormat="1" ht="18" customHeight="1" x14ac:dyDescent="0.2">
      <c r="A19" s="202"/>
      <c r="B19" s="29"/>
      <c r="C19" s="202"/>
      <c r="D19" s="202"/>
      <c r="E19" s="195" t="str">
        <f>IF('[1]Rekapitulácia stavby'!E17="","",'[1]Rekapitulácia stavby'!E17)</f>
        <v xml:space="preserve"> </v>
      </c>
      <c r="F19" s="202"/>
      <c r="G19" s="202"/>
      <c r="H19" s="202"/>
      <c r="I19" s="25" t="s">
        <v>22</v>
      </c>
      <c r="J19" s="195" t="str">
        <f>IF('[1]Rekapitulácia stavby'!AN17="","",'[1]Rekapitulácia stavby'!AN17)</f>
        <v/>
      </c>
      <c r="K19" s="202"/>
      <c r="L19" s="38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</row>
    <row r="20" spans="1:31" s="2" customFormat="1" ht="6.95" customHeight="1" x14ac:dyDescent="0.2">
      <c r="A20" s="202"/>
      <c r="B20" s="29"/>
      <c r="C20" s="202"/>
      <c r="D20" s="202"/>
      <c r="E20" s="202"/>
      <c r="F20" s="202"/>
      <c r="G20" s="202"/>
      <c r="H20" s="202"/>
      <c r="I20" s="202"/>
      <c r="J20" s="202"/>
      <c r="K20" s="202"/>
      <c r="L20" s="38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</row>
    <row r="21" spans="1:31" s="2" customFormat="1" ht="12" customHeight="1" x14ac:dyDescent="0.2">
      <c r="A21" s="202"/>
      <c r="B21" s="29"/>
      <c r="C21" s="202"/>
      <c r="D21" s="25" t="s">
        <v>29</v>
      </c>
      <c r="E21" s="202"/>
      <c r="F21" s="202"/>
      <c r="G21" s="202"/>
      <c r="H21" s="202"/>
      <c r="I21" s="25" t="s">
        <v>20</v>
      </c>
      <c r="J21" s="195" t="str">
        <f>IF('[1]Rekapitulácia stavby'!AN19="","",'[1]Rekapitulácia stavby'!AN19)</f>
        <v/>
      </c>
      <c r="K21" s="202"/>
      <c r="L21" s="38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</row>
    <row r="22" spans="1:31" s="2" customFormat="1" ht="18" customHeight="1" x14ac:dyDescent="0.2">
      <c r="A22" s="202"/>
      <c r="B22" s="29"/>
      <c r="C22" s="202"/>
      <c r="D22" s="202"/>
      <c r="E22" s="195" t="str">
        <f>IF('[1]Rekapitulácia stavby'!E20="","",'[1]Rekapitulácia stavby'!E20)</f>
        <v xml:space="preserve"> </v>
      </c>
      <c r="F22" s="202"/>
      <c r="G22" s="202"/>
      <c r="H22" s="202"/>
      <c r="I22" s="25" t="s">
        <v>22</v>
      </c>
      <c r="J22" s="195" t="str">
        <f>IF('[1]Rekapitulácia stavby'!AN20="","",'[1]Rekapitulácia stavby'!AN20)</f>
        <v/>
      </c>
      <c r="K22" s="202"/>
      <c r="L22" s="38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</row>
    <row r="23" spans="1:31" s="2" customFormat="1" ht="6.95" customHeight="1" x14ac:dyDescent="0.2">
      <c r="A23" s="202"/>
      <c r="B23" s="29"/>
      <c r="C23" s="202"/>
      <c r="D23" s="202"/>
      <c r="E23" s="202"/>
      <c r="F23" s="202"/>
      <c r="G23" s="202"/>
      <c r="H23" s="202"/>
      <c r="I23" s="202"/>
      <c r="J23" s="202"/>
      <c r="K23" s="202"/>
      <c r="L23" s="38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</row>
    <row r="24" spans="1:31" s="2" customFormat="1" ht="12" customHeight="1" x14ac:dyDescent="0.2">
      <c r="A24" s="202"/>
      <c r="B24" s="29"/>
      <c r="C24" s="202"/>
      <c r="D24" s="25" t="s">
        <v>30</v>
      </c>
      <c r="E24" s="202"/>
      <c r="F24" s="202"/>
      <c r="G24" s="202"/>
      <c r="H24" s="202"/>
      <c r="I24" s="202"/>
      <c r="J24" s="202"/>
      <c r="K24" s="202"/>
      <c r="L24" s="38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</row>
    <row r="25" spans="1:31" s="8" customFormat="1" ht="16.5" customHeight="1" x14ac:dyDescent="0.2">
      <c r="A25" s="86"/>
      <c r="B25" s="87"/>
      <c r="C25" s="86"/>
      <c r="D25" s="86"/>
      <c r="E25" s="402" t="s">
        <v>1</v>
      </c>
      <c r="F25" s="402"/>
      <c r="G25" s="402"/>
      <c r="H25" s="402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 x14ac:dyDescent="0.2">
      <c r="A26" s="202"/>
      <c r="B26" s="29"/>
      <c r="C26" s="202"/>
      <c r="D26" s="202"/>
      <c r="E26" s="202"/>
      <c r="F26" s="202"/>
      <c r="G26" s="202"/>
      <c r="H26" s="202"/>
      <c r="I26" s="202"/>
      <c r="J26" s="202"/>
      <c r="K26" s="202"/>
      <c r="L26" s="38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</row>
    <row r="27" spans="1:31" s="2" customFormat="1" ht="6.95" customHeight="1" x14ac:dyDescent="0.2">
      <c r="A27" s="202"/>
      <c r="B27" s="29"/>
      <c r="C27" s="202"/>
      <c r="D27" s="62"/>
      <c r="E27" s="62"/>
      <c r="F27" s="62"/>
      <c r="G27" s="62"/>
      <c r="H27" s="62"/>
      <c r="I27" s="62"/>
      <c r="J27" s="62"/>
      <c r="K27" s="62"/>
      <c r="L27" s="38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</row>
    <row r="28" spans="1:31" s="2" customFormat="1" ht="14.45" customHeight="1" x14ac:dyDescent="0.2">
      <c r="A28" s="202"/>
      <c r="B28" s="29"/>
      <c r="C28" s="202"/>
      <c r="D28" s="195" t="s">
        <v>82</v>
      </c>
      <c r="E28" s="202"/>
      <c r="F28" s="202"/>
      <c r="G28" s="202"/>
      <c r="H28" s="202"/>
      <c r="I28" s="202"/>
      <c r="J28" s="216">
        <f>J94</f>
        <v>0</v>
      </c>
      <c r="K28" s="202"/>
      <c r="L28" s="38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</row>
    <row r="29" spans="1:31" s="2" customFormat="1" ht="14.45" customHeight="1" x14ac:dyDescent="0.2">
      <c r="A29" s="202"/>
      <c r="B29" s="29"/>
      <c r="C29" s="202"/>
      <c r="D29" s="217" t="s">
        <v>513</v>
      </c>
      <c r="E29" s="202"/>
      <c r="F29" s="202"/>
      <c r="G29" s="202"/>
      <c r="H29" s="202"/>
      <c r="I29" s="202"/>
      <c r="J29" s="216">
        <f>J102</f>
        <v>0</v>
      </c>
      <c r="K29" s="202"/>
      <c r="L29" s="38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</row>
    <row r="30" spans="1:31" s="2" customFormat="1" ht="25.35" customHeight="1" x14ac:dyDescent="0.2">
      <c r="A30" s="202"/>
      <c r="B30" s="29"/>
      <c r="C30" s="202"/>
      <c r="D30" s="89" t="s">
        <v>32</v>
      </c>
      <c r="E30" s="202"/>
      <c r="F30" s="202"/>
      <c r="G30" s="202"/>
      <c r="H30" s="202"/>
      <c r="I30" s="202"/>
      <c r="J30" s="200">
        <f>ROUND(J28 + J29, 2)</f>
        <v>0</v>
      </c>
      <c r="K30" s="202"/>
      <c r="L30" s="38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</row>
    <row r="31" spans="1:31" s="2" customFormat="1" ht="6.95" customHeight="1" x14ac:dyDescent="0.2">
      <c r="A31" s="202"/>
      <c r="B31" s="29"/>
      <c r="C31" s="202"/>
      <c r="D31" s="62"/>
      <c r="E31" s="62"/>
      <c r="F31" s="62"/>
      <c r="G31" s="62"/>
      <c r="H31" s="62"/>
      <c r="I31" s="62"/>
      <c r="J31" s="62"/>
      <c r="K31" s="62"/>
      <c r="L31" s="38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</row>
    <row r="32" spans="1:31" s="2" customFormat="1" ht="14.45" customHeight="1" x14ac:dyDescent="0.2">
      <c r="A32" s="202"/>
      <c r="B32" s="29"/>
      <c r="C32" s="202"/>
      <c r="D32" s="202"/>
      <c r="E32" s="202"/>
      <c r="F32" s="194" t="s">
        <v>34</v>
      </c>
      <c r="G32" s="202"/>
      <c r="H32" s="202"/>
      <c r="I32" s="194" t="s">
        <v>33</v>
      </c>
      <c r="J32" s="194" t="s">
        <v>35</v>
      </c>
      <c r="K32" s="202"/>
      <c r="L32" s="38"/>
      <c r="N32" s="327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</row>
    <row r="33" spans="1:31" s="2" customFormat="1" ht="14.45" customHeight="1" x14ac:dyDescent="0.2">
      <c r="A33" s="202"/>
      <c r="B33" s="29"/>
      <c r="C33" s="202"/>
      <c r="D33" s="90" t="s">
        <v>36</v>
      </c>
      <c r="E33" s="25" t="s">
        <v>37</v>
      </c>
      <c r="F33" s="91"/>
      <c r="G33" s="202"/>
      <c r="H33" s="202"/>
      <c r="I33" s="92">
        <v>0.2</v>
      </c>
      <c r="J33" s="91">
        <f>F33*0.2</f>
        <v>0</v>
      </c>
      <c r="K33" s="202"/>
      <c r="L33" s="38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</row>
    <row r="34" spans="1:31" s="2" customFormat="1" ht="14.45" customHeight="1" x14ac:dyDescent="0.2">
      <c r="A34" s="202"/>
      <c r="B34" s="29"/>
      <c r="C34" s="202"/>
      <c r="D34" s="202"/>
      <c r="E34" s="25" t="s">
        <v>38</v>
      </c>
      <c r="F34" s="91">
        <f>ROUND((SUM(BF102:BF103) + SUM(BF121:BF189)),  2)</f>
        <v>0</v>
      </c>
      <c r="G34" s="202"/>
      <c r="H34" s="202"/>
      <c r="I34" s="92">
        <v>0.2</v>
      </c>
      <c r="J34" s="91">
        <f>ROUND(((SUM(BF102:BF103) + SUM(BF121:BF189))*I34),  2)</f>
        <v>0</v>
      </c>
      <c r="K34" s="202"/>
      <c r="L34" s="38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</row>
    <row r="35" spans="1:31" s="2" customFormat="1" ht="14.45" hidden="1" customHeight="1" x14ac:dyDescent="0.2">
      <c r="A35" s="202"/>
      <c r="B35" s="29"/>
      <c r="C35" s="202"/>
      <c r="D35" s="202"/>
      <c r="E35" s="25" t="s">
        <v>39</v>
      </c>
      <c r="F35" s="91">
        <f>ROUND((SUM(BG102:BG103) + SUM(BG121:BG189)),  2)</f>
        <v>0</v>
      </c>
      <c r="G35" s="202"/>
      <c r="H35" s="202"/>
      <c r="I35" s="92">
        <v>0.2</v>
      </c>
      <c r="J35" s="91">
        <f>0</f>
        <v>0</v>
      </c>
      <c r="K35" s="202"/>
      <c r="L35" s="38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</row>
    <row r="36" spans="1:31" s="2" customFormat="1" ht="14.45" hidden="1" customHeight="1" x14ac:dyDescent="0.2">
      <c r="A36" s="202"/>
      <c r="B36" s="29"/>
      <c r="C36" s="202"/>
      <c r="D36" s="202"/>
      <c r="E36" s="25" t="s">
        <v>40</v>
      </c>
      <c r="F36" s="91">
        <f>ROUND((SUM(BH102:BH103) + SUM(BH121:BH189)),  2)</f>
        <v>0</v>
      </c>
      <c r="G36" s="202"/>
      <c r="H36" s="202"/>
      <c r="I36" s="92">
        <v>0.2</v>
      </c>
      <c r="J36" s="91">
        <f>0</f>
        <v>0</v>
      </c>
      <c r="K36" s="202"/>
      <c r="L36" s="38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</row>
    <row r="37" spans="1:31" s="2" customFormat="1" ht="14.45" hidden="1" customHeight="1" x14ac:dyDescent="0.2">
      <c r="A37" s="202"/>
      <c r="B37" s="29"/>
      <c r="C37" s="202"/>
      <c r="D37" s="202"/>
      <c r="E37" s="25" t="s">
        <v>41</v>
      </c>
      <c r="F37" s="91">
        <f>ROUND((SUM(BI102:BI103) + SUM(BI121:BI189)),  2)</f>
        <v>0</v>
      </c>
      <c r="G37" s="202"/>
      <c r="H37" s="202"/>
      <c r="I37" s="92">
        <v>0</v>
      </c>
      <c r="J37" s="91">
        <f>0</f>
        <v>0</v>
      </c>
      <c r="K37" s="202"/>
      <c r="L37" s="38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</row>
    <row r="38" spans="1:31" s="2" customFormat="1" ht="6.95" customHeight="1" x14ac:dyDescent="0.2">
      <c r="A38" s="202"/>
      <c r="B38" s="29"/>
      <c r="C38" s="202"/>
      <c r="D38" s="202"/>
      <c r="E38" s="202"/>
      <c r="F38" s="202"/>
      <c r="G38" s="202"/>
      <c r="H38" s="202"/>
      <c r="I38" s="202"/>
      <c r="J38" s="202"/>
      <c r="K38" s="202"/>
      <c r="L38" s="38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</row>
    <row r="39" spans="1:31" s="2" customFormat="1" ht="25.35" customHeight="1" x14ac:dyDescent="0.2">
      <c r="A39" s="202"/>
      <c r="B39" s="29"/>
      <c r="C39" s="93"/>
      <c r="D39" s="94" t="s">
        <v>42</v>
      </c>
      <c r="E39" s="56"/>
      <c r="F39" s="56"/>
      <c r="G39" s="95" t="s">
        <v>43</v>
      </c>
      <c r="H39" s="96" t="s">
        <v>44</v>
      </c>
      <c r="I39" s="56"/>
      <c r="J39" s="97">
        <f>J30*1.2</f>
        <v>0</v>
      </c>
      <c r="K39" s="98"/>
      <c r="L39" s="38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</row>
    <row r="40" spans="1:31" s="2" customFormat="1" ht="14.45" customHeight="1" x14ac:dyDescent="0.2">
      <c r="A40" s="202"/>
      <c r="B40" s="29"/>
      <c r="C40" s="202"/>
      <c r="D40" s="202"/>
      <c r="E40" s="202"/>
      <c r="F40" s="202"/>
      <c r="G40" s="202"/>
      <c r="H40" s="202"/>
      <c r="I40" s="202"/>
      <c r="J40" s="202"/>
      <c r="K40" s="202"/>
      <c r="L40" s="38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</row>
    <row r="41" spans="1:31" ht="14.45" customHeight="1" x14ac:dyDescent="0.2">
      <c r="B41" s="19"/>
      <c r="L41" s="19"/>
    </row>
    <row r="42" spans="1:31" ht="14.45" customHeight="1" x14ac:dyDescent="0.2">
      <c r="B42" s="19"/>
      <c r="L42" s="19"/>
    </row>
    <row r="43" spans="1:31" ht="14.45" customHeight="1" x14ac:dyDescent="0.2">
      <c r="B43" s="19"/>
      <c r="L43" s="19"/>
    </row>
    <row r="44" spans="1:31" ht="14.45" customHeight="1" x14ac:dyDescent="0.2">
      <c r="B44" s="19"/>
      <c r="L44" s="19"/>
    </row>
    <row r="45" spans="1:31" ht="14.45" customHeight="1" x14ac:dyDescent="0.2">
      <c r="B45" s="19"/>
      <c r="L45" s="19"/>
    </row>
    <row r="46" spans="1:31" ht="14.45" customHeight="1" x14ac:dyDescent="0.2">
      <c r="B46" s="19"/>
      <c r="L46" s="19"/>
    </row>
    <row r="47" spans="1:31" ht="14.45" customHeight="1" x14ac:dyDescent="0.2">
      <c r="B47" s="19"/>
      <c r="L47" s="19"/>
    </row>
    <row r="48" spans="1:31" ht="14.45" customHeight="1" x14ac:dyDescent="0.2">
      <c r="B48" s="19"/>
      <c r="L48" s="19"/>
    </row>
    <row r="49" spans="1:31" ht="14.45" customHeight="1" x14ac:dyDescent="0.2">
      <c r="B49" s="19"/>
      <c r="L49" s="19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8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202"/>
      <c r="B61" s="29"/>
      <c r="C61" s="202"/>
      <c r="D61" s="41" t="s">
        <v>47</v>
      </c>
      <c r="E61" s="198"/>
      <c r="F61" s="99" t="s">
        <v>48</v>
      </c>
      <c r="G61" s="41" t="s">
        <v>47</v>
      </c>
      <c r="H61" s="198"/>
      <c r="I61" s="198"/>
      <c r="J61" s="100" t="s">
        <v>48</v>
      </c>
      <c r="K61" s="198"/>
      <c r="L61" s="38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202"/>
      <c r="B65" s="29"/>
      <c r="C65" s="202"/>
      <c r="D65" s="39" t="s">
        <v>49</v>
      </c>
      <c r="E65" s="42"/>
      <c r="F65" s="42"/>
      <c r="G65" s="39" t="s">
        <v>50</v>
      </c>
      <c r="H65" s="42"/>
      <c r="I65" s="42"/>
      <c r="J65" s="42"/>
      <c r="K65" s="42"/>
      <c r="L65" s="38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202"/>
      <c r="B76" s="29"/>
      <c r="C76" s="202"/>
      <c r="D76" s="41" t="s">
        <v>47</v>
      </c>
      <c r="E76" s="198"/>
      <c r="F76" s="99" t="s">
        <v>48</v>
      </c>
      <c r="G76" s="41" t="s">
        <v>47</v>
      </c>
      <c r="H76" s="198"/>
      <c r="I76" s="198"/>
      <c r="J76" s="100" t="s">
        <v>48</v>
      </c>
      <c r="K76" s="198"/>
      <c r="L76" s="38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</row>
    <row r="77" spans="1:31" s="2" customFormat="1" ht="14.45" customHeight="1" x14ac:dyDescent="0.2">
      <c r="A77" s="20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</row>
    <row r="81" spans="1:47" s="2" customFormat="1" ht="6.95" customHeight="1" x14ac:dyDescent="0.2">
      <c r="A81" s="202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</row>
    <row r="82" spans="1:47" s="2" customFormat="1" ht="24.95" customHeight="1" x14ac:dyDescent="0.2">
      <c r="A82" s="202"/>
      <c r="B82" s="29"/>
      <c r="C82" s="20" t="s">
        <v>1135</v>
      </c>
      <c r="D82" s="202"/>
      <c r="E82" s="202"/>
      <c r="F82" s="202"/>
      <c r="G82" s="202"/>
      <c r="H82" s="202"/>
      <c r="I82" s="202"/>
      <c r="J82" s="202"/>
      <c r="K82" s="202"/>
      <c r="L82" s="38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</row>
    <row r="83" spans="1:47" s="2" customFormat="1" ht="6.95" customHeight="1" x14ac:dyDescent="0.2">
      <c r="A83" s="202"/>
      <c r="B83" s="29"/>
      <c r="C83" s="202"/>
      <c r="D83" s="202"/>
      <c r="E83" s="202"/>
      <c r="F83" s="202"/>
      <c r="G83" s="202"/>
      <c r="H83" s="202"/>
      <c r="I83" s="202"/>
      <c r="J83" s="202"/>
      <c r="K83" s="202"/>
      <c r="L83" s="38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</row>
    <row r="84" spans="1:47" s="2" customFormat="1" ht="12" customHeight="1" x14ac:dyDescent="0.2">
      <c r="A84" s="202"/>
      <c r="B84" s="29"/>
      <c r="C84" s="25" t="s">
        <v>12</v>
      </c>
      <c r="D84" s="202"/>
      <c r="E84" s="202"/>
      <c r="F84" s="202"/>
      <c r="G84" s="202"/>
      <c r="H84" s="202"/>
      <c r="I84" s="202"/>
      <c r="J84" s="202"/>
      <c r="K84" s="202"/>
      <c r="L84" s="38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</row>
    <row r="85" spans="1:47" s="2" customFormat="1" ht="16.5" customHeight="1" x14ac:dyDescent="0.2">
      <c r="A85" s="202"/>
      <c r="B85" s="29"/>
      <c r="C85" s="202"/>
      <c r="D85" s="202"/>
      <c r="E85" s="382" t="str">
        <f>E7</f>
        <v>Rekonštrukcia časti priestorov MŠ Čordákova 17, Košice</v>
      </c>
      <c r="F85" s="413"/>
      <c r="G85" s="413"/>
      <c r="H85" s="413"/>
      <c r="I85" s="202"/>
      <c r="J85" s="202"/>
      <c r="K85" s="202"/>
      <c r="L85" s="38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</row>
    <row r="86" spans="1:47" s="2" customFormat="1" ht="6.95" customHeight="1" x14ac:dyDescent="0.2">
      <c r="A86" s="202"/>
      <c r="B86" s="29"/>
      <c r="C86" s="202"/>
      <c r="D86" s="202"/>
      <c r="E86" s="202"/>
      <c r="F86" s="202"/>
      <c r="G86" s="202"/>
      <c r="H86" s="202"/>
      <c r="I86" s="202"/>
      <c r="J86" s="202"/>
      <c r="K86" s="202"/>
      <c r="L86" s="38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</row>
    <row r="87" spans="1:47" s="2" customFormat="1" ht="12" customHeight="1" x14ac:dyDescent="0.2">
      <c r="A87" s="202"/>
      <c r="B87" s="29"/>
      <c r="C87" s="25" t="s">
        <v>16</v>
      </c>
      <c r="D87" s="202"/>
      <c r="E87" s="202"/>
      <c r="F87" s="195" t="str">
        <f>F10</f>
        <v>Košice</v>
      </c>
      <c r="G87" s="202"/>
      <c r="H87" s="202"/>
      <c r="I87" s="25" t="s">
        <v>18</v>
      </c>
      <c r="J87" s="201" t="str">
        <f>IF(J10="","",J10)</f>
        <v/>
      </c>
      <c r="K87" s="202"/>
      <c r="L87" s="38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</row>
    <row r="88" spans="1:47" s="2" customFormat="1" ht="6.95" customHeight="1" x14ac:dyDescent="0.2">
      <c r="A88" s="202"/>
      <c r="B88" s="29"/>
      <c r="C88" s="202"/>
      <c r="D88" s="202"/>
      <c r="E88" s="202"/>
      <c r="F88" s="202"/>
      <c r="G88" s="202"/>
      <c r="H88" s="202"/>
      <c r="I88" s="202"/>
      <c r="J88" s="202"/>
      <c r="K88" s="202"/>
      <c r="L88" s="38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47" s="2" customFormat="1" ht="15.2" customHeight="1" x14ac:dyDescent="0.2">
      <c r="A89" s="202"/>
      <c r="B89" s="29"/>
      <c r="C89" s="25" t="s">
        <v>19</v>
      </c>
      <c r="D89" s="202"/>
      <c r="E89" s="202"/>
      <c r="F89" s="195" t="s">
        <v>1137</v>
      </c>
      <c r="G89" s="202"/>
      <c r="H89" s="202"/>
      <c r="I89" s="25" t="s">
        <v>24</v>
      </c>
      <c r="J89" s="197" t="str">
        <f>E19</f>
        <v xml:space="preserve"> </v>
      </c>
      <c r="K89" s="202"/>
      <c r="L89" s="38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</row>
    <row r="90" spans="1:47" s="2" customFormat="1" ht="15.2" customHeight="1" x14ac:dyDescent="0.2">
      <c r="A90" s="202"/>
      <c r="B90" s="29"/>
      <c r="C90" s="25" t="s">
        <v>23</v>
      </c>
      <c r="D90" s="202"/>
      <c r="E90" s="202"/>
      <c r="F90" s="195" t="str">
        <f>IF(E16="","",E16)</f>
        <v xml:space="preserve"> </v>
      </c>
      <c r="G90" s="202"/>
      <c r="H90" s="202"/>
      <c r="I90" s="25" t="s">
        <v>29</v>
      </c>
      <c r="J90" s="197" t="str">
        <f>E22</f>
        <v xml:space="preserve"> </v>
      </c>
      <c r="K90" s="202"/>
      <c r="L90" s="38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</row>
    <row r="91" spans="1:47" s="2" customFormat="1" ht="10.35" customHeight="1" x14ac:dyDescent="0.2">
      <c r="A91" s="202"/>
      <c r="B91" s="29"/>
      <c r="C91" s="202"/>
      <c r="D91" s="202"/>
      <c r="E91" s="202"/>
      <c r="F91" s="202"/>
      <c r="G91" s="202"/>
      <c r="H91" s="202"/>
      <c r="I91" s="202"/>
      <c r="J91" s="202"/>
      <c r="K91" s="202"/>
      <c r="L91" s="38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</row>
    <row r="92" spans="1:47" s="2" customFormat="1" ht="29.25" customHeight="1" x14ac:dyDescent="0.2">
      <c r="A92" s="202"/>
      <c r="B92" s="29"/>
      <c r="C92" s="101" t="s">
        <v>80</v>
      </c>
      <c r="D92" s="93"/>
      <c r="E92" s="93"/>
      <c r="F92" s="93"/>
      <c r="G92" s="93"/>
      <c r="H92" s="93"/>
      <c r="I92" s="93"/>
      <c r="J92" s="102" t="s">
        <v>81</v>
      </c>
      <c r="K92" s="93"/>
      <c r="L92" s="38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</row>
    <row r="93" spans="1:47" s="2" customFormat="1" ht="10.35" customHeight="1" x14ac:dyDescent="0.2">
      <c r="A93" s="202"/>
      <c r="B93" s="29"/>
      <c r="C93" s="202"/>
      <c r="D93" s="202"/>
      <c r="E93" s="202"/>
      <c r="F93" s="202"/>
      <c r="G93" s="202"/>
      <c r="H93" s="202"/>
      <c r="I93" s="202"/>
      <c r="J93" s="202"/>
      <c r="K93" s="202"/>
      <c r="L93" s="38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</row>
    <row r="94" spans="1:47" s="2" customFormat="1" ht="22.9" customHeight="1" x14ac:dyDescent="0.2">
      <c r="A94" s="202"/>
      <c r="B94" s="29"/>
      <c r="C94" s="103" t="s">
        <v>514</v>
      </c>
      <c r="D94" s="202"/>
      <c r="E94" s="202"/>
      <c r="F94" s="202"/>
      <c r="G94" s="202"/>
      <c r="H94" s="202"/>
      <c r="I94" s="202"/>
      <c r="J94" s="200">
        <f>J121</f>
        <v>0</v>
      </c>
      <c r="K94" s="202"/>
      <c r="L94" s="38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U94" s="16" t="s">
        <v>83</v>
      </c>
    </row>
    <row r="95" spans="1:47" s="9" customFormat="1" ht="24.95" customHeight="1" x14ac:dyDescent="0.2">
      <c r="B95" s="104"/>
      <c r="D95" s="105" t="s">
        <v>91</v>
      </c>
      <c r="E95" s="106"/>
      <c r="F95" s="106"/>
      <c r="G95" s="106"/>
      <c r="H95" s="106"/>
      <c r="I95" s="106"/>
      <c r="J95" s="107">
        <f>J122</f>
        <v>0</v>
      </c>
      <c r="L95" s="104"/>
    </row>
    <row r="96" spans="1:47" s="10" customFormat="1" ht="19.899999999999999" customHeight="1" x14ac:dyDescent="0.2">
      <c r="B96" s="108"/>
      <c r="D96" s="109" t="s">
        <v>93</v>
      </c>
      <c r="E96" s="110"/>
      <c r="F96" s="110"/>
      <c r="G96" s="110"/>
      <c r="H96" s="110"/>
      <c r="I96" s="110"/>
      <c r="J96" s="111">
        <f>J123</f>
        <v>0</v>
      </c>
      <c r="L96" s="108"/>
    </row>
    <row r="97" spans="1:31" s="10" customFormat="1" ht="19.899999999999999" customHeight="1" x14ac:dyDescent="0.2">
      <c r="B97" s="108"/>
      <c r="D97" s="109" t="s">
        <v>515</v>
      </c>
      <c r="E97" s="110"/>
      <c r="F97" s="110"/>
      <c r="G97" s="110"/>
      <c r="H97" s="110"/>
      <c r="I97" s="110"/>
      <c r="J97" s="111">
        <f>J127</f>
        <v>0</v>
      </c>
      <c r="L97" s="108"/>
    </row>
    <row r="98" spans="1:31" s="10" customFormat="1" ht="19.899999999999999" customHeight="1" x14ac:dyDescent="0.2">
      <c r="B98" s="108"/>
      <c r="D98" s="109" t="s">
        <v>516</v>
      </c>
      <c r="E98" s="110"/>
      <c r="F98" s="110"/>
      <c r="G98" s="110"/>
      <c r="H98" s="110"/>
      <c r="I98" s="110"/>
      <c r="J98" s="111">
        <f>J143</f>
        <v>0</v>
      </c>
      <c r="L98" s="108"/>
    </row>
    <row r="99" spans="1:31" s="10" customFormat="1" ht="19.899999999999999" customHeight="1" x14ac:dyDescent="0.2">
      <c r="B99" s="108"/>
      <c r="D99" s="109" t="s">
        <v>517</v>
      </c>
      <c r="E99" s="110"/>
      <c r="F99" s="110"/>
      <c r="G99" s="110"/>
      <c r="H99" s="110"/>
      <c r="I99" s="110"/>
      <c r="J99" s="111">
        <f>J165</f>
        <v>0</v>
      </c>
      <c r="L99" s="108"/>
    </row>
    <row r="100" spans="1:31" s="2" customFormat="1" ht="21.75" customHeight="1" x14ac:dyDescent="0.2">
      <c r="A100" s="202"/>
      <c r="B100" s="29"/>
      <c r="C100" s="202"/>
      <c r="D100" s="202"/>
      <c r="E100" s="202"/>
      <c r="F100" s="202"/>
      <c r="G100" s="202"/>
      <c r="H100" s="202"/>
      <c r="I100" s="202"/>
      <c r="J100" s="202"/>
      <c r="K100" s="202"/>
      <c r="L100" s="38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</row>
    <row r="101" spans="1:31" s="2" customFormat="1" ht="6.95" customHeight="1" x14ac:dyDescent="0.2">
      <c r="A101" s="202"/>
      <c r="B101" s="29"/>
      <c r="C101" s="202"/>
      <c r="D101" s="202"/>
      <c r="E101" s="202"/>
      <c r="F101" s="202"/>
      <c r="G101" s="202"/>
      <c r="H101" s="202"/>
      <c r="I101" s="202"/>
      <c r="J101" s="202"/>
      <c r="K101" s="202"/>
      <c r="L101" s="38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</row>
    <row r="102" spans="1:31" s="2" customFormat="1" ht="29.25" customHeight="1" x14ac:dyDescent="0.2">
      <c r="A102" s="202"/>
      <c r="B102" s="29"/>
      <c r="C102" s="103" t="s">
        <v>518</v>
      </c>
      <c r="D102" s="202"/>
      <c r="E102" s="202"/>
      <c r="F102" s="202"/>
      <c r="G102" s="202"/>
      <c r="H102" s="202"/>
      <c r="I102" s="202"/>
      <c r="J102" s="218">
        <v>0</v>
      </c>
      <c r="K102" s="202"/>
      <c r="L102" s="38"/>
      <c r="N102" s="219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</row>
    <row r="103" spans="1:31" s="2" customFormat="1" ht="18" customHeight="1" x14ac:dyDescent="0.2">
      <c r="A103" s="202"/>
      <c r="B103" s="29"/>
      <c r="C103" s="202"/>
      <c r="D103" s="202"/>
      <c r="E103" s="202"/>
      <c r="F103" s="202"/>
      <c r="G103" s="202"/>
      <c r="H103" s="202"/>
      <c r="I103" s="202"/>
      <c r="J103" s="202"/>
      <c r="K103" s="202"/>
      <c r="L103" s="38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</row>
    <row r="104" spans="1:31" s="2" customFormat="1" ht="29.25" customHeight="1" x14ac:dyDescent="0.2">
      <c r="A104" s="202"/>
      <c r="B104" s="29"/>
      <c r="C104" s="220" t="s">
        <v>519</v>
      </c>
      <c r="D104" s="93"/>
      <c r="E104" s="93"/>
      <c r="F104" s="93"/>
      <c r="G104" s="93"/>
      <c r="H104" s="93"/>
      <c r="I104" s="93"/>
      <c r="J104" s="221">
        <f>ROUND(J94+J102,2)</f>
        <v>0</v>
      </c>
      <c r="K104" s="93"/>
      <c r="L104" s="38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</row>
    <row r="105" spans="1:31" s="2" customFormat="1" ht="6.95" customHeight="1" x14ac:dyDescent="0.2">
      <c r="A105" s="202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8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</row>
    <row r="109" spans="1:31" s="2" customFormat="1" ht="6.95" customHeight="1" x14ac:dyDescent="0.2">
      <c r="A109" s="202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8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</row>
    <row r="110" spans="1:31" s="2" customFormat="1" ht="24.95" customHeight="1" x14ac:dyDescent="0.2">
      <c r="A110" s="202"/>
      <c r="B110" s="29"/>
      <c r="C110" s="20" t="s">
        <v>1136</v>
      </c>
      <c r="D110" s="202"/>
      <c r="E110" s="202"/>
      <c r="F110" s="202"/>
      <c r="G110" s="202"/>
      <c r="H110" s="202"/>
      <c r="I110" s="202"/>
      <c r="J110" s="202"/>
      <c r="K110" s="202"/>
      <c r="L110" s="38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</row>
    <row r="111" spans="1:31" s="2" customFormat="1" ht="6.95" customHeight="1" x14ac:dyDescent="0.2">
      <c r="A111" s="202"/>
      <c r="B111" s="29"/>
      <c r="C111" s="202"/>
      <c r="D111" s="202"/>
      <c r="E111" s="202"/>
      <c r="F111" s="202"/>
      <c r="G111" s="202"/>
      <c r="H111" s="202"/>
      <c r="I111" s="202"/>
      <c r="J111" s="202"/>
      <c r="K111" s="202"/>
      <c r="L111" s="38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</row>
    <row r="112" spans="1:31" s="2" customFormat="1" ht="12" customHeight="1" x14ac:dyDescent="0.2">
      <c r="A112" s="202"/>
      <c r="B112" s="29"/>
      <c r="C112" s="25" t="s">
        <v>12</v>
      </c>
      <c r="D112" s="202"/>
      <c r="E112" s="202"/>
      <c r="F112" s="202"/>
      <c r="G112" s="202"/>
      <c r="H112" s="202"/>
      <c r="I112" s="202"/>
      <c r="J112" s="202"/>
      <c r="K112" s="202"/>
      <c r="L112" s="38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</row>
    <row r="113" spans="1:65" s="2" customFormat="1" ht="16.5" customHeight="1" x14ac:dyDescent="0.2">
      <c r="A113" s="202"/>
      <c r="B113" s="29"/>
      <c r="C113" s="202"/>
      <c r="D113" s="202"/>
      <c r="E113" s="382" t="str">
        <f>E7</f>
        <v>Rekonštrukcia časti priestorov MŠ Čordákova 17, Košice</v>
      </c>
      <c r="F113" s="413"/>
      <c r="G113" s="413"/>
      <c r="H113" s="413"/>
      <c r="I113" s="202"/>
      <c r="J113" s="202"/>
      <c r="K113" s="202"/>
      <c r="L113" s="38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</row>
    <row r="114" spans="1:65" s="2" customFormat="1" ht="6.95" customHeight="1" x14ac:dyDescent="0.2">
      <c r="A114" s="202"/>
      <c r="B114" s="29"/>
      <c r="C114" s="202"/>
      <c r="D114" s="202"/>
      <c r="E114" s="202"/>
      <c r="F114" s="202"/>
      <c r="G114" s="202"/>
      <c r="H114" s="202"/>
      <c r="I114" s="202"/>
      <c r="J114" s="202"/>
      <c r="K114" s="202"/>
      <c r="L114" s="38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</row>
    <row r="115" spans="1:65" s="2" customFormat="1" ht="12" customHeight="1" x14ac:dyDescent="0.2">
      <c r="A115" s="202"/>
      <c r="B115" s="29"/>
      <c r="C115" s="25" t="s">
        <v>16</v>
      </c>
      <c r="D115" s="202"/>
      <c r="E115" s="202"/>
      <c r="F115" s="195" t="str">
        <f>F10</f>
        <v>Košice</v>
      </c>
      <c r="G115" s="202"/>
      <c r="H115" s="202"/>
      <c r="I115" s="25" t="s">
        <v>18</v>
      </c>
      <c r="J115" s="201" t="str">
        <f>IF(J10="","",J10)</f>
        <v/>
      </c>
      <c r="K115" s="202"/>
      <c r="L115" s="38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</row>
    <row r="116" spans="1:65" s="2" customFormat="1" ht="6.95" customHeight="1" x14ac:dyDescent="0.2">
      <c r="A116" s="202"/>
      <c r="B116" s="29"/>
      <c r="C116" s="202"/>
      <c r="D116" s="202"/>
      <c r="E116" s="202"/>
      <c r="F116" s="202"/>
      <c r="G116" s="202"/>
      <c r="H116" s="202"/>
      <c r="I116" s="202"/>
      <c r="J116" s="202"/>
      <c r="K116" s="202"/>
      <c r="L116" s="38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pans="1:65" s="2" customFormat="1" ht="15.2" customHeight="1" x14ac:dyDescent="0.2">
      <c r="A117" s="202"/>
      <c r="B117" s="29"/>
      <c r="C117" s="25" t="s">
        <v>19</v>
      </c>
      <c r="D117" s="202"/>
      <c r="E117" s="202"/>
      <c r="F117" s="195" t="s">
        <v>1137</v>
      </c>
      <c r="G117" s="202"/>
      <c r="H117" s="202"/>
      <c r="I117" s="25" t="s">
        <v>24</v>
      </c>
      <c r="J117" s="197" t="str">
        <f>E19</f>
        <v xml:space="preserve"> </v>
      </c>
      <c r="K117" s="202"/>
      <c r="L117" s="38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pans="1:65" s="2" customFormat="1" ht="15.2" customHeight="1" x14ac:dyDescent="0.2">
      <c r="A118" s="202"/>
      <c r="B118" s="29"/>
      <c r="C118" s="25" t="s">
        <v>23</v>
      </c>
      <c r="D118" s="202"/>
      <c r="E118" s="202"/>
      <c r="F118" s="195" t="str">
        <f>IF(E16="","",E16)</f>
        <v xml:space="preserve"> </v>
      </c>
      <c r="G118" s="202"/>
      <c r="H118" s="202"/>
      <c r="I118" s="25" t="s">
        <v>29</v>
      </c>
      <c r="J118" s="197" t="str">
        <f>E22</f>
        <v xml:space="preserve"> </v>
      </c>
      <c r="K118" s="202"/>
      <c r="L118" s="38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pans="1:65" s="2" customFormat="1" ht="10.35" customHeight="1" x14ac:dyDescent="0.2">
      <c r="A119" s="202"/>
      <c r="B119" s="29"/>
      <c r="C119" s="202"/>
      <c r="D119" s="202"/>
      <c r="E119" s="202"/>
      <c r="F119" s="202"/>
      <c r="G119" s="202"/>
      <c r="H119" s="202"/>
      <c r="I119" s="202"/>
      <c r="J119" s="202"/>
      <c r="K119" s="202"/>
      <c r="L119" s="38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pans="1:65" s="11" customFormat="1" ht="29.25" customHeight="1" x14ac:dyDescent="0.2">
      <c r="A120" s="112"/>
      <c r="B120" s="113"/>
      <c r="C120" s="114" t="s">
        <v>100</v>
      </c>
      <c r="D120" s="115" t="s">
        <v>57</v>
      </c>
      <c r="E120" s="115" t="s">
        <v>53</v>
      </c>
      <c r="F120" s="115" t="s">
        <v>54</v>
      </c>
      <c r="G120" s="115" t="s">
        <v>101</v>
      </c>
      <c r="H120" s="115" t="s">
        <v>102</v>
      </c>
      <c r="I120" s="115" t="s">
        <v>103</v>
      </c>
      <c r="J120" s="116" t="s">
        <v>81</v>
      </c>
      <c r="K120" s="117" t="s">
        <v>104</v>
      </c>
      <c r="L120" s="118"/>
      <c r="M120" s="58" t="s">
        <v>1</v>
      </c>
      <c r="N120" s="59"/>
      <c r="O120" s="59" t="s">
        <v>105</v>
      </c>
      <c r="P120" s="59" t="s">
        <v>106</v>
      </c>
      <c r="Q120" s="59" t="s">
        <v>107</v>
      </c>
      <c r="R120" s="59" t="s">
        <v>108</v>
      </c>
      <c r="S120" s="59" t="s">
        <v>109</v>
      </c>
      <c r="T120" s="60" t="s">
        <v>110</v>
      </c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</row>
    <row r="121" spans="1:65" s="2" customFormat="1" ht="22.9" customHeight="1" x14ac:dyDescent="0.25">
      <c r="A121" s="202"/>
      <c r="B121" s="29"/>
      <c r="C121" s="65" t="s">
        <v>82</v>
      </c>
      <c r="D121" s="202"/>
      <c r="E121" s="202"/>
      <c r="F121" s="202"/>
      <c r="G121" s="202"/>
      <c r="H121" s="202"/>
      <c r="I121" s="202"/>
      <c r="J121" s="222">
        <f>BK121</f>
        <v>0</v>
      </c>
      <c r="K121" s="202"/>
      <c r="L121" s="29"/>
      <c r="M121" s="61"/>
      <c r="N121" s="52"/>
      <c r="O121" s="62"/>
      <c r="P121" s="120">
        <f>P122</f>
        <v>70.934574999999995</v>
      </c>
      <c r="Q121" s="62"/>
      <c r="R121" s="120">
        <f>R122</f>
        <v>0.33218400000000003</v>
      </c>
      <c r="S121" s="62"/>
      <c r="T121" s="121">
        <f>T122</f>
        <v>0.58652400000000005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T121" s="16" t="s">
        <v>71</v>
      </c>
      <c r="AU121" s="16" t="s">
        <v>83</v>
      </c>
      <c r="BK121" s="223">
        <f>BK122</f>
        <v>0</v>
      </c>
    </row>
    <row r="122" spans="1:65" s="12" customFormat="1" ht="25.9" customHeight="1" x14ac:dyDescent="0.2">
      <c r="B122" s="123"/>
      <c r="D122" s="124" t="s">
        <v>71</v>
      </c>
      <c r="E122" s="125" t="s">
        <v>261</v>
      </c>
      <c r="F122" s="125" t="s">
        <v>262</v>
      </c>
      <c r="J122" s="224">
        <f>BK122</f>
        <v>0</v>
      </c>
      <c r="L122" s="123"/>
      <c r="M122" s="127"/>
      <c r="N122" s="128"/>
      <c r="O122" s="128"/>
      <c r="P122" s="129">
        <f>P123+P127+P143+P165</f>
        <v>70.934574999999995</v>
      </c>
      <c r="Q122" s="128"/>
      <c r="R122" s="129">
        <f>R123+R127+R143+R165</f>
        <v>0.33218400000000003</v>
      </c>
      <c r="S122" s="128"/>
      <c r="T122" s="130">
        <f>T123+T127+T143+T165</f>
        <v>0.58652400000000005</v>
      </c>
      <c r="AR122" s="124" t="s">
        <v>120</v>
      </c>
      <c r="AT122" s="131" t="s">
        <v>71</v>
      </c>
      <c r="AU122" s="131" t="s">
        <v>72</v>
      </c>
      <c r="AY122" s="124" t="s">
        <v>113</v>
      </c>
      <c r="BK122" s="225">
        <f>BK123+BK127+BK143+BK165</f>
        <v>0</v>
      </c>
    </row>
    <row r="123" spans="1:65" s="12" customFormat="1" ht="22.9" customHeight="1" x14ac:dyDescent="0.2">
      <c r="B123" s="123"/>
      <c r="D123" s="124" t="s">
        <v>71</v>
      </c>
      <c r="E123" s="133" t="s">
        <v>279</v>
      </c>
      <c r="F123" s="133" t="s">
        <v>280</v>
      </c>
      <c r="J123" s="226">
        <f>BK123</f>
        <v>0</v>
      </c>
      <c r="L123" s="123"/>
      <c r="M123" s="127"/>
      <c r="N123" s="128"/>
      <c r="O123" s="128"/>
      <c r="P123" s="129">
        <f>SUM(P124:P126)</f>
        <v>1.8351200000000001</v>
      </c>
      <c r="Q123" s="128"/>
      <c r="R123" s="129">
        <f>SUM(R124:R126)</f>
        <v>4.8450000000000001E-4</v>
      </c>
      <c r="S123" s="128"/>
      <c r="T123" s="130">
        <f>SUM(T124:T126)</f>
        <v>0</v>
      </c>
      <c r="AR123" s="124" t="s">
        <v>120</v>
      </c>
      <c r="AT123" s="131" t="s">
        <v>71</v>
      </c>
      <c r="AU123" s="131" t="s">
        <v>77</v>
      </c>
      <c r="AY123" s="124" t="s">
        <v>113</v>
      </c>
      <c r="BK123" s="225">
        <f>SUM(BK124:BK126)</f>
        <v>0</v>
      </c>
    </row>
    <row r="124" spans="1:65" s="2" customFormat="1" ht="21.75" customHeight="1" x14ac:dyDescent="0.2">
      <c r="A124" s="202"/>
      <c r="B124" s="135"/>
      <c r="C124" s="136" t="s">
        <v>77</v>
      </c>
      <c r="D124" s="136" t="s">
        <v>115</v>
      </c>
      <c r="E124" s="137" t="s">
        <v>520</v>
      </c>
      <c r="F124" s="138" t="s">
        <v>521</v>
      </c>
      <c r="G124" s="139" t="s">
        <v>151</v>
      </c>
      <c r="H124" s="140">
        <v>14</v>
      </c>
      <c r="I124" s="140"/>
      <c r="J124" s="140">
        <f>ROUND(I124*H124,3)</f>
        <v>0</v>
      </c>
      <c r="K124" s="142"/>
      <c r="L124" s="29"/>
      <c r="M124" s="143" t="s">
        <v>1</v>
      </c>
      <c r="N124" s="144"/>
      <c r="O124" s="145">
        <v>0.13108</v>
      </c>
      <c r="P124" s="145">
        <f>O124*H124</f>
        <v>1.8351200000000001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R124" s="147" t="s">
        <v>186</v>
      </c>
      <c r="AT124" s="147" t="s">
        <v>115</v>
      </c>
      <c r="AU124" s="147" t="s">
        <v>120</v>
      </c>
      <c r="AY124" s="16" t="s">
        <v>113</v>
      </c>
      <c r="BE124" s="148">
        <f>IF(N124="základná",J124,0)</f>
        <v>0</v>
      </c>
      <c r="BF124" s="148">
        <f>IF(N124="znížená",J124,0)</f>
        <v>0</v>
      </c>
      <c r="BG124" s="148">
        <f>IF(N124="zákl. prenesená",J124,0)</f>
        <v>0</v>
      </c>
      <c r="BH124" s="148">
        <f>IF(N124="zníž. prenesená",J124,0)</f>
        <v>0</v>
      </c>
      <c r="BI124" s="148">
        <f>IF(N124="nulová",J124,0)</f>
        <v>0</v>
      </c>
      <c r="BJ124" s="16" t="s">
        <v>120</v>
      </c>
      <c r="BK124" s="227">
        <f>ROUND(I124*H124,3)</f>
        <v>0</v>
      </c>
      <c r="BL124" s="16" t="s">
        <v>186</v>
      </c>
      <c r="BM124" s="147" t="s">
        <v>522</v>
      </c>
    </row>
    <row r="125" spans="1:65" s="2" customFormat="1" ht="21.75" customHeight="1" x14ac:dyDescent="0.2">
      <c r="A125" s="202"/>
      <c r="B125" s="135"/>
      <c r="C125" s="164" t="s">
        <v>120</v>
      </c>
      <c r="D125" s="164" t="s">
        <v>268</v>
      </c>
      <c r="E125" s="165" t="s">
        <v>523</v>
      </c>
      <c r="F125" s="166" t="s">
        <v>524</v>
      </c>
      <c r="G125" s="167" t="s">
        <v>151</v>
      </c>
      <c r="H125" s="168">
        <v>8.67</v>
      </c>
      <c r="I125" s="168"/>
      <c r="J125" s="168">
        <f>ROUND(I125*H125,3)</f>
        <v>0</v>
      </c>
      <c r="K125" s="170"/>
      <c r="L125" s="171"/>
      <c r="M125" s="172" t="s">
        <v>1</v>
      </c>
      <c r="N125" s="144"/>
      <c r="O125" s="145">
        <v>0</v>
      </c>
      <c r="P125" s="145">
        <f>O125*H125</f>
        <v>0</v>
      </c>
      <c r="Q125" s="145">
        <v>3.0000000000000001E-5</v>
      </c>
      <c r="R125" s="145">
        <f>Q125*H125</f>
        <v>2.6009999999999998E-4</v>
      </c>
      <c r="S125" s="145">
        <v>0</v>
      </c>
      <c r="T125" s="146">
        <f>S125*H125</f>
        <v>0</v>
      </c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R125" s="147" t="s">
        <v>237</v>
      </c>
      <c r="AT125" s="147" t="s">
        <v>268</v>
      </c>
      <c r="AU125" s="147" t="s">
        <v>120</v>
      </c>
      <c r="AY125" s="16" t="s">
        <v>113</v>
      </c>
      <c r="BE125" s="148">
        <f>IF(N125="základná",J125,0)</f>
        <v>0</v>
      </c>
      <c r="BF125" s="148">
        <f>IF(N125="znížená",J125,0)</f>
        <v>0</v>
      </c>
      <c r="BG125" s="148">
        <f>IF(N125="zákl. prenesená",J125,0)</f>
        <v>0</v>
      </c>
      <c r="BH125" s="148">
        <f>IF(N125="zníž. prenesená",J125,0)</f>
        <v>0</v>
      </c>
      <c r="BI125" s="148">
        <f>IF(N125="nulová",J125,0)</f>
        <v>0</v>
      </c>
      <c r="BJ125" s="16" t="s">
        <v>120</v>
      </c>
      <c r="BK125" s="227">
        <f>ROUND(I125*H125,3)</f>
        <v>0</v>
      </c>
      <c r="BL125" s="16" t="s">
        <v>186</v>
      </c>
      <c r="BM125" s="147" t="s">
        <v>525</v>
      </c>
    </row>
    <row r="126" spans="1:65" s="2" customFormat="1" ht="21.75" customHeight="1" x14ac:dyDescent="0.2">
      <c r="A126" s="202"/>
      <c r="B126" s="135"/>
      <c r="C126" s="164" t="s">
        <v>130</v>
      </c>
      <c r="D126" s="164" t="s">
        <v>268</v>
      </c>
      <c r="E126" s="165" t="s">
        <v>526</v>
      </c>
      <c r="F126" s="166" t="s">
        <v>527</v>
      </c>
      <c r="G126" s="167" t="s">
        <v>151</v>
      </c>
      <c r="H126" s="168">
        <v>5.61</v>
      </c>
      <c r="I126" s="168"/>
      <c r="J126" s="168">
        <f>ROUND(I126*H126,3)</f>
        <v>0</v>
      </c>
      <c r="K126" s="170"/>
      <c r="L126" s="171"/>
      <c r="M126" s="172" t="s">
        <v>1</v>
      </c>
      <c r="N126" s="144"/>
      <c r="O126" s="145">
        <v>0</v>
      </c>
      <c r="P126" s="145">
        <f>O126*H126</f>
        <v>0</v>
      </c>
      <c r="Q126" s="145">
        <v>4.0000000000000003E-5</v>
      </c>
      <c r="R126" s="145">
        <f>Q126*H126</f>
        <v>2.2440000000000003E-4</v>
      </c>
      <c r="S126" s="145">
        <v>0</v>
      </c>
      <c r="T126" s="146">
        <f>S126*H126</f>
        <v>0</v>
      </c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R126" s="147" t="s">
        <v>237</v>
      </c>
      <c r="AT126" s="147" t="s">
        <v>268</v>
      </c>
      <c r="AU126" s="147" t="s">
        <v>120</v>
      </c>
      <c r="AY126" s="16" t="s">
        <v>113</v>
      </c>
      <c r="BE126" s="148">
        <f>IF(N126="základná",J126,0)</f>
        <v>0</v>
      </c>
      <c r="BF126" s="148">
        <f>IF(N126="znížená",J126,0)</f>
        <v>0</v>
      </c>
      <c r="BG126" s="148">
        <f>IF(N126="zákl. prenesená",J126,0)</f>
        <v>0</v>
      </c>
      <c r="BH126" s="148">
        <f>IF(N126="zníž. prenesená",J126,0)</f>
        <v>0</v>
      </c>
      <c r="BI126" s="148">
        <f>IF(N126="nulová",J126,0)</f>
        <v>0</v>
      </c>
      <c r="BJ126" s="16" t="s">
        <v>120</v>
      </c>
      <c r="BK126" s="227">
        <f>ROUND(I126*H126,3)</f>
        <v>0</v>
      </c>
      <c r="BL126" s="16" t="s">
        <v>186</v>
      </c>
      <c r="BM126" s="147" t="s">
        <v>528</v>
      </c>
    </row>
    <row r="127" spans="1:65" s="12" customFormat="1" ht="22.9" customHeight="1" x14ac:dyDescent="0.2">
      <c r="B127" s="123"/>
      <c r="D127" s="124" t="s">
        <v>71</v>
      </c>
      <c r="E127" s="133" t="s">
        <v>529</v>
      </c>
      <c r="F127" s="133" t="s">
        <v>530</v>
      </c>
      <c r="J127" s="226">
        <f>BK127</f>
        <v>0</v>
      </c>
      <c r="L127" s="123"/>
      <c r="M127" s="127"/>
      <c r="N127" s="128"/>
      <c r="O127" s="128"/>
      <c r="P127" s="129">
        <f>SUM(P128:P142)</f>
        <v>29.202674999999996</v>
      </c>
      <c r="Q127" s="128"/>
      <c r="R127" s="129">
        <f>SUM(R128:R142)</f>
        <v>0.17532450000000005</v>
      </c>
      <c r="S127" s="128"/>
      <c r="T127" s="130">
        <f>SUM(T128:T142)</f>
        <v>0.187664</v>
      </c>
      <c r="AR127" s="124" t="s">
        <v>120</v>
      </c>
      <c r="AT127" s="131" t="s">
        <v>71</v>
      </c>
      <c r="AU127" s="131" t="s">
        <v>77</v>
      </c>
      <c r="AY127" s="124" t="s">
        <v>113</v>
      </c>
      <c r="BK127" s="225">
        <f>SUM(BK128:BK142)</f>
        <v>0</v>
      </c>
    </row>
    <row r="128" spans="1:65" s="2" customFormat="1" ht="21.75" customHeight="1" x14ac:dyDescent="0.2">
      <c r="A128" s="202"/>
      <c r="B128" s="135"/>
      <c r="C128" s="136" t="s">
        <v>119</v>
      </c>
      <c r="D128" s="136" t="s">
        <v>115</v>
      </c>
      <c r="E128" s="137" t="s">
        <v>531</v>
      </c>
      <c r="F128" s="138" t="s">
        <v>532</v>
      </c>
      <c r="G128" s="139" t="s">
        <v>151</v>
      </c>
      <c r="H128" s="140">
        <v>7.5</v>
      </c>
      <c r="I128" s="140"/>
      <c r="J128" s="140">
        <f t="shared" ref="J128:J142" si="0">ROUND(I128*H128,3)</f>
        <v>0</v>
      </c>
      <c r="K128" s="142"/>
      <c r="L128" s="29"/>
      <c r="M128" s="143" t="s">
        <v>1</v>
      </c>
      <c r="N128" s="144"/>
      <c r="O128" s="145">
        <v>0.39</v>
      </c>
      <c r="P128" s="145">
        <f t="shared" ref="P128:P142" si="1">O128*H128</f>
        <v>2.9250000000000003</v>
      </c>
      <c r="Q128" s="145">
        <v>0</v>
      </c>
      <c r="R128" s="145">
        <f t="shared" ref="R128:R142" si="2">Q128*H128</f>
        <v>0</v>
      </c>
      <c r="S128" s="145">
        <v>1.4919999999999999E-2</v>
      </c>
      <c r="T128" s="146">
        <f t="shared" ref="T128:T142" si="3">S128*H128</f>
        <v>0.1119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R128" s="147" t="s">
        <v>186</v>
      </c>
      <c r="AT128" s="147" t="s">
        <v>115</v>
      </c>
      <c r="AU128" s="147" t="s">
        <v>120</v>
      </c>
      <c r="AY128" s="16" t="s">
        <v>113</v>
      </c>
      <c r="BE128" s="148">
        <f t="shared" ref="BE128:BE142" si="4">IF(N128="základná",J128,0)</f>
        <v>0</v>
      </c>
      <c r="BF128" s="148">
        <f t="shared" ref="BF128:BF142" si="5">IF(N128="znížená",J128,0)</f>
        <v>0</v>
      </c>
      <c r="BG128" s="148">
        <f t="shared" ref="BG128:BG142" si="6">IF(N128="zákl. prenesená",J128,0)</f>
        <v>0</v>
      </c>
      <c r="BH128" s="148">
        <f t="shared" ref="BH128:BH142" si="7">IF(N128="zníž. prenesená",J128,0)</f>
        <v>0</v>
      </c>
      <c r="BI128" s="148">
        <f t="shared" ref="BI128:BI142" si="8">IF(N128="nulová",J128,0)</f>
        <v>0</v>
      </c>
      <c r="BJ128" s="16" t="s">
        <v>120</v>
      </c>
      <c r="BK128" s="227">
        <f t="shared" ref="BK128:BK142" si="9">ROUND(I128*H128,3)</f>
        <v>0</v>
      </c>
      <c r="BL128" s="16" t="s">
        <v>186</v>
      </c>
      <c r="BM128" s="147" t="s">
        <v>533</v>
      </c>
    </row>
    <row r="129" spans="1:65" s="2" customFormat="1" ht="21.75" customHeight="1" x14ac:dyDescent="0.2">
      <c r="A129" s="202"/>
      <c r="B129" s="135"/>
      <c r="C129" s="136" t="s">
        <v>138</v>
      </c>
      <c r="D129" s="136" t="s">
        <v>115</v>
      </c>
      <c r="E129" s="137" t="s">
        <v>534</v>
      </c>
      <c r="F129" s="138" t="s">
        <v>535</v>
      </c>
      <c r="G129" s="139" t="s">
        <v>146</v>
      </c>
      <c r="H129" s="140">
        <v>4</v>
      </c>
      <c r="I129" s="140"/>
      <c r="J129" s="140">
        <f t="shared" si="0"/>
        <v>0</v>
      </c>
      <c r="K129" s="142"/>
      <c r="L129" s="29"/>
      <c r="M129" s="143" t="s">
        <v>1</v>
      </c>
      <c r="N129" s="144"/>
      <c r="O129" s="145">
        <v>3.26092</v>
      </c>
      <c r="P129" s="145">
        <f t="shared" si="1"/>
        <v>13.04368</v>
      </c>
      <c r="Q129" s="145">
        <v>3.4430000000000002E-2</v>
      </c>
      <c r="R129" s="145">
        <f t="shared" si="2"/>
        <v>0.13772000000000001</v>
      </c>
      <c r="S129" s="145">
        <v>0</v>
      </c>
      <c r="T129" s="146">
        <f t="shared" si="3"/>
        <v>0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R129" s="147" t="s">
        <v>186</v>
      </c>
      <c r="AT129" s="147" t="s">
        <v>115</v>
      </c>
      <c r="AU129" s="147" t="s">
        <v>120</v>
      </c>
      <c r="AY129" s="16" t="s">
        <v>113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6" t="s">
        <v>120</v>
      </c>
      <c r="BK129" s="227">
        <f t="shared" si="9"/>
        <v>0</v>
      </c>
      <c r="BL129" s="16" t="s">
        <v>186</v>
      </c>
      <c r="BM129" s="147" t="s">
        <v>536</v>
      </c>
    </row>
    <row r="130" spans="1:65" s="2" customFormat="1" ht="21.75" customHeight="1" x14ac:dyDescent="0.2">
      <c r="A130" s="202"/>
      <c r="B130" s="135"/>
      <c r="C130" s="136" t="s">
        <v>143</v>
      </c>
      <c r="D130" s="136" t="s">
        <v>115</v>
      </c>
      <c r="E130" s="137" t="s">
        <v>537</v>
      </c>
      <c r="F130" s="138" t="s">
        <v>538</v>
      </c>
      <c r="G130" s="139" t="s">
        <v>151</v>
      </c>
      <c r="H130" s="140">
        <v>4.5</v>
      </c>
      <c r="I130" s="140"/>
      <c r="J130" s="140">
        <f t="shared" si="0"/>
        <v>0</v>
      </c>
      <c r="K130" s="142"/>
      <c r="L130" s="29"/>
      <c r="M130" s="143" t="s">
        <v>1</v>
      </c>
      <c r="N130" s="144"/>
      <c r="O130" s="145">
        <v>0.61699999999999999</v>
      </c>
      <c r="P130" s="145">
        <f t="shared" si="1"/>
        <v>2.7765</v>
      </c>
      <c r="Q130" s="145">
        <v>1.72E-3</v>
      </c>
      <c r="R130" s="145">
        <f t="shared" si="2"/>
        <v>7.7399999999999995E-3</v>
      </c>
      <c r="S130" s="145">
        <v>0</v>
      </c>
      <c r="T130" s="146">
        <f t="shared" si="3"/>
        <v>0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R130" s="147" t="s">
        <v>186</v>
      </c>
      <c r="AT130" s="147" t="s">
        <v>115</v>
      </c>
      <c r="AU130" s="147" t="s">
        <v>120</v>
      </c>
      <c r="AY130" s="16" t="s">
        <v>113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6" t="s">
        <v>120</v>
      </c>
      <c r="BK130" s="227">
        <f t="shared" si="9"/>
        <v>0</v>
      </c>
      <c r="BL130" s="16" t="s">
        <v>186</v>
      </c>
      <c r="BM130" s="147" t="s">
        <v>539</v>
      </c>
    </row>
    <row r="131" spans="1:65" s="2" customFormat="1" ht="21.75" customHeight="1" x14ac:dyDescent="0.2">
      <c r="A131" s="202"/>
      <c r="B131" s="135"/>
      <c r="C131" s="136" t="s">
        <v>148</v>
      </c>
      <c r="D131" s="136" t="s">
        <v>115</v>
      </c>
      <c r="E131" s="137" t="s">
        <v>540</v>
      </c>
      <c r="F131" s="138" t="s">
        <v>541</v>
      </c>
      <c r="G131" s="139" t="s">
        <v>151</v>
      </c>
      <c r="H131" s="140">
        <v>18</v>
      </c>
      <c r="I131" s="140"/>
      <c r="J131" s="140">
        <f t="shared" si="0"/>
        <v>0</v>
      </c>
      <c r="K131" s="142"/>
      <c r="L131" s="29"/>
      <c r="M131" s="143" t="s">
        <v>1</v>
      </c>
      <c r="N131" s="144"/>
      <c r="O131" s="145">
        <v>2.9000000000000001E-2</v>
      </c>
      <c r="P131" s="145">
        <f t="shared" si="1"/>
        <v>0.52200000000000002</v>
      </c>
      <c r="Q131" s="145">
        <v>0</v>
      </c>
      <c r="R131" s="145">
        <f t="shared" si="2"/>
        <v>0</v>
      </c>
      <c r="S131" s="145">
        <v>2.0999999999999999E-3</v>
      </c>
      <c r="T131" s="146">
        <f t="shared" si="3"/>
        <v>3.78E-2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R131" s="147" t="s">
        <v>186</v>
      </c>
      <c r="AT131" s="147" t="s">
        <v>115</v>
      </c>
      <c r="AU131" s="147" t="s">
        <v>120</v>
      </c>
      <c r="AY131" s="16" t="s">
        <v>113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6" t="s">
        <v>120</v>
      </c>
      <c r="BK131" s="227">
        <f t="shared" si="9"/>
        <v>0</v>
      </c>
      <c r="BL131" s="16" t="s">
        <v>186</v>
      </c>
      <c r="BM131" s="147" t="s">
        <v>542</v>
      </c>
    </row>
    <row r="132" spans="1:65" s="2" customFormat="1" ht="21.75" customHeight="1" x14ac:dyDescent="0.2">
      <c r="A132" s="202"/>
      <c r="B132" s="135"/>
      <c r="C132" s="136" t="s">
        <v>154</v>
      </c>
      <c r="D132" s="136" t="s">
        <v>115</v>
      </c>
      <c r="E132" s="137" t="s">
        <v>543</v>
      </c>
      <c r="F132" s="138" t="s">
        <v>544</v>
      </c>
      <c r="G132" s="139" t="s">
        <v>151</v>
      </c>
      <c r="H132" s="140">
        <v>4.3</v>
      </c>
      <c r="I132" s="140"/>
      <c r="J132" s="140">
        <f t="shared" si="0"/>
        <v>0</v>
      </c>
      <c r="K132" s="142"/>
      <c r="L132" s="29"/>
      <c r="M132" s="143" t="s">
        <v>1</v>
      </c>
      <c r="N132" s="144"/>
      <c r="O132" s="145">
        <v>7.8E-2</v>
      </c>
      <c r="P132" s="145">
        <f t="shared" si="1"/>
        <v>0.33539999999999998</v>
      </c>
      <c r="Q132" s="145">
        <v>0</v>
      </c>
      <c r="R132" s="145">
        <f t="shared" si="2"/>
        <v>0</v>
      </c>
      <c r="S132" s="145">
        <v>1.98E-3</v>
      </c>
      <c r="T132" s="146">
        <f t="shared" si="3"/>
        <v>8.513999999999999E-3</v>
      </c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R132" s="147" t="s">
        <v>186</v>
      </c>
      <c r="AT132" s="147" t="s">
        <v>115</v>
      </c>
      <c r="AU132" s="147" t="s">
        <v>120</v>
      </c>
      <c r="AY132" s="16" t="s">
        <v>113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6" t="s">
        <v>120</v>
      </c>
      <c r="BK132" s="227">
        <f t="shared" si="9"/>
        <v>0</v>
      </c>
      <c r="BL132" s="16" t="s">
        <v>186</v>
      </c>
      <c r="BM132" s="147" t="s">
        <v>545</v>
      </c>
    </row>
    <row r="133" spans="1:65" s="2" customFormat="1" ht="21.75" customHeight="1" x14ac:dyDescent="0.2">
      <c r="A133" s="202"/>
      <c r="B133" s="135"/>
      <c r="C133" s="136" t="s">
        <v>158</v>
      </c>
      <c r="D133" s="136" t="s">
        <v>115</v>
      </c>
      <c r="E133" s="137" t="s">
        <v>546</v>
      </c>
      <c r="F133" s="138" t="s">
        <v>547</v>
      </c>
      <c r="G133" s="139" t="s">
        <v>151</v>
      </c>
      <c r="H133" s="140">
        <v>13.45</v>
      </c>
      <c r="I133" s="140"/>
      <c r="J133" s="140">
        <f t="shared" si="0"/>
        <v>0</v>
      </c>
      <c r="K133" s="142"/>
      <c r="L133" s="29"/>
      <c r="M133" s="143" t="s">
        <v>1</v>
      </c>
      <c r="N133" s="144"/>
      <c r="O133" s="145">
        <v>0.29221999999999998</v>
      </c>
      <c r="P133" s="145">
        <f t="shared" si="1"/>
        <v>3.9303589999999997</v>
      </c>
      <c r="Q133" s="145">
        <v>1.5299999999999999E-3</v>
      </c>
      <c r="R133" s="145">
        <f t="shared" si="2"/>
        <v>2.0578499999999996E-2</v>
      </c>
      <c r="S133" s="145">
        <v>0</v>
      </c>
      <c r="T133" s="146">
        <f t="shared" si="3"/>
        <v>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R133" s="147" t="s">
        <v>186</v>
      </c>
      <c r="AT133" s="147" t="s">
        <v>115</v>
      </c>
      <c r="AU133" s="147" t="s">
        <v>120</v>
      </c>
      <c r="AY133" s="16" t="s">
        <v>113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6" t="s">
        <v>120</v>
      </c>
      <c r="BK133" s="227">
        <f t="shared" si="9"/>
        <v>0</v>
      </c>
      <c r="BL133" s="16" t="s">
        <v>186</v>
      </c>
      <c r="BM133" s="147" t="s">
        <v>548</v>
      </c>
    </row>
    <row r="134" spans="1:65" s="2" customFormat="1" ht="16.5" customHeight="1" x14ac:dyDescent="0.2">
      <c r="A134" s="202"/>
      <c r="B134" s="135"/>
      <c r="C134" s="136" t="s">
        <v>549</v>
      </c>
      <c r="D134" s="136" t="s">
        <v>115</v>
      </c>
      <c r="E134" s="137" t="s">
        <v>550</v>
      </c>
      <c r="F134" s="138" t="s">
        <v>551</v>
      </c>
      <c r="G134" s="139" t="s">
        <v>151</v>
      </c>
      <c r="H134" s="140">
        <v>5</v>
      </c>
      <c r="I134" s="140"/>
      <c r="J134" s="140">
        <f t="shared" si="0"/>
        <v>0</v>
      </c>
      <c r="K134" s="142"/>
      <c r="L134" s="29"/>
      <c r="M134" s="143" t="s">
        <v>1</v>
      </c>
      <c r="N134" s="144"/>
      <c r="O134" s="145">
        <v>0.30558000000000002</v>
      </c>
      <c r="P134" s="145">
        <f t="shared" si="1"/>
        <v>1.5279</v>
      </c>
      <c r="Q134" s="145">
        <v>4.8000000000000001E-4</v>
      </c>
      <c r="R134" s="145">
        <f t="shared" si="2"/>
        <v>2.4000000000000002E-3</v>
      </c>
      <c r="S134" s="145">
        <v>0</v>
      </c>
      <c r="T134" s="146">
        <f t="shared" si="3"/>
        <v>0</v>
      </c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R134" s="147" t="s">
        <v>186</v>
      </c>
      <c r="AT134" s="147" t="s">
        <v>115</v>
      </c>
      <c r="AU134" s="147" t="s">
        <v>120</v>
      </c>
      <c r="AY134" s="16" t="s">
        <v>113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6" t="s">
        <v>120</v>
      </c>
      <c r="BK134" s="227">
        <f t="shared" si="9"/>
        <v>0</v>
      </c>
      <c r="BL134" s="16" t="s">
        <v>186</v>
      </c>
      <c r="BM134" s="147" t="s">
        <v>552</v>
      </c>
    </row>
    <row r="135" spans="1:65" s="2" customFormat="1" ht="16.5" customHeight="1" x14ac:dyDescent="0.2">
      <c r="A135" s="202"/>
      <c r="B135" s="135"/>
      <c r="C135" s="136" t="s">
        <v>553</v>
      </c>
      <c r="D135" s="136" t="s">
        <v>115</v>
      </c>
      <c r="E135" s="137" t="s">
        <v>554</v>
      </c>
      <c r="F135" s="138" t="s">
        <v>555</v>
      </c>
      <c r="G135" s="139" t="s">
        <v>151</v>
      </c>
      <c r="H135" s="140">
        <v>2.4</v>
      </c>
      <c r="I135" s="140"/>
      <c r="J135" s="140">
        <f t="shared" si="0"/>
        <v>0</v>
      </c>
      <c r="K135" s="142"/>
      <c r="L135" s="29"/>
      <c r="M135" s="143" t="s">
        <v>1</v>
      </c>
      <c r="N135" s="144"/>
      <c r="O135" s="145">
        <v>0.34244000000000002</v>
      </c>
      <c r="P135" s="145">
        <f t="shared" si="1"/>
        <v>0.82185600000000003</v>
      </c>
      <c r="Q135" s="145">
        <v>6.4000000000000005E-4</v>
      </c>
      <c r="R135" s="145">
        <f t="shared" si="2"/>
        <v>1.536E-3</v>
      </c>
      <c r="S135" s="145">
        <v>0</v>
      </c>
      <c r="T135" s="146">
        <f t="shared" si="3"/>
        <v>0</v>
      </c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R135" s="147" t="s">
        <v>186</v>
      </c>
      <c r="AT135" s="147" t="s">
        <v>115</v>
      </c>
      <c r="AU135" s="147" t="s">
        <v>120</v>
      </c>
      <c r="AY135" s="16" t="s">
        <v>113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6" t="s">
        <v>120</v>
      </c>
      <c r="BK135" s="227">
        <f t="shared" si="9"/>
        <v>0</v>
      </c>
      <c r="BL135" s="16" t="s">
        <v>186</v>
      </c>
      <c r="BM135" s="147" t="s">
        <v>556</v>
      </c>
    </row>
    <row r="136" spans="1:65" s="2" customFormat="1" ht="16.5" customHeight="1" x14ac:dyDescent="0.2">
      <c r="A136" s="202"/>
      <c r="B136" s="135"/>
      <c r="C136" s="136" t="s">
        <v>557</v>
      </c>
      <c r="D136" s="136" t="s">
        <v>115</v>
      </c>
      <c r="E136" s="137" t="s">
        <v>558</v>
      </c>
      <c r="F136" s="138" t="s">
        <v>559</v>
      </c>
      <c r="G136" s="139" t="s">
        <v>146</v>
      </c>
      <c r="H136" s="140">
        <v>1</v>
      </c>
      <c r="I136" s="140"/>
      <c r="J136" s="140">
        <f t="shared" si="0"/>
        <v>0</v>
      </c>
      <c r="K136" s="142"/>
      <c r="L136" s="29"/>
      <c r="M136" s="143" t="s">
        <v>1</v>
      </c>
      <c r="N136" s="144"/>
      <c r="O136" s="145">
        <v>0.39100000000000001</v>
      </c>
      <c r="P136" s="145">
        <f t="shared" si="1"/>
        <v>0.39100000000000001</v>
      </c>
      <c r="Q136" s="145">
        <v>0</v>
      </c>
      <c r="R136" s="145">
        <f t="shared" si="2"/>
        <v>0</v>
      </c>
      <c r="S136" s="145">
        <v>1.7049999999999999E-2</v>
      </c>
      <c r="T136" s="146">
        <f t="shared" si="3"/>
        <v>1.7049999999999999E-2</v>
      </c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R136" s="147" t="s">
        <v>186</v>
      </c>
      <c r="AT136" s="147" t="s">
        <v>115</v>
      </c>
      <c r="AU136" s="147" t="s">
        <v>120</v>
      </c>
      <c r="AY136" s="16" t="s">
        <v>113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6" t="s">
        <v>120</v>
      </c>
      <c r="BK136" s="227">
        <f t="shared" si="9"/>
        <v>0</v>
      </c>
      <c r="BL136" s="16" t="s">
        <v>186</v>
      </c>
      <c r="BM136" s="147" t="s">
        <v>560</v>
      </c>
    </row>
    <row r="137" spans="1:65" s="2" customFormat="1" ht="16.5" customHeight="1" x14ac:dyDescent="0.2">
      <c r="A137" s="202"/>
      <c r="B137" s="135"/>
      <c r="C137" s="136" t="s">
        <v>561</v>
      </c>
      <c r="D137" s="136" t="s">
        <v>115</v>
      </c>
      <c r="E137" s="137" t="s">
        <v>562</v>
      </c>
      <c r="F137" s="138" t="s">
        <v>563</v>
      </c>
      <c r="G137" s="139" t="s">
        <v>146</v>
      </c>
      <c r="H137" s="140">
        <v>4</v>
      </c>
      <c r="I137" s="140"/>
      <c r="J137" s="140">
        <f t="shared" si="0"/>
        <v>0</v>
      </c>
      <c r="K137" s="142"/>
      <c r="L137" s="29"/>
      <c r="M137" s="143" t="s">
        <v>1</v>
      </c>
      <c r="N137" s="144"/>
      <c r="O137" s="145">
        <v>0.29299999999999998</v>
      </c>
      <c r="P137" s="145">
        <f t="shared" si="1"/>
        <v>1.1719999999999999</v>
      </c>
      <c r="Q137" s="145">
        <v>0</v>
      </c>
      <c r="R137" s="145">
        <f t="shared" si="2"/>
        <v>0</v>
      </c>
      <c r="S137" s="145">
        <v>3.0999999999999999E-3</v>
      </c>
      <c r="T137" s="146">
        <f t="shared" si="3"/>
        <v>1.24E-2</v>
      </c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R137" s="147" t="s">
        <v>186</v>
      </c>
      <c r="AT137" s="147" t="s">
        <v>115</v>
      </c>
      <c r="AU137" s="147" t="s">
        <v>120</v>
      </c>
      <c r="AY137" s="16" t="s">
        <v>113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6" t="s">
        <v>120</v>
      </c>
      <c r="BK137" s="227">
        <f t="shared" si="9"/>
        <v>0</v>
      </c>
      <c r="BL137" s="16" t="s">
        <v>186</v>
      </c>
      <c r="BM137" s="147" t="s">
        <v>564</v>
      </c>
    </row>
    <row r="138" spans="1:65" s="2" customFormat="1" ht="21.75" customHeight="1" x14ac:dyDescent="0.2">
      <c r="A138" s="202"/>
      <c r="B138" s="135"/>
      <c r="C138" s="136" t="s">
        <v>565</v>
      </c>
      <c r="D138" s="136" t="s">
        <v>115</v>
      </c>
      <c r="E138" s="137" t="s">
        <v>566</v>
      </c>
      <c r="F138" s="138" t="s">
        <v>567</v>
      </c>
      <c r="G138" s="139" t="s">
        <v>146</v>
      </c>
      <c r="H138" s="140">
        <v>1</v>
      </c>
      <c r="I138" s="140"/>
      <c r="J138" s="140">
        <f t="shared" si="0"/>
        <v>0</v>
      </c>
      <c r="K138" s="142"/>
      <c r="L138" s="29"/>
      <c r="M138" s="143" t="s">
        <v>1</v>
      </c>
      <c r="N138" s="144"/>
      <c r="O138" s="145">
        <v>0.39734999999999998</v>
      </c>
      <c r="P138" s="145">
        <f t="shared" si="1"/>
        <v>0.39734999999999998</v>
      </c>
      <c r="Q138" s="145">
        <v>4.4999999999999999E-4</v>
      </c>
      <c r="R138" s="145">
        <f t="shared" si="2"/>
        <v>4.4999999999999999E-4</v>
      </c>
      <c r="S138" s="145">
        <v>0</v>
      </c>
      <c r="T138" s="146">
        <f t="shared" si="3"/>
        <v>0</v>
      </c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R138" s="147" t="s">
        <v>186</v>
      </c>
      <c r="AT138" s="147" t="s">
        <v>115</v>
      </c>
      <c r="AU138" s="147" t="s">
        <v>120</v>
      </c>
      <c r="AY138" s="16" t="s">
        <v>113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6" t="s">
        <v>120</v>
      </c>
      <c r="BK138" s="227">
        <f t="shared" si="9"/>
        <v>0</v>
      </c>
      <c r="BL138" s="16" t="s">
        <v>186</v>
      </c>
      <c r="BM138" s="147" t="s">
        <v>568</v>
      </c>
    </row>
    <row r="139" spans="1:65" s="2" customFormat="1" ht="33" customHeight="1" x14ac:dyDescent="0.2">
      <c r="A139" s="202"/>
      <c r="B139" s="135"/>
      <c r="C139" s="164" t="s">
        <v>569</v>
      </c>
      <c r="D139" s="164" t="s">
        <v>268</v>
      </c>
      <c r="E139" s="165" t="s">
        <v>570</v>
      </c>
      <c r="F139" s="166" t="s">
        <v>571</v>
      </c>
      <c r="G139" s="167" t="s">
        <v>146</v>
      </c>
      <c r="H139" s="168">
        <v>1</v>
      </c>
      <c r="I139" s="168"/>
      <c r="J139" s="168">
        <f t="shared" si="0"/>
        <v>0</v>
      </c>
      <c r="K139" s="170"/>
      <c r="L139" s="171"/>
      <c r="M139" s="172" t="s">
        <v>1</v>
      </c>
      <c r="N139" s="144"/>
      <c r="O139" s="145">
        <v>0</v>
      </c>
      <c r="P139" s="145">
        <f t="shared" si="1"/>
        <v>0</v>
      </c>
      <c r="Q139" s="145">
        <v>3.62E-3</v>
      </c>
      <c r="R139" s="145">
        <f t="shared" si="2"/>
        <v>3.62E-3</v>
      </c>
      <c r="S139" s="145">
        <v>0</v>
      </c>
      <c r="T139" s="146">
        <f t="shared" si="3"/>
        <v>0</v>
      </c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R139" s="147" t="s">
        <v>237</v>
      </c>
      <c r="AT139" s="147" t="s">
        <v>268</v>
      </c>
      <c r="AU139" s="147" t="s">
        <v>120</v>
      </c>
      <c r="AY139" s="16" t="s">
        <v>113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6" t="s">
        <v>120</v>
      </c>
      <c r="BK139" s="227">
        <f t="shared" si="9"/>
        <v>0</v>
      </c>
      <c r="BL139" s="16" t="s">
        <v>186</v>
      </c>
      <c r="BM139" s="147" t="s">
        <v>572</v>
      </c>
    </row>
    <row r="140" spans="1:65" s="2" customFormat="1" ht="16.5" customHeight="1" x14ac:dyDescent="0.2">
      <c r="A140" s="202"/>
      <c r="B140" s="135"/>
      <c r="C140" s="136" t="s">
        <v>186</v>
      </c>
      <c r="D140" s="136" t="s">
        <v>115</v>
      </c>
      <c r="E140" s="137" t="s">
        <v>573</v>
      </c>
      <c r="F140" s="138" t="s">
        <v>574</v>
      </c>
      <c r="G140" s="139" t="s">
        <v>146</v>
      </c>
      <c r="H140" s="140">
        <v>2</v>
      </c>
      <c r="I140" s="140"/>
      <c r="J140" s="140">
        <f t="shared" si="0"/>
        <v>0</v>
      </c>
      <c r="K140" s="142"/>
      <c r="L140" s="29"/>
      <c r="M140" s="143" t="s">
        <v>1</v>
      </c>
      <c r="N140" s="144"/>
      <c r="O140" s="145">
        <v>0.11844</v>
      </c>
      <c r="P140" s="145">
        <f t="shared" si="1"/>
        <v>0.23688000000000001</v>
      </c>
      <c r="Q140" s="145">
        <v>6.4000000000000005E-4</v>
      </c>
      <c r="R140" s="145">
        <f t="shared" si="2"/>
        <v>1.2800000000000001E-3</v>
      </c>
      <c r="S140" s="145">
        <v>0</v>
      </c>
      <c r="T140" s="146">
        <f t="shared" si="3"/>
        <v>0</v>
      </c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R140" s="147" t="s">
        <v>186</v>
      </c>
      <c r="AT140" s="147" t="s">
        <v>115</v>
      </c>
      <c r="AU140" s="147" t="s">
        <v>120</v>
      </c>
      <c r="AY140" s="16" t="s">
        <v>113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6" t="s">
        <v>120</v>
      </c>
      <c r="BK140" s="227">
        <f t="shared" si="9"/>
        <v>0</v>
      </c>
      <c r="BL140" s="16" t="s">
        <v>186</v>
      </c>
      <c r="BM140" s="147" t="s">
        <v>575</v>
      </c>
    </row>
    <row r="141" spans="1:65" s="2" customFormat="1" ht="21.75" customHeight="1" x14ac:dyDescent="0.2">
      <c r="A141" s="202"/>
      <c r="B141" s="135"/>
      <c r="C141" s="136" t="s">
        <v>576</v>
      </c>
      <c r="D141" s="136" t="s">
        <v>115</v>
      </c>
      <c r="E141" s="137" t="s">
        <v>577</v>
      </c>
      <c r="F141" s="138" t="s">
        <v>578</v>
      </c>
      <c r="G141" s="139" t="s">
        <v>151</v>
      </c>
      <c r="H141" s="140">
        <v>24.95</v>
      </c>
      <c r="I141" s="140"/>
      <c r="J141" s="140">
        <f t="shared" si="0"/>
        <v>0</v>
      </c>
      <c r="K141" s="142"/>
      <c r="L141" s="29"/>
      <c r="M141" s="143" t="s">
        <v>1</v>
      </c>
      <c r="N141" s="144"/>
      <c r="O141" s="145">
        <v>4.4999999999999998E-2</v>
      </c>
      <c r="P141" s="145">
        <f t="shared" si="1"/>
        <v>1.1227499999999999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R141" s="147" t="s">
        <v>186</v>
      </c>
      <c r="AT141" s="147" t="s">
        <v>115</v>
      </c>
      <c r="AU141" s="147" t="s">
        <v>120</v>
      </c>
      <c r="AY141" s="16" t="s">
        <v>113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6" t="s">
        <v>120</v>
      </c>
      <c r="BK141" s="227">
        <f t="shared" si="9"/>
        <v>0</v>
      </c>
      <c r="BL141" s="16" t="s">
        <v>186</v>
      </c>
      <c r="BM141" s="147" t="s">
        <v>579</v>
      </c>
    </row>
    <row r="142" spans="1:65" s="2" customFormat="1" ht="21.75" customHeight="1" x14ac:dyDescent="0.2">
      <c r="A142" s="202"/>
      <c r="B142" s="135"/>
      <c r="C142" s="136" t="s">
        <v>580</v>
      </c>
      <c r="D142" s="136" t="s">
        <v>115</v>
      </c>
      <c r="E142" s="137" t="s">
        <v>581</v>
      </c>
      <c r="F142" s="138" t="s">
        <v>582</v>
      </c>
      <c r="G142" s="139" t="s">
        <v>583</v>
      </c>
      <c r="H142" s="140">
        <v>11.343</v>
      </c>
      <c r="I142" s="140"/>
      <c r="J142" s="140">
        <f t="shared" si="0"/>
        <v>0</v>
      </c>
      <c r="K142" s="142"/>
      <c r="L142" s="29"/>
      <c r="M142" s="143" t="s">
        <v>1</v>
      </c>
      <c r="N142" s="144"/>
      <c r="O142" s="145">
        <v>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R142" s="147" t="s">
        <v>186</v>
      </c>
      <c r="AT142" s="147" t="s">
        <v>115</v>
      </c>
      <c r="AU142" s="147" t="s">
        <v>120</v>
      </c>
      <c r="AY142" s="16" t="s">
        <v>113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6" t="s">
        <v>120</v>
      </c>
      <c r="BK142" s="227">
        <f t="shared" si="9"/>
        <v>0</v>
      </c>
      <c r="BL142" s="16" t="s">
        <v>186</v>
      </c>
      <c r="BM142" s="147" t="s">
        <v>584</v>
      </c>
    </row>
    <row r="143" spans="1:65" s="12" customFormat="1" ht="22.9" customHeight="1" x14ac:dyDescent="0.2">
      <c r="B143" s="123"/>
      <c r="D143" s="124" t="s">
        <v>71</v>
      </c>
      <c r="E143" s="133" t="s">
        <v>585</v>
      </c>
      <c r="F143" s="133" t="s">
        <v>586</v>
      </c>
      <c r="J143" s="226">
        <f>BK143</f>
        <v>0</v>
      </c>
      <c r="L143" s="123"/>
      <c r="M143" s="127"/>
      <c r="N143" s="128"/>
      <c r="O143" s="128"/>
      <c r="P143" s="129">
        <f>SUM(P144:P164)</f>
        <v>23.037809999999997</v>
      </c>
      <c r="Q143" s="128"/>
      <c r="R143" s="129">
        <f>SUM(R144:R164)</f>
        <v>2.0435000000000002E-2</v>
      </c>
      <c r="S143" s="128"/>
      <c r="T143" s="130">
        <f>SUM(T144:T164)</f>
        <v>0.17892</v>
      </c>
      <c r="AR143" s="124" t="s">
        <v>120</v>
      </c>
      <c r="AT143" s="131" t="s">
        <v>71</v>
      </c>
      <c r="AU143" s="131" t="s">
        <v>77</v>
      </c>
      <c r="AY143" s="124" t="s">
        <v>113</v>
      </c>
      <c r="BK143" s="225">
        <f>SUM(BK144:BK164)</f>
        <v>0</v>
      </c>
    </row>
    <row r="144" spans="1:65" s="2" customFormat="1" ht="21.75" customHeight="1" x14ac:dyDescent="0.2">
      <c r="A144" s="202"/>
      <c r="B144" s="135"/>
      <c r="C144" s="136" t="s">
        <v>587</v>
      </c>
      <c r="D144" s="136" t="s">
        <v>115</v>
      </c>
      <c r="E144" s="137" t="s">
        <v>588</v>
      </c>
      <c r="F144" s="138" t="s">
        <v>589</v>
      </c>
      <c r="G144" s="139" t="s">
        <v>151</v>
      </c>
      <c r="H144" s="140">
        <v>36</v>
      </c>
      <c r="I144" s="140"/>
      <c r="J144" s="140">
        <f t="shared" ref="J144:J164" si="10">ROUND(I144*H144,3)</f>
        <v>0</v>
      </c>
      <c r="K144" s="142"/>
      <c r="L144" s="29"/>
      <c r="M144" s="143" t="s">
        <v>1</v>
      </c>
      <c r="N144" s="144"/>
      <c r="O144" s="145">
        <v>0.193</v>
      </c>
      <c r="P144" s="145">
        <f t="shared" ref="P144:P164" si="11">O144*H144</f>
        <v>6.9480000000000004</v>
      </c>
      <c r="Q144" s="145">
        <v>0</v>
      </c>
      <c r="R144" s="145">
        <f t="shared" ref="R144:R164" si="12">Q144*H144</f>
        <v>0</v>
      </c>
      <c r="S144" s="145">
        <v>4.9699999999999996E-3</v>
      </c>
      <c r="T144" s="146">
        <f t="shared" ref="T144:T164" si="13">S144*H144</f>
        <v>0.17892</v>
      </c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R144" s="147" t="s">
        <v>186</v>
      </c>
      <c r="AT144" s="147" t="s">
        <v>115</v>
      </c>
      <c r="AU144" s="147" t="s">
        <v>120</v>
      </c>
      <c r="AY144" s="16" t="s">
        <v>113</v>
      </c>
      <c r="BE144" s="148">
        <f t="shared" ref="BE144:BE164" si="14">IF(N144="základná",J144,0)</f>
        <v>0</v>
      </c>
      <c r="BF144" s="148">
        <f t="shared" ref="BF144:BF164" si="15">IF(N144="znížená",J144,0)</f>
        <v>0</v>
      </c>
      <c r="BG144" s="148">
        <f t="shared" ref="BG144:BG164" si="16">IF(N144="zákl. prenesená",J144,0)</f>
        <v>0</v>
      </c>
      <c r="BH144" s="148">
        <f t="shared" ref="BH144:BH164" si="17">IF(N144="zníž. prenesená",J144,0)</f>
        <v>0</v>
      </c>
      <c r="BI144" s="148">
        <f t="shared" ref="BI144:BI164" si="18">IF(N144="nulová",J144,0)</f>
        <v>0</v>
      </c>
      <c r="BJ144" s="16" t="s">
        <v>120</v>
      </c>
      <c r="BK144" s="227">
        <f t="shared" ref="BK144:BK164" si="19">ROUND(I144*H144,3)</f>
        <v>0</v>
      </c>
      <c r="BL144" s="16" t="s">
        <v>186</v>
      </c>
      <c r="BM144" s="147" t="s">
        <v>590</v>
      </c>
    </row>
    <row r="145" spans="1:65" s="2" customFormat="1" ht="21.75" customHeight="1" x14ac:dyDescent="0.2">
      <c r="A145" s="202"/>
      <c r="B145" s="135"/>
      <c r="C145" s="136" t="s">
        <v>7</v>
      </c>
      <c r="D145" s="136" t="s">
        <v>115</v>
      </c>
      <c r="E145" s="137" t="s">
        <v>591</v>
      </c>
      <c r="F145" s="138" t="s">
        <v>592</v>
      </c>
      <c r="G145" s="139" t="s">
        <v>146</v>
      </c>
      <c r="H145" s="140">
        <v>4</v>
      </c>
      <c r="I145" s="140"/>
      <c r="J145" s="140">
        <f t="shared" si="10"/>
        <v>0</v>
      </c>
      <c r="K145" s="142"/>
      <c r="L145" s="29"/>
      <c r="M145" s="143" t="s">
        <v>1</v>
      </c>
      <c r="N145" s="144"/>
      <c r="O145" s="145">
        <v>0.75383</v>
      </c>
      <c r="P145" s="145">
        <f t="shared" si="11"/>
        <v>3.01532</v>
      </c>
      <c r="Q145" s="145">
        <v>3.32E-3</v>
      </c>
      <c r="R145" s="145">
        <f t="shared" si="12"/>
        <v>1.328E-2</v>
      </c>
      <c r="S145" s="145">
        <v>0</v>
      </c>
      <c r="T145" s="146">
        <f t="shared" si="13"/>
        <v>0</v>
      </c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R145" s="147" t="s">
        <v>186</v>
      </c>
      <c r="AT145" s="147" t="s">
        <v>115</v>
      </c>
      <c r="AU145" s="147" t="s">
        <v>120</v>
      </c>
      <c r="AY145" s="16" t="s">
        <v>113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6" t="s">
        <v>120</v>
      </c>
      <c r="BK145" s="227">
        <f t="shared" si="19"/>
        <v>0</v>
      </c>
      <c r="BL145" s="16" t="s">
        <v>186</v>
      </c>
      <c r="BM145" s="147" t="s">
        <v>593</v>
      </c>
    </row>
    <row r="146" spans="1:65" s="2" customFormat="1" ht="21.75" customHeight="1" x14ac:dyDescent="0.2">
      <c r="A146" s="202"/>
      <c r="B146" s="135"/>
      <c r="C146" s="136" t="s">
        <v>594</v>
      </c>
      <c r="D146" s="136" t="s">
        <v>115</v>
      </c>
      <c r="E146" s="137" t="s">
        <v>595</v>
      </c>
      <c r="F146" s="138" t="s">
        <v>596</v>
      </c>
      <c r="G146" s="139" t="s">
        <v>151</v>
      </c>
      <c r="H146" s="140">
        <v>8.5</v>
      </c>
      <c r="I146" s="140"/>
      <c r="J146" s="140">
        <f t="shared" si="10"/>
        <v>0</v>
      </c>
      <c r="K146" s="142"/>
      <c r="L146" s="29"/>
      <c r="M146" s="143" t="s">
        <v>1</v>
      </c>
      <c r="N146" s="144"/>
      <c r="O146" s="145">
        <v>0.25004999999999999</v>
      </c>
      <c r="P146" s="145">
        <f t="shared" si="11"/>
        <v>2.1254249999999999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R146" s="147" t="s">
        <v>186</v>
      </c>
      <c r="AT146" s="147" t="s">
        <v>115</v>
      </c>
      <c r="AU146" s="147" t="s">
        <v>120</v>
      </c>
      <c r="AY146" s="16" t="s">
        <v>113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6" t="s">
        <v>120</v>
      </c>
      <c r="BK146" s="227">
        <f t="shared" si="19"/>
        <v>0</v>
      </c>
      <c r="BL146" s="16" t="s">
        <v>186</v>
      </c>
      <c r="BM146" s="147" t="s">
        <v>597</v>
      </c>
    </row>
    <row r="147" spans="1:65" s="2" customFormat="1" ht="21.75" customHeight="1" x14ac:dyDescent="0.2">
      <c r="A147" s="202"/>
      <c r="B147" s="135"/>
      <c r="C147" s="164" t="s">
        <v>598</v>
      </c>
      <c r="D147" s="164" t="s">
        <v>268</v>
      </c>
      <c r="E147" s="165" t="s">
        <v>599</v>
      </c>
      <c r="F147" s="166" t="s">
        <v>600</v>
      </c>
      <c r="G147" s="167" t="s">
        <v>151</v>
      </c>
      <c r="H147" s="168">
        <v>8.5</v>
      </c>
      <c r="I147" s="168"/>
      <c r="J147" s="168">
        <f t="shared" si="10"/>
        <v>0</v>
      </c>
      <c r="K147" s="170"/>
      <c r="L147" s="171"/>
      <c r="M147" s="172" t="s">
        <v>1</v>
      </c>
      <c r="N147" s="144"/>
      <c r="O147" s="145">
        <v>0</v>
      </c>
      <c r="P147" s="145">
        <f t="shared" si="11"/>
        <v>0</v>
      </c>
      <c r="Q147" s="145">
        <v>1E-4</v>
      </c>
      <c r="R147" s="145">
        <f t="shared" si="12"/>
        <v>8.5000000000000006E-4</v>
      </c>
      <c r="S147" s="145">
        <v>0</v>
      </c>
      <c r="T147" s="146">
        <f t="shared" si="13"/>
        <v>0</v>
      </c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R147" s="147" t="s">
        <v>237</v>
      </c>
      <c r="AT147" s="147" t="s">
        <v>268</v>
      </c>
      <c r="AU147" s="147" t="s">
        <v>120</v>
      </c>
      <c r="AY147" s="16" t="s">
        <v>113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6" t="s">
        <v>120</v>
      </c>
      <c r="BK147" s="227">
        <f t="shared" si="19"/>
        <v>0</v>
      </c>
      <c r="BL147" s="16" t="s">
        <v>186</v>
      </c>
      <c r="BM147" s="147" t="s">
        <v>601</v>
      </c>
    </row>
    <row r="148" spans="1:65" s="2" customFormat="1" ht="21.75" customHeight="1" x14ac:dyDescent="0.2">
      <c r="A148" s="202"/>
      <c r="B148" s="135"/>
      <c r="C148" s="136" t="s">
        <v>602</v>
      </c>
      <c r="D148" s="136" t="s">
        <v>115</v>
      </c>
      <c r="E148" s="137" t="s">
        <v>603</v>
      </c>
      <c r="F148" s="138" t="s">
        <v>604</v>
      </c>
      <c r="G148" s="139" t="s">
        <v>151</v>
      </c>
      <c r="H148" s="140">
        <v>5.5</v>
      </c>
      <c r="I148" s="140"/>
      <c r="J148" s="140">
        <f t="shared" si="10"/>
        <v>0</v>
      </c>
      <c r="K148" s="142"/>
      <c r="L148" s="29"/>
      <c r="M148" s="143" t="s">
        <v>1</v>
      </c>
      <c r="N148" s="144"/>
      <c r="O148" s="145">
        <v>0.28011000000000003</v>
      </c>
      <c r="P148" s="145">
        <f t="shared" si="11"/>
        <v>1.5406050000000002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R148" s="147" t="s">
        <v>186</v>
      </c>
      <c r="AT148" s="147" t="s">
        <v>115</v>
      </c>
      <c r="AU148" s="147" t="s">
        <v>120</v>
      </c>
      <c r="AY148" s="16" t="s">
        <v>113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6" t="s">
        <v>120</v>
      </c>
      <c r="BK148" s="227">
        <f t="shared" si="19"/>
        <v>0</v>
      </c>
      <c r="BL148" s="16" t="s">
        <v>186</v>
      </c>
      <c r="BM148" s="147" t="s">
        <v>605</v>
      </c>
    </row>
    <row r="149" spans="1:65" s="2" customFormat="1" ht="21.75" customHeight="1" x14ac:dyDescent="0.2">
      <c r="A149" s="202"/>
      <c r="B149" s="135"/>
      <c r="C149" s="164" t="s">
        <v>606</v>
      </c>
      <c r="D149" s="164" t="s">
        <v>268</v>
      </c>
      <c r="E149" s="165" t="s">
        <v>607</v>
      </c>
      <c r="F149" s="166" t="s">
        <v>608</v>
      </c>
      <c r="G149" s="167" t="s">
        <v>151</v>
      </c>
      <c r="H149" s="168">
        <v>5.5</v>
      </c>
      <c r="I149" s="168"/>
      <c r="J149" s="168">
        <f t="shared" si="10"/>
        <v>0</v>
      </c>
      <c r="K149" s="170"/>
      <c r="L149" s="171"/>
      <c r="M149" s="172" t="s">
        <v>1</v>
      </c>
      <c r="N149" s="144"/>
      <c r="O149" s="145">
        <v>0</v>
      </c>
      <c r="P149" s="145">
        <f t="shared" si="11"/>
        <v>0</v>
      </c>
      <c r="Q149" s="145">
        <v>1.4999999999999999E-4</v>
      </c>
      <c r="R149" s="145">
        <f t="shared" si="12"/>
        <v>8.2499999999999989E-4</v>
      </c>
      <c r="S149" s="145">
        <v>0</v>
      </c>
      <c r="T149" s="146">
        <f t="shared" si="13"/>
        <v>0</v>
      </c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R149" s="147" t="s">
        <v>237</v>
      </c>
      <c r="AT149" s="147" t="s">
        <v>268</v>
      </c>
      <c r="AU149" s="147" t="s">
        <v>120</v>
      </c>
      <c r="AY149" s="16" t="s">
        <v>113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6" t="s">
        <v>120</v>
      </c>
      <c r="BK149" s="227">
        <f t="shared" si="19"/>
        <v>0</v>
      </c>
      <c r="BL149" s="16" t="s">
        <v>186</v>
      </c>
      <c r="BM149" s="147" t="s">
        <v>609</v>
      </c>
    </row>
    <row r="150" spans="1:65" s="2" customFormat="1" ht="16.5" customHeight="1" x14ac:dyDescent="0.2">
      <c r="A150" s="202"/>
      <c r="B150" s="135"/>
      <c r="C150" s="136" t="s">
        <v>610</v>
      </c>
      <c r="D150" s="136" t="s">
        <v>115</v>
      </c>
      <c r="E150" s="137" t="s">
        <v>611</v>
      </c>
      <c r="F150" s="138" t="s">
        <v>612</v>
      </c>
      <c r="G150" s="139" t="s">
        <v>146</v>
      </c>
      <c r="H150" s="140">
        <v>12</v>
      </c>
      <c r="I150" s="140"/>
      <c r="J150" s="140">
        <f t="shared" si="10"/>
        <v>0</v>
      </c>
      <c r="K150" s="142"/>
      <c r="L150" s="29"/>
      <c r="M150" s="143" t="s">
        <v>1</v>
      </c>
      <c r="N150" s="144"/>
      <c r="O150" s="145">
        <v>0.15</v>
      </c>
      <c r="P150" s="145">
        <f t="shared" si="11"/>
        <v>1.7999999999999998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R150" s="147" t="s">
        <v>186</v>
      </c>
      <c r="AT150" s="147" t="s">
        <v>115</v>
      </c>
      <c r="AU150" s="147" t="s">
        <v>120</v>
      </c>
      <c r="AY150" s="16" t="s">
        <v>113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6" t="s">
        <v>120</v>
      </c>
      <c r="BK150" s="227">
        <f t="shared" si="19"/>
        <v>0</v>
      </c>
      <c r="BL150" s="16" t="s">
        <v>186</v>
      </c>
      <c r="BM150" s="147" t="s">
        <v>613</v>
      </c>
    </row>
    <row r="151" spans="1:65" s="2" customFormat="1" ht="21.75" customHeight="1" x14ac:dyDescent="0.2">
      <c r="A151" s="202"/>
      <c r="B151" s="135"/>
      <c r="C151" s="164" t="s">
        <v>614</v>
      </c>
      <c r="D151" s="164" t="s">
        <v>268</v>
      </c>
      <c r="E151" s="165" t="s">
        <v>615</v>
      </c>
      <c r="F151" s="166" t="s">
        <v>616</v>
      </c>
      <c r="G151" s="167" t="s">
        <v>146</v>
      </c>
      <c r="H151" s="168">
        <v>12</v>
      </c>
      <c r="I151" s="168"/>
      <c r="J151" s="168">
        <f t="shared" si="10"/>
        <v>0</v>
      </c>
      <c r="K151" s="170"/>
      <c r="L151" s="171"/>
      <c r="M151" s="172" t="s">
        <v>1</v>
      </c>
      <c r="N151" s="144"/>
      <c r="O151" s="145">
        <v>0</v>
      </c>
      <c r="P151" s="145">
        <f t="shared" si="11"/>
        <v>0</v>
      </c>
      <c r="Q151" s="145">
        <v>1.0000000000000001E-5</v>
      </c>
      <c r="R151" s="145">
        <f t="shared" si="12"/>
        <v>1.2000000000000002E-4</v>
      </c>
      <c r="S151" s="145">
        <v>0</v>
      </c>
      <c r="T151" s="146">
        <f t="shared" si="13"/>
        <v>0</v>
      </c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R151" s="147" t="s">
        <v>237</v>
      </c>
      <c r="AT151" s="147" t="s">
        <v>268</v>
      </c>
      <c r="AU151" s="147" t="s">
        <v>120</v>
      </c>
      <c r="AY151" s="16" t="s">
        <v>113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6" t="s">
        <v>120</v>
      </c>
      <c r="BK151" s="227">
        <f t="shared" si="19"/>
        <v>0</v>
      </c>
      <c r="BL151" s="16" t="s">
        <v>186</v>
      </c>
      <c r="BM151" s="147" t="s">
        <v>617</v>
      </c>
    </row>
    <row r="152" spans="1:65" s="2" customFormat="1" ht="16.5" customHeight="1" x14ac:dyDescent="0.2">
      <c r="A152" s="202"/>
      <c r="B152" s="135"/>
      <c r="C152" s="136" t="s">
        <v>618</v>
      </c>
      <c r="D152" s="136" t="s">
        <v>115</v>
      </c>
      <c r="E152" s="137" t="s">
        <v>619</v>
      </c>
      <c r="F152" s="138" t="s">
        <v>620</v>
      </c>
      <c r="G152" s="139" t="s">
        <v>146</v>
      </c>
      <c r="H152" s="140">
        <v>3</v>
      </c>
      <c r="I152" s="140"/>
      <c r="J152" s="140">
        <f t="shared" si="10"/>
        <v>0</v>
      </c>
      <c r="K152" s="142"/>
      <c r="L152" s="29"/>
      <c r="M152" s="143" t="s">
        <v>1</v>
      </c>
      <c r="N152" s="144"/>
      <c r="O152" s="145">
        <v>0.17</v>
      </c>
      <c r="P152" s="145">
        <f t="shared" si="11"/>
        <v>0.51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R152" s="147" t="s">
        <v>186</v>
      </c>
      <c r="AT152" s="147" t="s">
        <v>115</v>
      </c>
      <c r="AU152" s="147" t="s">
        <v>120</v>
      </c>
      <c r="AY152" s="16" t="s">
        <v>113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6" t="s">
        <v>120</v>
      </c>
      <c r="BK152" s="227">
        <f t="shared" si="19"/>
        <v>0</v>
      </c>
      <c r="BL152" s="16" t="s">
        <v>186</v>
      </c>
      <c r="BM152" s="147" t="s">
        <v>621</v>
      </c>
    </row>
    <row r="153" spans="1:65" s="2" customFormat="1" ht="21.75" customHeight="1" x14ac:dyDescent="0.2">
      <c r="A153" s="202"/>
      <c r="B153" s="135"/>
      <c r="C153" s="164" t="s">
        <v>622</v>
      </c>
      <c r="D153" s="164" t="s">
        <v>268</v>
      </c>
      <c r="E153" s="165" t="s">
        <v>623</v>
      </c>
      <c r="F153" s="166" t="s">
        <v>624</v>
      </c>
      <c r="G153" s="167" t="s">
        <v>146</v>
      </c>
      <c r="H153" s="168">
        <v>3</v>
      </c>
      <c r="I153" s="168"/>
      <c r="J153" s="168">
        <f t="shared" si="10"/>
        <v>0</v>
      </c>
      <c r="K153" s="170"/>
      <c r="L153" s="171"/>
      <c r="M153" s="172" t="s">
        <v>1</v>
      </c>
      <c r="N153" s="144"/>
      <c r="O153" s="145">
        <v>0.17</v>
      </c>
      <c r="P153" s="145">
        <f t="shared" ref="P153" si="20">O153*H153</f>
        <v>0.51</v>
      </c>
      <c r="Q153" s="145">
        <v>0</v>
      </c>
      <c r="R153" s="145">
        <f t="shared" ref="R153" si="21">Q153*H153</f>
        <v>0</v>
      </c>
      <c r="S153" s="145">
        <v>0</v>
      </c>
      <c r="T153" s="146">
        <f t="shared" ref="T153" si="22">S153*H153</f>
        <v>0</v>
      </c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R153" s="147" t="s">
        <v>237</v>
      </c>
      <c r="AT153" s="147" t="s">
        <v>268</v>
      </c>
      <c r="AU153" s="147" t="s">
        <v>120</v>
      </c>
      <c r="AY153" s="16" t="s">
        <v>113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6" t="s">
        <v>120</v>
      </c>
      <c r="BK153" s="227">
        <f t="shared" si="19"/>
        <v>0</v>
      </c>
      <c r="BL153" s="16" t="s">
        <v>186</v>
      </c>
      <c r="BM153" s="147" t="s">
        <v>625</v>
      </c>
    </row>
    <row r="154" spans="1:65" s="2" customFormat="1" ht="16.5" customHeight="1" x14ac:dyDescent="0.2">
      <c r="A154" s="202"/>
      <c r="B154" s="135"/>
      <c r="C154" s="136" t="s">
        <v>626</v>
      </c>
      <c r="D154" s="136" t="s">
        <v>115</v>
      </c>
      <c r="E154" s="137" t="s">
        <v>627</v>
      </c>
      <c r="F154" s="138" t="s">
        <v>628</v>
      </c>
      <c r="G154" s="139" t="s">
        <v>146</v>
      </c>
      <c r="H154" s="140">
        <v>4</v>
      </c>
      <c r="I154" s="140"/>
      <c r="J154" s="140">
        <f t="shared" si="10"/>
        <v>0</v>
      </c>
      <c r="K154" s="142"/>
      <c r="L154" s="29"/>
      <c r="M154" s="143" t="s">
        <v>1</v>
      </c>
      <c r="N154" s="144"/>
      <c r="O154" s="145">
        <v>0.17</v>
      </c>
      <c r="P154" s="145">
        <f t="shared" si="11"/>
        <v>0.68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R154" s="147" t="s">
        <v>186</v>
      </c>
      <c r="AT154" s="147" t="s">
        <v>115</v>
      </c>
      <c r="AU154" s="147" t="s">
        <v>120</v>
      </c>
      <c r="AY154" s="16" t="s">
        <v>113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6" t="s">
        <v>120</v>
      </c>
      <c r="BK154" s="227">
        <f t="shared" si="19"/>
        <v>0</v>
      </c>
      <c r="BL154" s="16" t="s">
        <v>186</v>
      </c>
      <c r="BM154" s="147" t="s">
        <v>629</v>
      </c>
    </row>
    <row r="155" spans="1:65" s="2" customFormat="1" ht="21.75" customHeight="1" x14ac:dyDescent="0.2">
      <c r="A155" s="202"/>
      <c r="B155" s="135"/>
      <c r="C155" s="164" t="s">
        <v>630</v>
      </c>
      <c r="D155" s="164" t="s">
        <v>268</v>
      </c>
      <c r="E155" s="165" t="s">
        <v>631</v>
      </c>
      <c r="F155" s="166" t="s">
        <v>632</v>
      </c>
      <c r="G155" s="167" t="s">
        <v>146</v>
      </c>
      <c r="H155" s="168">
        <v>4</v>
      </c>
      <c r="I155" s="168"/>
      <c r="J155" s="168">
        <f t="shared" si="10"/>
        <v>0</v>
      </c>
      <c r="K155" s="170"/>
      <c r="L155" s="171"/>
      <c r="M155" s="172" t="s">
        <v>1</v>
      </c>
      <c r="N155" s="144"/>
      <c r="O155" s="145">
        <v>0</v>
      </c>
      <c r="P155" s="145">
        <f t="shared" si="11"/>
        <v>0</v>
      </c>
      <c r="Q155" s="145">
        <v>2.0000000000000002E-5</v>
      </c>
      <c r="R155" s="145">
        <f t="shared" si="12"/>
        <v>8.0000000000000007E-5</v>
      </c>
      <c r="S155" s="145">
        <v>0</v>
      </c>
      <c r="T155" s="146">
        <f t="shared" si="13"/>
        <v>0</v>
      </c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R155" s="147" t="s">
        <v>237</v>
      </c>
      <c r="AT155" s="147" t="s">
        <v>268</v>
      </c>
      <c r="AU155" s="147" t="s">
        <v>120</v>
      </c>
      <c r="AY155" s="16" t="s">
        <v>113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6" t="s">
        <v>120</v>
      </c>
      <c r="BK155" s="227">
        <f t="shared" si="19"/>
        <v>0</v>
      </c>
      <c r="BL155" s="16" t="s">
        <v>186</v>
      </c>
      <c r="BM155" s="147" t="s">
        <v>633</v>
      </c>
    </row>
    <row r="156" spans="1:65" s="2" customFormat="1" ht="16.5" customHeight="1" x14ac:dyDescent="0.2">
      <c r="A156" s="202"/>
      <c r="B156" s="135"/>
      <c r="C156" s="136" t="s">
        <v>634</v>
      </c>
      <c r="D156" s="136" t="s">
        <v>115</v>
      </c>
      <c r="E156" s="137" t="s">
        <v>635</v>
      </c>
      <c r="F156" s="138" t="s">
        <v>636</v>
      </c>
      <c r="G156" s="139" t="s">
        <v>146</v>
      </c>
      <c r="H156" s="140">
        <v>4</v>
      </c>
      <c r="I156" s="140"/>
      <c r="J156" s="140">
        <f t="shared" si="10"/>
        <v>0</v>
      </c>
      <c r="K156" s="142"/>
      <c r="L156" s="29"/>
      <c r="M156" s="143" t="s">
        <v>1</v>
      </c>
      <c r="N156" s="144"/>
      <c r="O156" s="145">
        <v>7.0050000000000001E-2</v>
      </c>
      <c r="P156" s="145">
        <f t="shared" si="11"/>
        <v>0.2802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R156" s="147" t="s">
        <v>186</v>
      </c>
      <c r="AT156" s="147" t="s">
        <v>115</v>
      </c>
      <c r="AU156" s="147" t="s">
        <v>120</v>
      </c>
      <c r="AY156" s="16" t="s">
        <v>113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6" t="s">
        <v>120</v>
      </c>
      <c r="BK156" s="227">
        <f t="shared" si="19"/>
        <v>0</v>
      </c>
      <c r="BL156" s="16" t="s">
        <v>186</v>
      </c>
      <c r="BM156" s="147" t="s">
        <v>637</v>
      </c>
    </row>
    <row r="157" spans="1:65" s="2" customFormat="1" ht="21.75" customHeight="1" x14ac:dyDescent="0.2">
      <c r="A157" s="202"/>
      <c r="B157" s="135"/>
      <c r="C157" s="164" t="s">
        <v>237</v>
      </c>
      <c r="D157" s="164" t="s">
        <v>268</v>
      </c>
      <c r="E157" s="165" t="s">
        <v>638</v>
      </c>
      <c r="F157" s="166" t="s">
        <v>639</v>
      </c>
      <c r="G157" s="167" t="s">
        <v>146</v>
      </c>
      <c r="H157" s="168">
        <v>4</v>
      </c>
      <c r="I157" s="168"/>
      <c r="J157" s="168">
        <f t="shared" si="10"/>
        <v>0</v>
      </c>
      <c r="K157" s="170"/>
      <c r="L157" s="171"/>
      <c r="M157" s="172" t="s">
        <v>1</v>
      </c>
      <c r="N157" s="144"/>
      <c r="O157" s="145">
        <v>0</v>
      </c>
      <c r="P157" s="145">
        <f t="shared" si="11"/>
        <v>0</v>
      </c>
      <c r="Q157" s="145">
        <v>6.9999999999999994E-5</v>
      </c>
      <c r="R157" s="145">
        <f t="shared" si="12"/>
        <v>2.7999999999999998E-4</v>
      </c>
      <c r="S157" s="145">
        <v>0</v>
      </c>
      <c r="T157" s="146">
        <f t="shared" si="13"/>
        <v>0</v>
      </c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R157" s="147" t="s">
        <v>237</v>
      </c>
      <c r="AT157" s="147" t="s">
        <v>268</v>
      </c>
      <c r="AU157" s="147" t="s">
        <v>120</v>
      </c>
      <c r="AY157" s="16" t="s">
        <v>113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6" t="s">
        <v>120</v>
      </c>
      <c r="BK157" s="227">
        <f t="shared" si="19"/>
        <v>0</v>
      </c>
      <c r="BL157" s="16" t="s">
        <v>186</v>
      </c>
      <c r="BM157" s="147" t="s">
        <v>640</v>
      </c>
    </row>
    <row r="158" spans="1:65" s="2" customFormat="1" ht="16.5" customHeight="1" x14ac:dyDescent="0.2">
      <c r="A158" s="202"/>
      <c r="B158" s="135"/>
      <c r="C158" s="136" t="s">
        <v>641</v>
      </c>
      <c r="D158" s="136" t="s">
        <v>115</v>
      </c>
      <c r="E158" s="137" t="s">
        <v>642</v>
      </c>
      <c r="F158" s="138" t="s">
        <v>643</v>
      </c>
      <c r="G158" s="139" t="s">
        <v>146</v>
      </c>
      <c r="H158" s="140">
        <v>10</v>
      </c>
      <c r="I158" s="140"/>
      <c r="J158" s="140">
        <f t="shared" si="10"/>
        <v>0</v>
      </c>
      <c r="K158" s="142"/>
      <c r="L158" s="29"/>
      <c r="M158" s="143" t="s">
        <v>1</v>
      </c>
      <c r="N158" s="144"/>
      <c r="O158" s="145">
        <v>0.15015999999999999</v>
      </c>
      <c r="P158" s="145">
        <f t="shared" si="11"/>
        <v>1.5015999999999998</v>
      </c>
      <c r="Q158" s="145">
        <v>2.0000000000000002E-5</v>
      </c>
      <c r="R158" s="145">
        <f t="shared" si="12"/>
        <v>2.0000000000000001E-4</v>
      </c>
      <c r="S158" s="145">
        <v>0</v>
      </c>
      <c r="T158" s="146">
        <f t="shared" si="13"/>
        <v>0</v>
      </c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R158" s="147" t="s">
        <v>186</v>
      </c>
      <c r="AT158" s="147" t="s">
        <v>115</v>
      </c>
      <c r="AU158" s="147" t="s">
        <v>120</v>
      </c>
      <c r="AY158" s="16" t="s">
        <v>113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6" t="s">
        <v>120</v>
      </c>
      <c r="BK158" s="227">
        <f t="shared" si="19"/>
        <v>0</v>
      </c>
      <c r="BL158" s="16" t="s">
        <v>186</v>
      </c>
      <c r="BM158" s="147" t="s">
        <v>644</v>
      </c>
    </row>
    <row r="159" spans="1:65" s="2" customFormat="1" ht="21.75" customHeight="1" x14ac:dyDescent="0.2">
      <c r="A159" s="202"/>
      <c r="B159" s="135"/>
      <c r="C159" s="164" t="s">
        <v>645</v>
      </c>
      <c r="D159" s="164" t="s">
        <v>268</v>
      </c>
      <c r="E159" s="165" t="s">
        <v>646</v>
      </c>
      <c r="F159" s="166" t="s">
        <v>647</v>
      </c>
      <c r="G159" s="167" t="s">
        <v>146</v>
      </c>
      <c r="H159" s="168">
        <v>10</v>
      </c>
      <c r="I159" s="168"/>
      <c r="J159" s="168">
        <f t="shared" si="10"/>
        <v>0</v>
      </c>
      <c r="K159" s="170"/>
      <c r="L159" s="171"/>
      <c r="M159" s="172" t="s">
        <v>1</v>
      </c>
      <c r="N159" s="144"/>
      <c r="O159" s="145">
        <v>0</v>
      </c>
      <c r="P159" s="145">
        <f t="shared" si="11"/>
        <v>0</v>
      </c>
      <c r="Q159" s="145">
        <v>6.0000000000000002E-5</v>
      </c>
      <c r="R159" s="145">
        <f t="shared" si="12"/>
        <v>6.0000000000000006E-4</v>
      </c>
      <c r="S159" s="145">
        <v>0</v>
      </c>
      <c r="T159" s="146">
        <f t="shared" si="13"/>
        <v>0</v>
      </c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R159" s="147" t="s">
        <v>237</v>
      </c>
      <c r="AT159" s="147" t="s">
        <v>268</v>
      </c>
      <c r="AU159" s="147" t="s">
        <v>120</v>
      </c>
      <c r="AY159" s="16" t="s">
        <v>113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6" t="s">
        <v>120</v>
      </c>
      <c r="BK159" s="227">
        <f t="shared" si="19"/>
        <v>0</v>
      </c>
      <c r="BL159" s="16" t="s">
        <v>186</v>
      </c>
      <c r="BM159" s="147" t="s">
        <v>648</v>
      </c>
    </row>
    <row r="160" spans="1:65" s="2" customFormat="1" ht="16.5" customHeight="1" x14ac:dyDescent="0.2">
      <c r="A160" s="202"/>
      <c r="B160" s="135"/>
      <c r="C160" s="136" t="s">
        <v>649</v>
      </c>
      <c r="D160" s="136" t="s">
        <v>115</v>
      </c>
      <c r="E160" s="137" t="s">
        <v>650</v>
      </c>
      <c r="F160" s="138" t="s">
        <v>651</v>
      </c>
      <c r="G160" s="139" t="s">
        <v>146</v>
      </c>
      <c r="H160" s="140">
        <v>6</v>
      </c>
      <c r="I160" s="140"/>
      <c r="J160" s="140">
        <f t="shared" si="10"/>
        <v>0</v>
      </c>
      <c r="K160" s="142"/>
      <c r="L160" s="29"/>
      <c r="M160" s="143" t="s">
        <v>1</v>
      </c>
      <c r="N160" s="144"/>
      <c r="O160" s="145">
        <v>0.40100000000000002</v>
      </c>
      <c r="P160" s="145">
        <f t="shared" si="11"/>
        <v>2.4060000000000001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R160" s="147" t="s">
        <v>186</v>
      </c>
      <c r="AT160" s="147" t="s">
        <v>115</v>
      </c>
      <c r="AU160" s="147" t="s">
        <v>120</v>
      </c>
      <c r="AY160" s="16" t="s">
        <v>113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6" t="s">
        <v>120</v>
      </c>
      <c r="BK160" s="227">
        <f t="shared" si="19"/>
        <v>0</v>
      </c>
      <c r="BL160" s="16" t="s">
        <v>186</v>
      </c>
      <c r="BM160" s="147" t="s">
        <v>652</v>
      </c>
    </row>
    <row r="161" spans="1:65" s="2" customFormat="1" ht="21.75" customHeight="1" x14ac:dyDescent="0.2">
      <c r="A161" s="202"/>
      <c r="B161" s="135"/>
      <c r="C161" s="136" t="s">
        <v>653</v>
      </c>
      <c r="D161" s="136" t="s">
        <v>115</v>
      </c>
      <c r="E161" s="137" t="s">
        <v>654</v>
      </c>
      <c r="F161" s="138" t="s">
        <v>655</v>
      </c>
      <c r="G161" s="139" t="s">
        <v>146</v>
      </c>
      <c r="H161" s="140">
        <v>4</v>
      </c>
      <c r="I161" s="140"/>
      <c r="J161" s="140">
        <f t="shared" si="10"/>
        <v>0</v>
      </c>
      <c r="K161" s="142"/>
      <c r="L161" s="29"/>
      <c r="M161" s="143" t="s">
        <v>1</v>
      </c>
      <c r="N161" s="144"/>
      <c r="O161" s="145">
        <v>0.20627000000000001</v>
      </c>
      <c r="P161" s="145">
        <f t="shared" si="11"/>
        <v>0.82508000000000004</v>
      </c>
      <c r="Q161" s="145">
        <v>4.0000000000000003E-5</v>
      </c>
      <c r="R161" s="145">
        <f t="shared" si="12"/>
        <v>1.6000000000000001E-4</v>
      </c>
      <c r="S161" s="145">
        <v>0</v>
      </c>
      <c r="T161" s="146">
        <f t="shared" si="13"/>
        <v>0</v>
      </c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R161" s="147" t="s">
        <v>186</v>
      </c>
      <c r="AT161" s="147" t="s">
        <v>115</v>
      </c>
      <c r="AU161" s="147" t="s">
        <v>120</v>
      </c>
      <c r="AY161" s="16" t="s">
        <v>113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6" t="s">
        <v>120</v>
      </c>
      <c r="BK161" s="227">
        <f t="shared" si="19"/>
        <v>0</v>
      </c>
      <c r="BL161" s="16" t="s">
        <v>186</v>
      </c>
      <c r="BM161" s="147" t="s">
        <v>656</v>
      </c>
    </row>
    <row r="162" spans="1:65" s="2" customFormat="1" ht="21.75" customHeight="1" x14ac:dyDescent="0.2">
      <c r="A162" s="202"/>
      <c r="B162" s="135"/>
      <c r="C162" s="164" t="s">
        <v>657</v>
      </c>
      <c r="D162" s="164" t="s">
        <v>268</v>
      </c>
      <c r="E162" s="165" t="s">
        <v>658</v>
      </c>
      <c r="F162" s="166" t="s">
        <v>659</v>
      </c>
      <c r="G162" s="167" t="s">
        <v>146</v>
      </c>
      <c r="H162" s="168">
        <v>4</v>
      </c>
      <c r="I162" s="168"/>
      <c r="J162" s="168">
        <f t="shared" si="10"/>
        <v>0</v>
      </c>
      <c r="K162" s="170"/>
      <c r="L162" s="171"/>
      <c r="M162" s="172" t="s">
        <v>1</v>
      </c>
      <c r="N162" s="144"/>
      <c r="O162" s="145">
        <v>0</v>
      </c>
      <c r="P162" s="145">
        <f t="shared" si="11"/>
        <v>0</v>
      </c>
      <c r="Q162" s="145">
        <v>3.8000000000000002E-4</v>
      </c>
      <c r="R162" s="145">
        <f t="shared" si="12"/>
        <v>1.5200000000000001E-3</v>
      </c>
      <c r="S162" s="145">
        <v>0</v>
      </c>
      <c r="T162" s="146">
        <f t="shared" si="13"/>
        <v>0</v>
      </c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R162" s="147" t="s">
        <v>237</v>
      </c>
      <c r="AT162" s="147" t="s">
        <v>268</v>
      </c>
      <c r="AU162" s="147" t="s">
        <v>120</v>
      </c>
      <c r="AY162" s="16" t="s">
        <v>113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6" t="s">
        <v>120</v>
      </c>
      <c r="BK162" s="227">
        <f t="shared" si="19"/>
        <v>0</v>
      </c>
      <c r="BL162" s="16" t="s">
        <v>186</v>
      </c>
      <c r="BM162" s="147" t="s">
        <v>660</v>
      </c>
    </row>
    <row r="163" spans="1:65" s="2" customFormat="1" ht="21.75" customHeight="1" x14ac:dyDescent="0.2">
      <c r="A163" s="202"/>
      <c r="B163" s="135"/>
      <c r="C163" s="136" t="s">
        <v>661</v>
      </c>
      <c r="D163" s="136" t="s">
        <v>115</v>
      </c>
      <c r="E163" s="137" t="s">
        <v>662</v>
      </c>
      <c r="F163" s="138" t="s">
        <v>663</v>
      </c>
      <c r="G163" s="139" t="s">
        <v>151</v>
      </c>
      <c r="H163" s="140">
        <v>14</v>
      </c>
      <c r="I163" s="140"/>
      <c r="J163" s="140">
        <f t="shared" si="10"/>
        <v>0</v>
      </c>
      <c r="K163" s="142"/>
      <c r="L163" s="29"/>
      <c r="M163" s="143" t="s">
        <v>1</v>
      </c>
      <c r="N163" s="144"/>
      <c r="O163" s="145">
        <v>6.3969999999999999E-2</v>
      </c>
      <c r="P163" s="145">
        <f t="shared" si="11"/>
        <v>0.89558000000000004</v>
      </c>
      <c r="Q163" s="145">
        <v>1.8000000000000001E-4</v>
      </c>
      <c r="R163" s="145">
        <f t="shared" si="12"/>
        <v>2.5200000000000001E-3</v>
      </c>
      <c r="S163" s="145">
        <v>0</v>
      </c>
      <c r="T163" s="146">
        <f t="shared" si="13"/>
        <v>0</v>
      </c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R163" s="147" t="s">
        <v>186</v>
      </c>
      <c r="AT163" s="147" t="s">
        <v>115</v>
      </c>
      <c r="AU163" s="147" t="s">
        <v>120</v>
      </c>
      <c r="AY163" s="16" t="s">
        <v>113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6" t="s">
        <v>120</v>
      </c>
      <c r="BK163" s="227">
        <f t="shared" si="19"/>
        <v>0</v>
      </c>
      <c r="BL163" s="16" t="s">
        <v>186</v>
      </c>
      <c r="BM163" s="147" t="s">
        <v>664</v>
      </c>
    </row>
    <row r="164" spans="1:65" s="2" customFormat="1" ht="21.75" customHeight="1" x14ac:dyDescent="0.2">
      <c r="A164" s="202"/>
      <c r="B164" s="135"/>
      <c r="C164" s="136" t="s">
        <v>665</v>
      </c>
      <c r="D164" s="136" t="s">
        <v>115</v>
      </c>
      <c r="E164" s="137" t="s">
        <v>666</v>
      </c>
      <c r="F164" s="138" t="s">
        <v>667</v>
      </c>
      <c r="G164" s="139" t="s">
        <v>583</v>
      </c>
      <c r="H164" s="140">
        <v>4.72</v>
      </c>
      <c r="I164" s="140"/>
      <c r="J164" s="140">
        <f t="shared" si="10"/>
        <v>0</v>
      </c>
      <c r="K164" s="142"/>
      <c r="L164" s="29"/>
      <c r="M164" s="143" t="s">
        <v>1</v>
      </c>
      <c r="N164" s="144"/>
      <c r="O164" s="145">
        <v>0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R164" s="147" t="s">
        <v>186</v>
      </c>
      <c r="AT164" s="147" t="s">
        <v>115</v>
      </c>
      <c r="AU164" s="147" t="s">
        <v>120</v>
      </c>
      <c r="AY164" s="16" t="s">
        <v>113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6" t="s">
        <v>120</v>
      </c>
      <c r="BK164" s="227">
        <f t="shared" si="19"/>
        <v>0</v>
      </c>
      <c r="BL164" s="16" t="s">
        <v>186</v>
      </c>
      <c r="BM164" s="147" t="s">
        <v>668</v>
      </c>
    </row>
    <row r="165" spans="1:65" s="12" customFormat="1" ht="22.9" customHeight="1" x14ac:dyDescent="0.2">
      <c r="B165" s="123"/>
      <c r="D165" s="124" t="s">
        <v>71</v>
      </c>
      <c r="E165" s="133" t="s">
        <v>669</v>
      </c>
      <c r="F165" s="133" t="s">
        <v>670</v>
      </c>
      <c r="J165" s="226">
        <f>BK165</f>
        <v>0</v>
      </c>
      <c r="L165" s="123"/>
      <c r="M165" s="127"/>
      <c r="N165" s="128"/>
      <c r="O165" s="128"/>
      <c r="P165" s="129">
        <f>SUM(P166:P189)</f>
        <v>16.858969999999996</v>
      </c>
      <c r="Q165" s="128"/>
      <c r="R165" s="129">
        <f>SUM(R166:R189)</f>
        <v>0.13594000000000001</v>
      </c>
      <c r="S165" s="128"/>
      <c r="T165" s="130">
        <f>SUM(T166:T189)</f>
        <v>0.21993999999999997</v>
      </c>
      <c r="AR165" s="124" t="s">
        <v>120</v>
      </c>
      <c r="AT165" s="131" t="s">
        <v>71</v>
      </c>
      <c r="AU165" s="131" t="s">
        <v>77</v>
      </c>
      <c r="AY165" s="124" t="s">
        <v>113</v>
      </c>
      <c r="BK165" s="225">
        <f>SUM(BK166:BK189)</f>
        <v>0</v>
      </c>
    </row>
    <row r="166" spans="1:65" s="2" customFormat="1" ht="21.75" customHeight="1" x14ac:dyDescent="0.2">
      <c r="A166" s="202"/>
      <c r="B166" s="135"/>
      <c r="C166" s="136" t="s">
        <v>671</v>
      </c>
      <c r="D166" s="136" t="s">
        <v>115</v>
      </c>
      <c r="E166" s="137" t="s">
        <v>672</v>
      </c>
      <c r="F166" s="138" t="s">
        <v>673</v>
      </c>
      <c r="G166" s="139" t="s">
        <v>674</v>
      </c>
      <c r="H166" s="140">
        <v>2</v>
      </c>
      <c r="I166" s="140"/>
      <c r="J166" s="140">
        <f t="shared" ref="J166:J189" si="23">ROUND(I166*H166,3)</f>
        <v>0</v>
      </c>
      <c r="K166" s="142"/>
      <c r="L166" s="29"/>
      <c r="M166" s="143" t="s">
        <v>1</v>
      </c>
      <c r="N166" s="144"/>
      <c r="O166" s="145">
        <v>0.51800000000000002</v>
      </c>
      <c r="P166" s="145">
        <f t="shared" ref="P166:P189" si="24">O166*H166</f>
        <v>1.036</v>
      </c>
      <c r="Q166" s="145">
        <v>0</v>
      </c>
      <c r="R166" s="145">
        <f t="shared" ref="R166:R189" si="25">Q166*H166</f>
        <v>0</v>
      </c>
      <c r="S166" s="145">
        <v>1.933E-2</v>
      </c>
      <c r="T166" s="146">
        <f t="shared" ref="T166:T189" si="26">S166*H166</f>
        <v>3.866E-2</v>
      </c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R166" s="147" t="s">
        <v>186</v>
      </c>
      <c r="AT166" s="147" t="s">
        <v>115</v>
      </c>
      <c r="AU166" s="147" t="s">
        <v>120</v>
      </c>
      <c r="AY166" s="16" t="s">
        <v>113</v>
      </c>
      <c r="BE166" s="148">
        <f t="shared" ref="BE166:BE189" si="27">IF(N166="základná",J166,0)</f>
        <v>0</v>
      </c>
      <c r="BF166" s="148">
        <f t="shared" ref="BF166:BF189" si="28">IF(N166="znížená",J166,0)</f>
        <v>0</v>
      </c>
      <c r="BG166" s="148">
        <f t="shared" ref="BG166:BG189" si="29">IF(N166="zákl. prenesená",J166,0)</f>
        <v>0</v>
      </c>
      <c r="BH166" s="148">
        <f t="shared" ref="BH166:BH189" si="30">IF(N166="zníž. prenesená",J166,0)</f>
        <v>0</v>
      </c>
      <c r="BI166" s="148">
        <f t="shared" ref="BI166:BI189" si="31">IF(N166="nulová",J166,0)</f>
        <v>0</v>
      </c>
      <c r="BJ166" s="16" t="s">
        <v>120</v>
      </c>
      <c r="BK166" s="227">
        <f t="shared" ref="BK166:BK189" si="32">ROUND(I166*H166,3)</f>
        <v>0</v>
      </c>
      <c r="BL166" s="16" t="s">
        <v>186</v>
      </c>
      <c r="BM166" s="147" t="s">
        <v>675</v>
      </c>
    </row>
    <row r="167" spans="1:65" s="2" customFormat="1" ht="21.75" customHeight="1" x14ac:dyDescent="0.2">
      <c r="A167" s="202"/>
      <c r="B167" s="135"/>
      <c r="C167" s="136" t="s">
        <v>676</v>
      </c>
      <c r="D167" s="136" t="s">
        <v>115</v>
      </c>
      <c r="E167" s="137" t="s">
        <v>677</v>
      </c>
      <c r="F167" s="138" t="s">
        <v>678</v>
      </c>
      <c r="G167" s="139" t="s">
        <v>146</v>
      </c>
      <c r="H167" s="140">
        <v>2</v>
      </c>
      <c r="I167" s="140"/>
      <c r="J167" s="140">
        <f t="shared" si="23"/>
        <v>0</v>
      </c>
      <c r="K167" s="142"/>
      <c r="L167" s="29"/>
      <c r="M167" s="143" t="s">
        <v>1</v>
      </c>
      <c r="N167" s="144"/>
      <c r="O167" s="145">
        <v>1.2771999999999999</v>
      </c>
      <c r="P167" s="145">
        <f t="shared" si="24"/>
        <v>2.5543999999999998</v>
      </c>
      <c r="Q167" s="145">
        <v>2.7999999999999998E-4</v>
      </c>
      <c r="R167" s="145">
        <f t="shared" si="25"/>
        <v>5.5999999999999995E-4</v>
      </c>
      <c r="S167" s="145">
        <v>0</v>
      </c>
      <c r="T167" s="146">
        <f t="shared" si="26"/>
        <v>0</v>
      </c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R167" s="147" t="s">
        <v>186</v>
      </c>
      <c r="AT167" s="147" t="s">
        <v>115</v>
      </c>
      <c r="AU167" s="147" t="s">
        <v>120</v>
      </c>
      <c r="AY167" s="16" t="s">
        <v>113</v>
      </c>
      <c r="BE167" s="148">
        <f t="shared" si="27"/>
        <v>0</v>
      </c>
      <c r="BF167" s="148">
        <f t="shared" si="28"/>
        <v>0</v>
      </c>
      <c r="BG167" s="148">
        <f t="shared" si="29"/>
        <v>0</v>
      </c>
      <c r="BH167" s="148">
        <f t="shared" si="30"/>
        <v>0</v>
      </c>
      <c r="BI167" s="148">
        <f t="shared" si="31"/>
        <v>0</v>
      </c>
      <c r="BJ167" s="16" t="s">
        <v>120</v>
      </c>
      <c r="BK167" s="227">
        <f t="shared" si="32"/>
        <v>0</v>
      </c>
      <c r="BL167" s="16" t="s">
        <v>186</v>
      </c>
      <c r="BM167" s="147" t="s">
        <v>679</v>
      </c>
    </row>
    <row r="168" spans="1:65" s="2" customFormat="1" ht="21.75" customHeight="1" x14ac:dyDescent="0.2">
      <c r="A168" s="202"/>
      <c r="B168" s="135"/>
      <c r="C168" s="164" t="s">
        <v>680</v>
      </c>
      <c r="D168" s="164" t="s">
        <v>268</v>
      </c>
      <c r="E168" s="165" t="s">
        <v>681</v>
      </c>
      <c r="F168" s="166" t="s">
        <v>682</v>
      </c>
      <c r="G168" s="167" t="s">
        <v>146</v>
      </c>
      <c r="H168" s="168">
        <v>2</v>
      </c>
      <c r="I168" s="168"/>
      <c r="J168" s="168">
        <f t="shared" si="23"/>
        <v>0</v>
      </c>
      <c r="K168" s="170"/>
      <c r="L168" s="171"/>
      <c r="M168" s="172" t="s">
        <v>1</v>
      </c>
      <c r="N168" s="144"/>
      <c r="O168" s="145">
        <v>0</v>
      </c>
      <c r="P168" s="145">
        <f t="shared" si="24"/>
        <v>0</v>
      </c>
      <c r="Q168" s="145">
        <v>2.5499999999999998E-2</v>
      </c>
      <c r="R168" s="145">
        <f t="shared" si="25"/>
        <v>5.0999999999999997E-2</v>
      </c>
      <c r="S168" s="145">
        <v>0</v>
      </c>
      <c r="T168" s="146">
        <f t="shared" si="26"/>
        <v>0</v>
      </c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R168" s="147" t="s">
        <v>237</v>
      </c>
      <c r="AT168" s="147" t="s">
        <v>268</v>
      </c>
      <c r="AU168" s="147" t="s">
        <v>120</v>
      </c>
      <c r="AY168" s="16" t="s">
        <v>113</v>
      </c>
      <c r="BE168" s="148">
        <f t="shared" si="27"/>
        <v>0</v>
      </c>
      <c r="BF168" s="148">
        <f t="shared" si="28"/>
        <v>0</v>
      </c>
      <c r="BG168" s="148">
        <f t="shared" si="29"/>
        <v>0</v>
      </c>
      <c r="BH168" s="148">
        <f t="shared" si="30"/>
        <v>0</v>
      </c>
      <c r="BI168" s="148">
        <f t="shared" si="31"/>
        <v>0</v>
      </c>
      <c r="BJ168" s="16" t="s">
        <v>120</v>
      </c>
      <c r="BK168" s="227">
        <f t="shared" si="32"/>
        <v>0</v>
      </c>
      <c r="BL168" s="16" t="s">
        <v>186</v>
      </c>
      <c r="BM168" s="147" t="s">
        <v>683</v>
      </c>
    </row>
    <row r="169" spans="1:65" s="2" customFormat="1" ht="21.75" customHeight="1" x14ac:dyDescent="0.2">
      <c r="A169" s="202"/>
      <c r="B169" s="135"/>
      <c r="C169" s="136" t="s">
        <v>684</v>
      </c>
      <c r="D169" s="136" t="s">
        <v>115</v>
      </c>
      <c r="E169" s="137" t="s">
        <v>685</v>
      </c>
      <c r="F169" s="138" t="s">
        <v>686</v>
      </c>
      <c r="G169" s="139" t="s">
        <v>674</v>
      </c>
      <c r="H169" s="140">
        <v>3</v>
      </c>
      <c r="I169" s="140"/>
      <c r="J169" s="140">
        <f t="shared" si="23"/>
        <v>0</v>
      </c>
      <c r="K169" s="142"/>
      <c r="L169" s="29"/>
      <c r="M169" s="143" t="s">
        <v>1</v>
      </c>
      <c r="N169" s="144"/>
      <c r="O169" s="145">
        <v>0.34200000000000003</v>
      </c>
      <c r="P169" s="145">
        <f t="shared" si="24"/>
        <v>1.026</v>
      </c>
      <c r="Q169" s="145">
        <v>0</v>
      </c>
      <c r="R169" s="145">
        <f t="shared" si="25"/>
        <v>0</v>
      </c>
      <c r="S169" s="145">
        <v>1.9460000000000002E-2</v>
      </c>
      <c r="T169" s="146">
        <f t="shared" si="26"/>
        <v>5.8380000000000001E-2</v>
      </c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R169" s="147" t="s">
        <v>186</v>
      </c>
      <c r="AT169" s="147" t="s">
        <v>115</v>
      </c>
      <c r="AU169" s="147" t="s">
        <v>120</v>
      </c>
      <c r="AY169" s="16" t="s">
        <v>113</v>
      </c>
      <c r="BE169" s="148">
        <f t="shared" si="27"/>
        <v>0</v>
      </c>
      <c r="BF169" s="148">
        <f t="shared" si="28"/>
        <v>0</v>
      </c>
      <c r="BG169" s="148">
        <f t="shared" si="29"/>
        <v>0</v>
      </c>
      <c r="BH169" s="148">
        <f t="shared" si="30"/>
        <v>0</v>
      </c>
      <c r="BI169" s="148">
        <f t="shared" si="31"/>
        <v>0</v>
      </c>
      <c r="BJ169" s="16" t="s">
        <v>120</v>
      </c>
      <c r="BK169" s="227">
        <f t="shared" si="32"/>
        <v>0</v>
      </c>
      <c r="BL169" s="16" t="s">
        <v>186</v>
      </c>
      <c r="BM169" s="147" t="s">
        <v>687</v>
      </c>
    </row>
    <row r="170" spans="1:65" s="2" customFormat="1" ht="21.75" customHeight="1" x14ac:dyDescent="0.2">
      <c r="A170" s="202"/>
      <c r="B170" s="135"/>
      <c r="C170" s="136" t="s">
        <v>688</v>
      </c>
      <c r="D170" s="136" t="s">
        <v>115</v>
      </c>
      <c r="E170" s="137" t="s">
        <v>689</v>
      </c>
      <c r="F170" s="138" t="s">
        <v>690</v>
      </c>
      <c r="G170" s="139" t="s">
        <v>146</v>
      </c>
      <c r="H170" s="140">
        <v>3</v>
      </c>
      <c r="I170" s="140"/>
      <c r="J170" s="140">
        <f t="shared" si="23"/>
        <v>0</v>
      </c>
      <c r="K170" s="142"/>
      <c r="L170" s="29"/>
      <c r="M170" s="143" t="s">
        <v>1</v>
      </c>
      <c r="N170" s="144"/>
      <c r="O170" s="145">
        <v>1.20068</v>
      </c>
      <c r="P170" s="145">
        <f t="shared" si="24"/>
        <v>3.6020399999999997</v>
      </c>
      <c r="Q170" s="145">
        <v>2.3E-3</v>
      </c>
      <c r="R170" s="145">
        <f t="shared" si="25"/>
        <v>6.8999999999999999E-3</v>
      </c>
      <c r="S170" s="145">
        <v>0</v>
      </c>
      <c r="T170" s="146">
        <f t="shared" si="26"/>
        <v>0</v>
      </c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R170" s="147" t="s">
        <v>186</v>
      </c>
      <c r="AT170" s="147" t="s">
        <v>115</v>
      </c>
      <c r="AU170" s="147" t="s">
        <v>120</v>
      </c>
      <c r="AY170" s="16" t="s">
        <v>113</v>
      </c>
      <c r="BE170" s="148">
        <f t="shared" si="27"/>
        <v>0</v>
      </c>
      <c r="BF170" s="148">
        <f t="shared" si="28"/>
        <v>0</v>
      </c>
      <c r="BG170" s="148">
        <f t="shared" si="29"/>
        <v>0</v>
      </c>
      <c r="BH170" s="148">
        <f t="shared" si="30"/>
        <v>0</v>
      </c>
      <c r="BI170" s="148">
        <f t="shared" si="31"/>
        <v>0</v>
      </c>
      <c r="BJ170" s="16" t="s">
        <v>120</v>
      </c>
      <c r="BK170" s="227">
        <f t="shared" si="32"/>
        <v>0</v>
      </c>
      <c r="BL170" s="16" t="s">
        <v>186</v>
      </c>
      <c r="BM170" s="147" t="s">
        <v>691</v>
      </c>
    </row>
    <row r="171" spans="1:65" s="2" customFormat="1" ht="16.5" customHeight="1" x14ac:dyDescent="0.2">
      <c r="A171" s="202"/>
      <c r="B171" s="135"/>
      <c r="C171" s="164" t="s">
        <v>692</v>
      </c>
      <c r="D171" s="164" t="s">
        <v>268</v>
      </c>
      <c r="E171" s="165" t="s">
        <v>693</v>
      </c>
      <c r="F171" s="166" t="s">
        <v>694</v>
      </c>
      <c r="G171" s="167" t="s">
        <v>146</v>
      </c>
      <c r="H171" s="168">
        <v>3</v>
      </c>
      <c r="I171" s="168"/>
      <c r="J171" s="168">
        <f t="shared" si="23"/>
        <v>0</v>
      </c>
      <c r="K171" s="170"/>
      <c r="L171" s="171"/>
      <c r="M171" s="172" t="s">
        <v>1</v>
      </c>
      <c r="N171" s="144"/>
      <c r="O171" s="145">
        <v>0</v>
      </c>
      <c r="P171" s="145">
        <f t="shared" si="24"/>
        <v>0</v>
      </c>
      <c r="Q171" s="145">
        <v>6.1999999999999998E-3</v>
      </c>
      <c r="R171" s="145">
        <f t="shared" si="25"/>
        <v>1.8599999999999998E-2</v>
      </c>
      <c r="S171" s="145">
        <v>0</v>
      </c>
      <c r="T171" s="146">
        <f t="shared" si="26"/>
        <v>0</v>
      </c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R171" s="147" t="s">
        <v>237</v>
      </c>
      <c r="AT171" s="147" t="s">
        <v>268</v>
      </c>
      <c r="AU171" s="147" t="s">
        <v>120</v>
      </c>
      <c r="AY171" s="16" t="s">
        <v>113</v>
      </c>
      <c r="BE171" s="148">
        <f t="shared" si="27"/>
        <v>0</v>
      </c>
      <c r="BF171" s="148">
        <f t="shared" si="28"/>
        <v>0</v>
      </c>
      <c r="BG171" s="148">
        <f t="shared" si="29"/>
        <v>0</v>
      </c>
      <c r="BH171" s="148">
        <f t="shared" si="30"/>
        <v>0</v>
      </c>
      <c r="BI171" s="148">
        <f t="shared" si="31"/>
        <v>0</v>
      </c>
      <c r="BJ171" s="16" t="s">
        <v>120</v>
      </c>
      <c r="BK171" s="227">
        <f t="shared" si="32"/>
        <v>0</v>
      </c>
      <c r="BL171" s="16" t="s">
        <v>186</v>
      </c>
      <c r="BM171" s="147" t="s">
        <v>695</v>
      </c>
    </row>
    <row r="172" spans="1:65" s="2" customFormat="1" ht="21.75" customHeight="1" x14ac:dyDescent="0.2">
      <c r="A172" s="202"/>
      <c r="B172" s="135"/>
      <c r="C172" s="136" t="s">
        <v>696</v>
      </c>
      <c r="D172" s="136" t="s">
        <v>115</v>
      </c>
      <c r="E172" s="137" t="s">
        <v>697</v>
      </c>
      <c r="F172" s="138" t="s">
        <v>698</v>
      </c>
      <c r="G172" s="139" t="s">
        <v>674</v>
      </c>
      <c r="H172" s="140">
        <v>1</v>
      </c>
      <c r="I172" s="140"/>
      <c r="J172" s="140">
        <f t="shared" si="23"/>
        <v>0</v>
      </c>
      <c r="K172" s="142"/>
      <c r="L172" s="29"/>
      <c r="M172" s="143" t="s">
        <v>1</v>
      </c>
      <c r="N172" s="144"/>
      <c r="O172" s="145">
        <v>0.65500000000000003</v>
      </c>
      <c r="P172" s="145">
        <f t="shared" si="24"/>
        <v>0.65500000000000003</v>
      </c>
      <c r="Q172" s="145">
        <v>0</v>
      </c>
      <c r="R172" s="145">
        <f t="shared" si="25"/>
        <v>0</v>
      </c>
      <c r="S172" s="145">
        <v>8.7999999999999995E-2</v>
      </c>
      <c r="T172" s="146">
        <f t="shared" si="26"/>
        <v>8.7999999999999995E-2</v>
      </c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R172" s="147" t="s">
        <v>186</v>
      </c>
      <c r="AT172" s="147" t="s">
        <v>115</v>
      </c>
      <c r="AU172" s="147" t="s">
        <v>120</v>
      </c>
      <c r="AY172" s="16" t="s">
        <v>113</v>
      </c>
      <c r="BE172" s="148">
        <f t="shared" si="27"/>
        <v>0</v>
      </c>
      <c r="BF172" s="148">
        <f t="shared" si="28"/>
        <v>0</v>
      </c>
      <c r="BG172" s="148">
        <f t="shared" si="29"/>
        <v>0</v>
      </c>
      <c r="BH172" s="148">
        <f t="shared" si="30"/>
        <v>0</v>
      </c>
      <c r="BI172" s="148">
        <f t="shared" si="31"/>
        <v>0</v>
      </c>
      <c r="BJ172" s="16" t="s">
        <v>120</v>
      </c>
      <c r="BK172" s="227">
        <f t="shared" si="32"/>
        <v>0</v>
      </c>
      <c r="BL172" s="16" t="s">
        <v>186</v>
      </c>
      <c r="BM172" s="147" t="s">
        <v>699</v>
      </c>
    </row>
    <row r="173" spans="1:65" s="2" customFormat="1" ht="21.75" customHeight="1" x14ac:dyDescent="0.2">
      <c r="A173" s="202"/>
      <c r="B173" s="135"/>
      <c r="C173" s="136" t="s">
        <v>700</v>
      </c>
      <c r="D173" s="136" t="s">
        <v>115</v>
      </c>
      <c r="E173" s="137" t="s">
        <v>701</v>
      </c>
      <c r="F173" s="138" t="s">
        <v>702</v>
      </c>
      <c r="G173" s="139" t="s">
        <v>674</v>
      </c>
      <c r="H173" s="140">
        <v>1</v>
      </c>
      <c r="I173" s="140"/>
      <c r="J173" s="140">
        <f t="shared" si="23"/>
        <v>0</v>
      </c>
      <c r="K173" s="142"/>
      <c r="L173" s="29"/>
      <c r="M173" s="143" t="s">
        <v>1</v>
      </c>
      <c r="N173" s="144"/>
      <c r="O173" s="145">
        <v>0.36199999999999999</v>
      </c>
      <c r="P173" s="145">
        <f t="shared" si="24"/>
        <v>0.36199999999999999</v>
      </c>
      <c r="Q173" s="145">
        <v>0</v>
      </c>
      <c r="R173" s="145">
        <f t="shared" si="25"/>
        <v>0</v>
      </c>
      <c r="S173" s="145">
        <v>2.4500000000000001E-2</v>
      </c>
      <c r="T173" s="146">
        <f t="shared" si="26"/>
        <v>2.4500000000000001E-2</v>
      </c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R173" s="147" t="s">
        <v>186</v>
      </c>
      <c r="AT173" s="147" t="s">
        <v>115</v>
      </c>
      <c r="AU173" s="147" t="s">
        <v>120</v>
      </c>
      <c r="AY173" s="16" t="s">
        <v>113</v>
      </c>
      <c r="BE173" s="148">
        <f t="shared" si="27"/>
        <v>0</v>
      </c>
      <c r="BF173" s="148">
        <f t="shared" si="28"/>
        <v>0</v>
      </c>
      <c r="BG173" s="148">
        <f t="shared" si="29"/>
        <v>0</v>
      </c>
      <c r="BH173" s="148">
        <f t="shared" si="30"/>
        <v>0</v>
      </c>
      <c r="BI173" s="148">
        <f t="shared" si="31"/>
        <v>0</v>
      </c>
      <c r="BJ173" s="16" t="s">
        <v>120</v>
      </c>
      <c r="BK173" s="227">
        <f t="shared" si="32"/>
        <v>0</v>
      </c>
      <c r="BL173" s="16" t="s">
        <v>186</v>
      </c>
      <c r="BM173" s="147" t="s">
        <v>703</v>
      </c>
    </row>
    <row r="174" spans="1:65" s="2" customFormat="1" ht="21.75" customHeight="1" x14ac:dyDescent="0.2">
      <c r="A174" s="202"/>
      <c r="B174" s="135"/>
      <c r="C174" s="136" t="s">
        <v>704</v>
      </c>
      <c r="D174" s="136" t="s">
        <v>115</v>
      </c>
      <c r="E174" s="137" t="s">
        <v>705</v>
      </c>
      <c r="F174" s="138" t="s">
        <v>706</v>
      </c>
      <c r="G174" s="139" t="s">
        <v>146</v>
      </c>
      <c r="H174" s="140">
        <v>1</v>
      </c>
      <c r="I174" s="140"/>
      <c r="J174" s="140">
        <f t="shared" si="23"/>
        <v>0</v>
      </c>
      <c r="K174" s="142"/>
      <c r="L174" s="29"/>
      <c r="M174" s="143" t="s">
        <v>1</v>
      </c>
      <c r="N174" s="144"/>
      <c r="O174" s="145">
        <v>2.3009599999999999</v>
      </c>
      <c r="P174" s="145">
        <f t="shared" si="24"/>
        <v>2.3009599999999999</v>
      </c>
      <c r="Q174" s="145">
        <v>4.4000000000000002E-4</v>
      </c>
      <c r="R174" s="145">
        <f t="shared" si="25"/>
        <v>4.4000000000000002E-4</v>
      </c>
      <c r="S174" s="145">
        <v>0</v>
      </c>
      <c r="T174" s="146">
        <f t="shared" si="26"/>
        <v>0</v>
      </c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R174" s="147" t="s">
        <v>186</v>
      </c>
      <c r="AT174" s="147" t="s">
        <v>115</v>
      </c>
      <c r="AU174" s="147" t="s">
        <v>120</v>
      </c>
      <c r="AY174" s="16" t="s">
        <v>113</v>
      </c>
      <c r="BE174" s="148">
        <f t="shared" si="27"/>
        <v>0</v>
      </c>
      <c r="BF174" s="148">
        <f t="shared" si="28"/>
        <v>0</v>
      </c>
      <c r="BG174" s="148">
        <f t="shared" si="29"/>
        <v>0</v>
      </c>
      <c r="BH174" s="148">
        <f t="shared" si="30"/>
        <v>0</v>
      </c>
      <c r="BI174" s="148">
        <f t="shared" si="31"/>
        <v>0</v>
      </c>
      <c r="BJ174" s="16" t="s">
        <v>120</v>
      </c>
      <c r="BK174" s="227">
        <f t="shared" si="32"/>
        <v>0</v>
      </c>
      <c r="BL174" s="16" t="s">
        <v>186</v>
      </c>
      <c r="BM174" s="147" t="s">
        <v>707</v>
      </c>
    </row>
    <row r="175" spans="1:65" s="2" customFormat="1" ht="21.75" customHeight="1" x14ac:dyDescent="0.2">
      <c r="A175" s="202"/>
      <c r="B175" s="135"/>
      <c r="C175" s="164" t="s">
        <v>708</v>
      </c>
      <c r="D175" s="164" t="s">
        <v>268</v>
      </c>
      <c r="E175" s="165" t="s">
        <v>709</v>
      </c>
      <c r="F175" s="166" t="s">
        <v>710</v>
      </c>
      <c r="G175" s="167" t="s">
        <v>146</v>
      </c>
      <c r="H175" s="168">
        <v>1</v>
      </c>
      <c r="I175" s="168"/>
      <c r="J175" s="168">
        <f t="shared" si="23"/>
        <v>0</v>
      </c>
      <c r="K175" s="170"/>
      <c r="L175" s="171"/>
      <c r="M175" s="172" t="s">
        <v>1</v>
      </c>
      <c r="N175" s="144"/>
      <c r="O175" s="145">
        <v>0</v>
      </c>
      <c r="P175" s="145">
        <f t="shared" si="24"/>
        <v>0</v>
      </c>
      <c r="Q175" s="145">
        <v>1.6E-2</v>
      </c>
      <c r="R175" s="145">
        <f t="shared" si="25"/>
        <v>1.6E-2</v>
      </c>
      <c r="S175" s="145">
        <v>0</v>
      </c>
      <c r="T175" s="146">
        <f t="shared" si="26"/>
        <v>0</v>
      </c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R175" s="147" t="s">
        <v>237</v>
      </c>
      <c r="AT175" s="147" t="s">
        <v>268</v>
      </c>
      <c r="AU175" s="147" t="s">
        <v>120</v>
      </c>
      <c r="AY175" s="16" t="s">
        <v>113</v>
      </c>
      <c r="BE175" s="148">
        <f t="shared" si="27"/>
        <v>0</v>
      </c>
      <c r="BF175" s="148">
        <f t="shared" si="28"/>
        <v>0</v>
      </c>
      <c r="BG175" s="148">
        <f t="shared" si="29"/>
        <v>0</v>
      </c>
      <c r="BH175" s="148">
        <f t="shared" si="30"/>
        <v>0</v>
      </c>
      <c r="BI175" s="148">
        <f t="shared" si="31"/>
        <v>0</v>
      </c>
      <c r="BJ175" s="16" t="s">
        <v>120</v>
      </c>
      <c r="BK175" s="227">
        <f t="shared" si="32"/>
        <v>0</v>
      </c>
      <c r="BL175" s="16" t="s">
        <v>186</v>
      </c>
      <c r="BM175" s="147" t="s">
        <v>711</v>
      </c>
    </row>
    <row r="176" spans="1:65" s="2" customFormat="1" ht="21.75" customHeight="1" x14ac:dyDescent="0.2">
      <c r="A176" s="202"/>
      <c r="B176" s="135"/>
      <c r="C176" s="136" t="s">
        <v>712</v>
      </c>
      <c r="D176" s="136" t="s">
        <v>115</v>
      </c>
      <c r="E176" s="137" t="s">
        <v>713</v>
      </c>
      <c r="F176" s="138" t="s">
        <v>714</v>
      </c>
      <c r="G176" s="139" t="s">
        <v>146</v>
      </c>
      <c r="H176" s="140">
        <v>1</v>
      </c>
      <c r="I176" s="140"/>
      <c r="J176" s="140">
        <f t="shared" si="23"/>
        <v>0</v>
      </c>
      <c r="K176" s="142"/>
      <c r="L176" s="29"/>
      <c r="M176" s="143" t="s">
        <v>1</v>
      </c>
      <c r="N176" s="144"/>
      <c r="O176" s="145">
        <v>1.53182</v>
      </c>
      <c r="P176" s="145">
        <f t="shared" si="24"/>
        <v>1.53182</v>
      </c>
      <c r="Q176" s="145">
        <v>7.9000000000000001E-4</v>
      </c>
      <c r="R176" s="145">
        <f t="shared" si="25"/>
        <v>7.9000000000000001E-4</v>
      </c>
      <c r="S176" s="145">
        <v>0</v>
      </c>
      <c r="T176" s="146">
        <f t="shared" si="26"/>
        <v>0</v>
      </c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R176" s="147" t="s">
        <v>186</v>
      </c>
      <c r="AT176" s="147" t="s">
        <v>115</v>
      </c>
      <c r="AU176" s="147" t="s">
        <v>120</v>
      </c>
      <c r="AY176" s="16" t="s">
        <v>113</v>
      </c>
      <c r="BE176" s="148">
        <f t="shared" si="27"/>
        <v>0</v>
      </c>
      <c r="BF176" s="148">
        <f t="shared" si="28"/>
        <v>0</v>
      </c>
      <c r="BG176" s="148">
        <f t="shared" si="29"/>
        <v>0</v>
      </c>
      <c r="BH176" s="148">
        <f t="shared" si="30"/>
        <v>0</v>
      </c>
      <c r="BI176" s="148">
        <f t="shared" si="31"/>
        <v>0</v>
      </c>
      <c r="BJ176" s="16" t="s">
        <v>120</v>
      </c>
      <c r="BK176" s="227">
        <f t="shared" si="32"/>
        <v>0</v>
      </c>
      <c r="BL176" s="16" t="s">
        <v>186</v>
      </c>
      <c r="BM176" s="147" t="s">
        <v>715</v>
      </c>
    </row>
    <row r="177" spans="1:65" s="2" customFormat="1" ht="21.75" customHeight="1" x14ac:dyDescent="0.2">
      <c r="A177" s="202"/>
      <c r="B177" s="135"/>
      <c r="C177" s="164" t="s">
        <v>716</v>
      </c>
      <c r="D177" s="164" t="s">
        <v>268</v>
      </c>
      <c r="E177" s="165" t="s">
        <v>717</v>
      </c>
      <c r="F177" s="166" t="s">
        <v>718</v>
      </c>
      <c r="G177" s="167" t="s">
        <v>146</v>
      </c>
      <c r="H177" s="168">
        <v>1</v>
      </c>
      <c r="I177" s="168"/>
      <c r="J177" s="168">
        <f t="shared" si="23"/>
        <v>0</v>
      </c>
      <c r="K177" s="170"/>
      <c r="L177" s="171"/>
      <c r="M177" s="172" t="s">
        <v>1</v>
      </c>
      <c r="N177" s="144"/>
      <c r="O177" s="145">
        <v>0</v>
      </c>
      <c r="P177" s="145">
        <f t="shared" si="24"/>
        <v>0</v>
      </c>
      <c r="Q177" s="145">
        <v>2.9000000000000001E-2</v>
      </c>
      <c r="R177" s="145">
        <f t="shared" si="25"/>
        <v>2.9000000000000001E-2</v>
      </c>
      <c r="S177" s="145">
        <v>0</v>
      </c>
      <c r="T177" s="146">
        <f t="shared" si="26"/>
        <v>0</v>
      </c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R177" s="147" t="s">
        <v>237</v>
      </c>
      <c r="AT177" s="147" t="s">
        <v>268</v>
      </c>
      <c r="AU177" s="147" t="s">
        <v>120</v>
      </c>
      <c r="AY177" s="16" t="s">
        <v>113</v>
      </c>
      <c r="BE177" s="148">
        <f t="shared" si="27"/>
        <v>0</v>
      </c>
      <c r="BF177" s="148">
        <f t="shared" si="28"/>
        <v>0</v>
      </c>
      <c r="BG177" s="148">
        <f t="shared" si="29"/>
        <v>0</v>
      </c>
      <c r="BH177" s="148">
        <f t="shared" si="30"/>
        <v>0</v>
      </c>
      <c r="BI177" s="148">
        <f t="shared" si="31"/>
        <v>0</v>
      </c>
      <c r="BJ177" s="16" t="s">
        <v>120</v>
      </c>
      <c r="BK177" s="227">
        <f t="shared" si="32"/>
        <v>0</v>
      </c>
      <c r="BL177" s="16" t="s">
        <v>186</v>
      </c>
      <c r="BM177" s="147" t="s">
        <v>719</v>
      </c>
    </row>
    <row r="178" spans="1:65" s="2" customFormat="1" ht="16.5" customHeight="1" x14ac:dyDescent="0.2">
      <c r="A178" s="202"/>
      <c r="B178" s="135"/>
      <c r="C178" s="136" t="s">
        <v>720</v>
      </c>
      <c r="D178" s="136" t="s">
        <v>115</v>
      </c>
      <c r="E178" s="137" t="s">
        <v>721</v>
      </c>
      <c r="F178" s="138" t="s">
        <v>722</v>
      </c>
      <c r="G178" s="139" t="s">
        <v>146</v>
      </c>
      <c r="H178" s="140">
        <v>2</v>
      </c>
      <c r="I178" s="140"/>
      <c r="J178" s="140">
        <f t="shared" si="23"/>
        <v>0</v>
      </c>
      <c r="K178" s="142"/>
      <c r="L178" s="29"/>
      <c r="M178" s="143" t="s">
        <v>1</v>
      </c>
      <c r="N178" s="144"/>
      <c r="O178" s="145">
        <v>0.13436999999999999</v>
      </c>
      <c r="P178" s="145">
        <f t="shared" si="24"/>
        <v>0.26873999999999998</v>
      </c>
      <c r="Q178" s="145">
        <v>0</v>
      </c>
      <c r="R178" s="145">
        <f t="shared" si="25"/>
        <v>0</v>
      </c>
      <c r="S178" s="145">
        <v>0</v>
      </c>
      <c r="T178" s="146">
        <f t="shared" si="26"/>
        <v>0</v>
      </c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R178" s="147" t="s">
        <v>186</v>
      </c>
      <c r="AT178" s="147" t="s">
        <v>115</v>
      </c>
      <c r="AU178" s="147" t="s">
        <v>120</v>
      </c>
      <c r="AY178" s="16" t="s">
        <v>113</v>
      </c>
      <c r="BE178" s="148">
        <f t="shared" si="27"/>
        <v>0</v>
      </c>
      <c r="BF178" s="148">
        <f t="shared" si="28"/>
        <v>0</v>
      </c>
      <c r="BG178" s="148">
        <f t="shared" si="29"/>
        <v>0</v>
      </c>
      <c r="BH178" s="148">
        <f t="shared" si="30"/>
        <v>0</v>
      </c>
      <c r="BI178" s="148">
        <f t="shared" si="31"/>
        <v>0</v>
      </c>
      <c r="BJ178" s="16" t="s">
        <v>120</v>
      </c>
      <c r="BK178" s="227">
        <f t="shared" si="32"/>
        <v>0</v>
      </c>
      <c r="BL178" s="16" t="s">
        <v>186</v>
      </c>
      <c r="BM178" s="147" t="s">
        <v>723</v>
      </c>
    </row>
    <row r="179" spans="1:65" s="2" customFormat="1" ht="16.5" customHeight="1" x14ac:dyDescent="0.2">
      <c r="A179" s="202"/>
      <c r="B179" s="135"/>
      <c r="C179" s="164" t="s">
        <v>724</v>
      </c>
      <c r="D179" s="164" t="s">
        <v>268</v>
      </c>
      <c r="E179" s="165" t="s">
        <v>725</v>
      </c>
      <c r="F179" s="166" t="s">
        <v>726</v>
      </c>
      <c r="G179" s="167" t="s">
        <v>146</v>
      </c>
      <c r="H179" s="168">
        <v>2</v>
      </c>
      <c r="I179" s="168"/>
      <c r="J179" s="168">
        <f t="shared" si="23"/>
        <v>0</v>
      </c>
      <c r="K179" s="170"/>
      <c r="L179" s="171"/>
      <c r="M179" s="172" t="s">
        <v>1</v>
      </c>
      <c r="N179" s="144"/>
      <c r="O179" s="145">
        <v>0</v>
      </c>
      <c r="P179" s="145">
        <f t="shared" si="24"/>
        <v>0</v>
      </c>
      <c r="Q179" s="145">
        <v>2E-3</v>
      </c>
      <c r="R179" s="145">
        <f t="shared" si="25"/>
        <v>4.0000000000000001E-3</v>
      </c>
      <c r="S179" s="145">
        <v>0</v>
      </c>
      <c r="T179" s="146">
        <f t="shared" si="26"/>
        <v>0</v>
      </c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R179" s="147" t="s">
        <v>237</v>
      </c>
      <c r="AT179" s="147" t="s">
        <v>268</v>
      </c>
      <c r="AU179" s="147" t="s">
        <v>120</v>
      </c>
      <c r="AY179" s="16" t="s">
        <v>113</v>
      </c>
      <c r="BE179" s="148">
        <f t="shared" si="27"/>
        <v>0</v>
      </c>
      <c r="BF179" s="148">
        <f t="shared" si="28"/>
        <v>0</v>
      </c>
      <c r="BG179" s="148">
        <f t="shared" si="29"/>
        <v>0</v>
      </c>
      <c r="BH179" s="148">
        <f t="shared" si="30"/>
        <v>0</v>
      </c>
      <c r="BI179" s="148">
        <f t="shared" si="31"/>
        <v>0</v>
      </c>
      <c r="BJ179" s="16" t="s">
        <v>120</v>
      </c>
      <c r="BK179" s="227">
        <f t="shared" si="32"/>
        <v>0</v>
      </c>
      <c r="BL179" s="16" t="s">
        <v>186</v>
      </c>
      <c r="BM179" s="147" t="s">
        <v>727</v>
      </c>
    </row>
    <row r="180" spans="1:65" s="2" customFormat="1" ht="21.75" customHeight="1" x14ac:dyDescent="0.2">
      <c r="A180" s="202"/>
      <c r="B180" s="135"/>
      <c r="C180" s="136" t="s">
        <v>728</v>
      </c>
      <c r="D180" s="136" t="s">
        <v>115</v>
      </c>
      <c r="E180" s="137" t="s">
        <v>729</v>
      </c>
      <c r="F180" s="138" t="s">
        <v>730</v>
      </c>
      <c r="G180" s="139" t="s">
        <v>674</v>
      </c>
      <c r="H180" s="140">
        <v>4</v>
      </c>
      <c r="I180" s="140"/>
      <c r="J180" s="140">
        <f t="shared" si="23"/>
        <v>0</v>
      </c>
      <c r="K180" s="142"/>
      <c r="L180" s="29"/>
      <c r="M180" s="143" t="s">
        <v>1</v>
      </c>
      <c r="N180" s="144"/>
      <c r="O180" s="145">
        <v>0.25</v>
      </c>
      <c r="P180" s="145">
        <f t="shared" si="24"/>
        <v>1</v>
      </c>
      <c r="Q180" s="145">
        <v>0</v>
      </c>
      <c r="R180" s="145">
        <f t="shared" si="25"/>
        <v>0</v>
      </c>
      <c r="S180" s="145">
        <v>2.5999999999999999E-3</v>
      </c>
      <c r="T180" s="146">
        <f t="shared" si="26"/>
        <v>1.04E-2</v>
      </c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R180" s="147" t="s">
        <v>186</v>
      </c>
      <c r="AT180" s="147" t="s">
        <v>115</v>
      </c>
      <c r="AU180" s="147" t="s">
        <v>120</v>
      </c>
      <c r="AY180" s="16" t="s">
        <v>113</v>
      </c>
      <c r="BE180" s="148">
        <f t="shared" si="27"/>
        <v>0</v>
      </c>
      <c r="BF180" s="148">
        <f t="shared" si="28"/>
        <v>0</v>
      </c>
      <c r="BG180" s="148">
        <f t="shared" si="29"/>
        <v>0</v>
      </c>
      <c r="BH180" s="148">
        <f t="shared" si="30"/>
        <v>0</v>
      </c>
      <c r="BI180" s="148">
        <f t="shared" si="31"/>
        <v>0</v>
      </c>
      <c r="BJ180" s="16" t="s">
        <v>120</v>
      </c>
      <c r="BK180" s="227">
        <f t="shared" si="32"/>
        <v>0</v>
      </c>
      <c r="BL180" s="16" t="s">
        <v>186</v>
      </c>
      <c r="BM180" s="147" t="s">
        <v>731</v>
      </c>
    </row>
    <row r="181" spans="1:65" s="2" customFormat="1" ht="21.75" customHeight="1" x14ac:dyDescent="0.2">
      <c r="A181" s="202"/>
      <c r="B181" s="135"/>
      <c r="C181" s="136" t="s">
        <v>732</v>
      </c>
      <c r="D181" s="136" t="s">
        <v>115</v>
      </c>
      <c r="E181" s="137" t="s">
        <v>733</v>
      </c>
      <c r="F181" s="138" t="s">
        <v>734</v>
      </c>
      <c r="G181" s="139" t="s">
        <v>146</v>
      </c>
      <c r="H181" s="140">
        <v>3</v>
      </c>
      <c r="I181" s="140"/>
      <c r="J181" s="140">
        <f t="shared" si="23"/>
        <v>0</v>
      </c>
      <c r="K181" s="142"/>
      <c r="L181" s="29"/>
      <c r="M181" s="143" t="s">
        <v>1</v>
      </c>
      <c r="N181" s="144"/>
      <c r="O181" s="145">
        <v>0.56554000000000004</v>
      </c>
      <c r="P181" s="145">
        <f t="shared" si="24"/>
        <v>1.6966200000000002</v>
      </c>
      <c r="Q181" s="145">
        <v>0</v>
      </c>
      <c r="R181" s="145">
        <f t="shared" si="25"/>
        <v>0</v>
      </c>
      <c r="S181" s="145">
        <v>0</v>
      </c>
      <c r="T181" s="146">
        <f t="shared" si="26"/>
        <v>0</v>
      </c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R181" s="147" t="s">
        <v>186</v>
      </c>
      <c r="AT181" s="147" t="s">
        <v>115</v>
      </c>
      <c r="AU181" s="147" t="s">
        <v>120</v>
      </c>
      <c r="AY181" s="16" t="s">
        <v>113</v>
      </c>
      <c r="BE181" s="148">
        <f t="shared" si="27"/>
        <v>0</v>
      </c>
      <c r="BF181" s="148">
        <f t="shared" si="28"/>
        <v>0</v>
      </c>
      <c r="BG181" s="148">
        <f t="shared" si="29"/>
        <v>0</v>
      </c>
      <c r="BH181" s="148">
        <f t="shared" si="30"/>
        <v>0</v>
      </c>
      <c r="BI181" s="148">
        <f t="shared" si="31"/>
        <v>0</v>
      </c>
      <c r="BJ181" s="16" t="s">
        <v>120</v>
      </c>
      <c r="BK181" s="227">
        <f t="shared" si="32"/>
        <v>0</v>
      </c>
      <c r="BL181" s="16" t="s">
        <v>186</v>
      </c>
      <c r="BM181" s="147" t="s">
        <v>735</v>
      </c>
    </row>
    <row r="182" spans="1:65" s="2" customFormat="1" ht="16.5" customHeight="1" x14ac:dyDescent="0.2">
      <c r="A182" s="202"/>
      <c r="B182" s="135"/>
      <c r="C182" s="164" t="s">
        <v>736</v>
      </c>
      <c r="D182" s="164" t="s">
        <v>268</v>
      </c>
      <c r="E182" s="165" t="s">
        <v>737</v>
      </c>
      <c r="F182" s="166" t="s">
        <v>738</v>
      </c>
      <c r="G182" s="167" t="s">
        <v>146</v>
      </c>
      <c r="H182" s="168">
        <v>3</v>
      </c>
      <c r="I182" s="168"/>
      <c r="J182" s="168">
        <f t="shared" si="23"/>
        <v>0</v>
      </c>
      <c r="K182" s="170"/>
      <c r="L182" s="171"/>
      <c r="M182" s="172" t="s">
        <v>1</v>
      </c>
      <c r="N182" s="144"/>
      <c r="O182" s="145">
        <v>0</v>
      </c>
      <c r="P182" s="145">
        <f t="shared" si="24"/>
        <v>0</v>
      </c>
      <c r="Q182" s="145">
        <v>2E-3</v>
      </c>
      <c r="R182" s="145">
        <f t="shared" si="25"/>
        <v>6.0000000000000001E-3</v>
      </c>
      <c r="S182" s="145">
        <v>0</v>
      </c>
      <c r="T182" s="146">
        <f t="shared" si="26"/>
        <v>0</v>
      </c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R182" s="147" t="s">
        <v>237</v>
      </c>
      <c r="AT182" s="147" t="s">
        <v>268</v>
      </c>
      <c r="AU182" s="147" t="s">
        <v>120</v>
      </c>
      <c r="AY182" s="16" t="s">
        <v>113</v>
      </c>
      <c r="BE182" s="148">
        <f t="shared" si="27"/>
        <v>0</v>
      </c>
      <c r="BF182" s="148">
        <f t="shared" si="28"/>
        <v>0</v>
      </c>
      <c r="BG182" s="148">
        <f t="shared" si="29"/>
        <v>0</v>
      </c>
      <c r="BH182" s="148">
        <f t="shared" si="30"/>
        <v>0</v>
      </c>
      <c r="BI182" s="148">
        <f t="shared" si="31"/>
        <v>0</v>
      </c>
      <c r="BJ182" s="16" t="s">
        <v>120</v>
      </c>
      <c r="BK182" s="227">
        <f t="shared" si="32"/>
        <v>0</v>
      </c>
      <c r="BL182" s="16" t="s">
        <v>186</v>
      </c>
      <c r="BM182" s="147" t="s">
        <v>739</v>
      </c>
    </row>
    <row r="183" spans="1:65" s="2" customFormat="1" ht="16.5" customHeight="1" x14ac:dyDescent="0.2">
      <c r="A183" s="202"/>
      <c r="B183" s="135"/>
      <c r="C183" s="136" t="s">
        <v>740</v>
      </c>
      <c r="D183" s="136" t="s">
        <v>115</v>
      </c>
      <c r="E183" s="137" t="s">
        <v>741</v>
      </c>
      <c r="F183" s="138" t="s">
        <v>742</v>
      </c>
      <c r="G183" s="139" t="s">
        <v>146</v>
      </c>
      <c r="H183" s="140">
        <v>1</v>
      </c>
      <c r="I183" s="140"/>
      <c r="J183" s="140">
        <f t="shared" si="23"/>
        <v>0</v>
      </c>
      <c r="K183" s="142"/>
      <c r="L183" s="29"/>
      <c r="M183" s="143" t="s">
        <v>1</v>
      </c>
      <c r="N183" s="144"/>
      <c r="O183" s="145">
        <v>0.20075000000000001</v>
      </c>
      <c r="P183" s="145">
        <f t="shared" si="24"/>
        <v>0.20075000000000001</v>
      </c>
      <c r="Q183" s="145">
        <v>0</v>
      </c>
      <c r="R183" s="145">
        <f t="shared" si="25"/>
        <v>0</v>
      </c>
      <c r="S183" s="145">
        <v>0</v>
      </c>
      <c r="T183" s="146">
        <f t="shared" si="26"/>
        <v>0</v>
      </c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R183" s="147" t="s">
        <v>186</v>
      </c>
      <c r="AT183" s="147" t="s">
        <v>115</v>
      </c>
      <c r="AU183" s="147" t="s">
        <v>120</v>
      </c>
      <c r="AY183" s="16" t="s">
        <v>113</v>
      </c>
      <c r="BE183" s="148">
        <f t="shared" si="27"/>
        <v>0</v>
      </c>
      <c r="BF183" s="148">
        <f t="shared" si="28"/>
        <v>0</v>
      </c>
      <c r="BG183" s="148">
        <f t="shared" si="29"/>
        <v>0</v>
      </c>
      <c r="BH183" s="148">
        <f t="shared" si="30"/>
        <v>0</v>
      </c>
      <c r="BI183" s="148">
        <f t="shared" si="31"/>
        <v>0</v>
      </c>
      <c r="BJ183" s="16" t="s">
        <v>120</v>
      </c>
      <c r="BK183" s="227">
        <f t="shared" si="32"/>
        <v>0</v>
      </c>
      <c r="BL183" s="16" t="s">
        <v>186</v>
      </c>
      <c r="BM183" s="147" t="s">
        <v>743</v>
      </c>
    </row>
    <row r="184" spans="1:65" s="2" customFormat="1" ht="16.5" customHeight="1" x14ac:dyDescent="0.2">
      <c r="A184" s="202"/>
      <c r="B184" s="135"/>
      <c r="C184" s="164" t="s">
        <v>744</v>
      </c>
      <c r="D184" s="164" t="s">
        <v>268</v>
      </c>
      <c r="E184" s="165" t="s">
        <v>745</v>
      </c>
      <c r="F184" s="166" t="s">
        <v>746</v>
      </c>
      <c r="G184" s="167" t="s">
        <v>146</v>
      </c>
      <c r="H184" s="168">
        <v>1</v>
      </c>
      <c r="I184" s="168"/>
      <c r="J184" s="168">
        <f t="shared" si="23"/>
        <v>0</v>
      </c>
      <c r="K184" s="170"/>
      <c r="L184" s="171"/>
      <c r="M184" s="172" t="s">
        <v>1</v>
      </c>
      <c r="N184" s="144"/>
      <c r="O184" s="145">
        <v>0</v>
      </c>
      <c r="P184" s="145">
        <f t="shared" si="24"/>
        <v>0</v>
      </c>
      <c r="Q184" s="145">
        <v>1.4E-3</v>
      </c>
      <c r="R184" s="145">
        <f t="shared" si="25"/>
        <v>1.4E-3</v>
      </c>
      <c r="S184" s="145">
        <v>0</v>
      </c>
      <c r="T184" s="146">
        <f t="shared" si="26"/>
        <v>0</v>
      </c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R184" s="147" t="s">
        <v>237</v>
      </c>
      <c r="AT184" s="147" t="s">
        <v>268</v>
      </c>
      <c r="AU184" s="147" t="s">
        <v>120</v>
      </c>
      <c r="AY184" s="16" t="s">
        <v>113</v>
      </c>
      <c r="BE184" s="148">
        <f t="shared" si="27"/>
        <v>0</v>
      </c>
      <c r="BF184" s="148">
        <f t="shared" si="28"/>
        <v>0</v>
      </c>
      <c r="BG184" s="148">
        <f t="shared" si="29"/>
        <v>0</v>
      </c>
      <c r="BH184" s="148">
        <f t="shared" si="30"/>
        <v>0</v>
      </c>
      <c r="BI184" s="148">
        <f t="shared" si="31"/>
        <v>0</v>
      </c>
      <c r="BJ184" s="16" t="s">
        <v>120</v>
      </c>
      <c r="BK184" s="227">
        <f t="shared" si="32"/>
        <v>0</v>
      </c>
      <c r="BL184" s="16" t="s">
        <v>186</v>
      </c>
      <c r="BM184" s="147" t="s">
        <v>747</v>
      </c>
    </row>
    <row r="185" spans="1:65" s="2" customFormat="1" ht="21.75" customHeight="1" x14ac:dyDescent="0.2">
      <c r="A185" s="202"/>
      <c r="B185" s="135"/>
      <c r="C185" s="136" t="s">
        <v>748</v>
      </c>
      <c r="D185" s="136" t="s">
        <v>115</v>
      </c>
      <c r="E185" s="137" t="s">
        <v>749</v>
      </c>
      <c r="F185" s="138" t="s">
        <v>750</v>
      </c>
      <c r="G185" s="139" t="s">
        <v>146</v>
      </c>
      <c r="H185" s="140">
        <v>3</v>
      </c>
      <c r="I185" s="140"/>
      <c r="J185" s="140">
        <f t="shared" si="23"/>
        <v>0</v>
      </c>
      <c r="K185" s="142"/>
      <c r="L185" s="29"/>
      <c r="M185" s="143" t="s">
        <v>1</v>
      </c>
      <c r="N185" s="144"/>
      <c r="O185" s="145">
        <v>0.15615999999999999</v>
      </c>
      <c r="P185" s="145">
        <f t="shared" si="24"/>
        <v>0.46848000000000001</v>
      </c>
      <c r="Q185" s="145">
        <v>0</v>
      </c>
      <c r="R185" s="145">
        <f t="shared" si="25"/>
        <v>0</v>
      </c>
      <c r="S185" s="145">
        <v>0</v>
      </c>
      <c r="T185" s="146">
        <f t="shared" si="26"/>
        <v>0</v>
      </c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R185" s="147" t="s">
        <v>186</v>
      </c>
      <c r="AT185" s="147" t="s">
        <v>115</v>
      </c>
      <c r="AU185" s="147" t="s">
        <v>120</v>
      </c>
      <c r="AY185" s="16" t="s">
        <v>113</v>
      </c>
      <c r="BE185" s="148">
        <f t="shared" si="27"/>
        <v>0</v>
      </c>
      <c r="BF185" s="148">
        <f t="shared" si="28"/>
        <v>0</v>
      </c>
      <c r="BG185" s="148">
        <f t="shared" si="29"/>
        <v>0</v>
      </c>
      <c r="BH185" s="148">
        <f t="shared" si="30"/>
        <v>0</v>
      </c>
      <c r="BI185" s="148">
        <f t="shared" si="31"/>
        <v>0</v>
      </c>
      <c r="BJ185" s="16" t="s">
        <v>120</v>
      </c>
      <c r="BK185" s="227">
        <f t="shared" si="32"/>
        <v>0</v>
      </c>
      <c r="BL185" s="16" t="s">
        <v>186</v>
      </c>
      <c r="BM185" s="147" t="s">
        <v>751</v>
      </c>
    </row>
    <row r="186" spans="1:65" s="2" customFormat="1" ht="16.5" customHeight="1" x14ac:dyDescent="0.2">
      <c r="A186" s="202"/>
      <c r="B186" s="135"/>
      <c r="C186" s="164" t="s">
        <v>752</v>
      </c>
      <c r="D186" s="164" t="s">
        <v>268</v>
      </c>
      <c r="E186" s="165" t="s">
        <v>753</v>
      </c>
      <c r="F186" s="166" t="s">
        <v>754</v>
      </c>
      <c r="G186" s="167" t="s">
        <v>146</v>
      </c>
      <c r="H186" s="168">
        <v>3</v>
      </c>
      <c r="I186" s="168"/>
      <c r="J186" s="168">
        <f t="shared" si="23"/>
        <v>0</v>
      </c>
      <c r="K186" s="170"/>
      <c r="L186" s="171"/>
      <c r="M186" s="172" t="s">
        <v>1</v>
      </c>
      <c r="N186" s="144"/>
      <c r="O186" s="145">
        <v>0</v>
      </c>
      <c r="P186" s="145">
        <f t="shared" si="24"/>
        <v>0</v>
      </c>
      <c r="Q186" s="145">
        <v>3.3E-4</v>
      </c>
      <c r="R186" s="145">
        <f t="shared" si="25"/>
        <v>9.8999999999999999E-4</v>
      </c>
      <c r="S186" s="145">
        <v>0</v>
      </c>
      <c r="T186" s="146">
        <f t="shared" si="26"/>
        <v>0</v>
      </c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R186" s="147" t="s">
        <v>237</v>
      </c>
      <c r="AT186" s="147" t="s">
        <v>268</v>
      </c>
      <c r="AU186" s="147" t="s">
        <v>120</v>
      </c>
      <c r="AY186" s="16" t="s">
        <v>113</v>
      </c>
      <c r="BE186" s="148">
        <f t="shared" si="27"/>
        <v>0</v>
      </c>
      <c r="BF186" s="148">
        <f t="shared" si="28"/>
        <v>0</v>
      </c>
      <c r="BG186" s="148">
        <f t="shared" si="29"/>
        <v>0</v>
      </c>
      <c r="BH186" s="148">
        <f t="shared" si="30"/>
        <v>0</v>
      </c>
      <c r="BI186" s="148">
        <f t="shared" si="31"/>
        <v>0</v>
      </c>
      <c r="BJ186" s="16" t="s">
        <v>120</v>
      </c>
      <c r="BK186" s="227">
        <f t="shared" si="32"/>
        <v>0</v>
      </c>
      <c r="BL186" s="16" t="s">
        <v>186</v>
      </c>
      <c r="BM186" s="147" t="s">
        <v>755</v>
      </c>
    </row>
    <row r="187" spans="1:65" s="2" customFormat="1" ht="21.75" customHeight="1" x14ac:dyDescent="0.2">
      <c r="A187" s="202"/>
      <c r="B187" s="135"/>
      <c r="C187" s="136" t="s">
        <v>756</v>
      </c>
      <c r="D187" s="136" t="s">
        <v>115</v>
      </c>
      <c r="E187" s="137" t="s">
        <v>757</v>
      </c>
      <c r="F187" s="138" t="s">
        <v>758</v>
      </c>
      <c r="G187" s="139" t="s">
        <v>146</v>
      </c>
      <c r="H187" s="140">
        <v>1</v>
      </c>
      <c r="I187" s="140"/>
      <c r="J187" s="140">
        <f t="shared" si="23"/>
        <v>0</v>
      </c>
      <c r="K187" s="142"/>
      <c r="L187" s="29"/>
      <c r="M187" s="143" t="s">
        <v>1</v>
      </c>
      <c r="N187" s="144"/>
      <c r="O187" s="145">
        <v>0.15615999999999999</v>
      </c>
      <c r="P187" s="145">
        <f t="shared" si="24"/>
        <v>0.15615999999999999</v>
      </c>
      <c r="Q187" s="145">
        <v>0</v>
      </c>
      <c r="R187" s="145">
        <f t="shared" si="25"/>
        <v>0</v>
      </c>
      <c r="S187" s="145">
        <v>0</v>
      </c>
      <c r="T187" s="146">
        <f t="shared" si="26"/>
        <v>0</v>
      </c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R187" s="147" t="s">
        <v>186</v>
      </c>
      <c r="AT187" s="147" t="s">
        <v>115</v>
      </c>
      <c r="AU187" s="147" t="s">
        <v>120</v>
      </c>
      <c r="AY187" s="16" t="s">
        <v>113</v>
      </c>
      <c r="BE187" s="148">
        <f t="shared" si="27"/>
        <v>0</v>
      </c>
      <c r="BF187" s="148">
        <f t="shared" si="28"/>
        <v>0</v>
      </c>
      <c r="BG187" s="148">
        <f t="shared" si="29"/>
        <v>0</v>
      </c>
      <c r="BH187" s="148">
        <f t="shared" si="30"/>
        <v>0</v>
      </c>
      <c r="BI187" s="148">
        <f t="shared" si="31"/>
        <v>0</v>
      </c>
      <c r="BJ187" s="16" t="s">
        <v>120</v>
      </c>
      <c r="BK187" s="227">
        <f t="shared" si="32"/>
        <v>0</v>
      </c>
      <c r="BL187" s="16" t="s">
        <v>186</v>
      </c>
      <c r="BM187" s="147" t="s">
        <v>759</v>
      </c>
    </row>
    <row r="188" spans="1:65" s="2" customFormat="1" ht="16.5" customHeight="1" x14ac:dyDescent="0.2">
      <c r="A188" s="202"/>
      <c r="B188" s="135"/>
      <c r="C188" s="164" t="s">
        <v>760</v>
      </c>
      <c r="D188" s="164" t="s">
        <v>268</v>
      </c>
      <c r="E188" s="165" t="s">
        <v>761</v>
      </c>
      <c r="F188" s="166" t="s">
        <v>762</v>
      </c>
      <c r="G188" s="167" t="s">
        <v>146</v>
      </c>
      <c r="H188" s="168">
        <v>1</v>
      </c>
      <c r="I188" s="168"/>
      <c r="J188" s="168">
        <f t="shared" si="23"/>
        <v>0</v>
      </c>
      <c r="K188" s="170"/>
      <c r="L188" s="171"/>
      <c r="M188" s="172" t="s">
        <v>1</v>
      </c>
      <c r="N188" s="144"/>
      <c r="O188" s="145">
        <v>0</v>
      </c>
      <c r="P188" s="145">
        <f t="shared" si="24"/>
        <v>0</v>
      </c>
      <c r="Q188" s="145">
        <v>2.5999999999999998E-4</v>
      </c>
      <c r="R188" s="145">
        <f t="shared" si="25"/>
        <v>2.5999999999999998E-4</v>
      </c>
      <c r="S188" s="145">
        <v>0</v>
      </c>
      <c r="T188" s="146">
        <f t="shared" si="26"/>
        <v>0</v>
      </c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R188" s="147" t="s">
        <v>237</v>
      </c>
      <c r="AT188" s="147" t="s">
        <v>268</v>
      </c>
      <c r="AU188" s="147" t="s">
        <v>120</v>
      </c>
      <c r="AY188" s="16" t="s">
        <v>113</v>
      </c>
      <c r="BE188" s="148">
        <f t="shared" si="27"/>
        <v>0</v>
      </c>
      <c r="BF188" s="148">
        <f t="shared" si="28"/>
        <v>0</v>
      </c>
      <c r="BG188" s="148">
        <f t="shared" si="29"/>
        <v>0</v>
      </c>
      <c r="BH188" s="148">
        <f t="shared" si="30"/>
        <v>0</v>
      </c>
      <c r="BI188" s="148">
        <f t="shared" si="31"/>
        <v>0</v>
      </c>
      <c r="BJ188" s="16" t="s">
        <v>120</v>
      </c>
      <c r="BK188" s="227">
        <f t="shared" si="32"/>
        <v>0</v>
      </c>
      <c r="BL188" s="16" t="s">
        <v>186</v>
      </c>
      <c r="BM188" s="147" t="s">
        <v>763</v>
      </c>
    </row>
    <row r="189" spans="1:65" s="2" customFormat="1" ht="21.75" customHeight="1" x14ac:dyDescent="0.2">
      <c r="A189" s="202"/>
      <c r="B189" s="135"/>
      <c r="C189" s="136" t="s">
        <v>764</v>
      </c>
      <c r="D189" s="136" t="s">
        <v>115</v>
      </c>
      <c r="E189" s="137" t="s">
        <v>765</v>
      </c>
      <c r="F189" s="138" t="s">
        <v>766</v>
      </c>
      <c r="G189" s="139" t="s">
        <v>583</v>
      </c>
      <c r="H189" s="140">
        <v>16.204999999999998</v>
      </c>
      <c r="I189" s="140"/>
      <c r="J189" s="140">
        <f t="shared" si="23"/>
        <v>0</v>
      </c>
      <c r="K189" s="142"/>
      <c r="L189" s="29"/>
      <c r="M189" s="174" t="s">
        <v>1</v>
      </c>
      <c r="N189" s="144"/>
      <c r="O189" s="176">
        <v>0</v>
      </c>
      <c r="P189" s="176">
        <f t="shared" si="24"/>
        <v>0</v>
      </c>
      <c r="Q189" s="176">
        <v>0</v>
      </c>
      <c r="R189" s="176">
        <f t="shared" si="25"/>
        <v>0</v>
      </c>
      <c r="S189" s="176">
        <v>0</v>
      </c>
      <c r="T189" s="177">
        <f t="shared" si="26"/>
        <v>0</v>
      </c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R189" s="147" t="s">
        <v>186</v>
      </c>
      <c r="AT189" s="147" t="s">
        <v>115</v>
      </c>
      <c r="AU189" s="147" t="s">
        <v>120</v>
      </c>
      <c r="AY189" s="16" t="s">
        <v>113</v>
      </c>
      <c r="BE189" s="148">
        <f t="shared" si="27"/>
        <v>0</v>
      </c>
      <c r="BF189" s="148">
        <f t="shared" si="28"/>
        <v>0</v>
      </c>
      <c r="BG189" s="148">
        <f t="shared" si="29"/>
        <v>0</v>
      </c>
      <c r="BH189" s="148">
        <f t="shared" si="30"/>
        <v>0</v>
      </c>
      <c r="BI189" s="148">
        <f t="shared" si="31"/>
        <v>0</v>
      </c>
      <c r="BJ189" s="16" t="s">
        <v>120</v>
      </c>
      <c r="BK189" s="227">
        <f t="shared" si="32"/>
        <v>0</v>
      </c>
      <c r="BL189" s="16" t="s">
        <v>186</v>
      </c>
      <c r="BM189" s="147" t="s">
        <v>767</v>
      </c>
    </row>
    <row r="190" spans="1:65" s="2" customFormat="1" ht="6.95" customHeight="1" x14ac:dyDescent="0.2">
      <c r="A190" s="202"/>
      <c r="B190" s="43"/>
      <c r="C190" s="44"/>
      <c r="D190" s="44"/>
      <c r="E190" s="44"/>
      <c r="F190" s="44"/>
      <c r="G190" s="44"/>
      <c r="H190" s="44"/>
      <c r="I190" s="44"/>
      <c r="J190" s="44"/>
      <c r="K190" s="44"/>
      <c r="L190" s="29"/>
      <c r="M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</row>
  </sheetData>
  <autoFilter ref="C120:K189" xr:uid="{00000000-0009-0000-0000-000002000000}"/>
  <mergeCells count="6">
    <mergeCell ref="E113:H113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90"/>
  <sheetViews>
    <sheetView showGridLines="0" workbookViewId="0">
      <selection activeCell="N103" sqref="N103"/>
    </sheetView>
  </sheetViews>
  <sheetFormatPr defaultRowHeight="11.25" x14ac:dyDescent="0.2"/>
  <cols>
    <col min="1" max="1" width="8.33203125" style="196" customWidth="1"/>
    <col min="2" max="2" width="1.6640625" style="196" customWidth="1"/>
    <col min="3" max="3" width="4.1640625" style="196" customWidth="1"/>
    <col min="4" max="4" width="4.33203125" style="196" customWidth="1"/>
    <col min="5" max="5" width="17.1640625" style="196" customWidth="1"/>
    <col min="6" max="6" width="50.83203125" style="196" customWidth="1"/>
    <col min="7" max="7" width="7" style="196" customWidth="1"/>
    <col min="8" max="8" width="11.5" style="196" customWidth="1"/>
    <col min="9" max="10" width="20.1640625" style="196" customWidth="1"/>
    <col min="11" max="11" width="20.1640625" style="196" hidden="1" customWidth="1"/>
    <col min="12" max="12" width="9.33203125" style="196" customWidth="1"/>
    <col min="13" max="13" width="10.83203125" style="196" hidden="1" customWidth="1"/>
    <col min="14" max="14" width="9.33203125" style="196"/>
    <col min="15" max="20" width="14.1640625" style="196" hidden="1" customWidth="1"/>
    <col min="21" max="21" width="16.33203125" style="196" hidden="1" customWidth="1"/>
    <col min="22" max="22" width="12.33203125" style="196" customWidth="1"/>
    <col min="23" max="23" width="16.33203125" style="196" customWidth="1"/>
    <col min="24" max="24" width="12.33203125" style="196" customWidth="1"/>
    <col min="25" max="25" width="15" style="196" customWidth="1"/>
    <col min="26" max="26" width="11" style="196" customWidth="1"/>
    <col min="27" max="27" width="15" style="196" customWidth="1"/>
    <col min="28" max="28" width="16.33203125" style="196" customWidth="1"/>
    <col min="29" max="29" width="11" style="196" customWidth="1"/>
    <col min="30" max="30" width="15" style="196" customWidth="1"/>
    <col min="31" max="31" width="16.33203125" style="196" customWidth="1"/>
    <col min="32" max="16384" width="9.33203125" style="196"/>
  </cols>
  <sheetData>
    <row r="1" spans="1:46" x14ac:dyDescent="0.2">
      <c r="A1" s="84"/>
    </row>
    <row r="2" spans="1:46" ht="36.950000000000003" customHeight="1" x14ac:dyDescent="0.2">
      <c r="L2" s="419" t="s">
        <v>5</v>
      </c>
      <c r="M2" s="399"/>
      <c r="N2" s="399"/>
      <c r="O2" s="399"/>
      <c r="P2" s="399"/>
      <c r="Q2" s="399"/>
      <c r="R2" s="399"/>
      <c r="S2" s="399"/>
      <c r="T2" s="399"/>
      <c r="U2" s="399"/>
      <c r="V2" s="399"/>
      <c r="AT2" s="16" t="s">
        <v>785</v>
      </c>
    </row>
    <row r="3" spans="1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ht="24.95" customHeight="1" x14ac:dyDescent="0.2">
      <c r="B4" s="19"/>
      <c r="D4" s="276" t="s">
        <v>1134</v>
      </c>
      <c r="L4" s="19"/>
      <c r="M4" s="305" t="s">
        <v>9</v>
      </c>
      <c r="AT4" s="16" t="s">
        <v>3</v>
      </c>
    </row>
    <row r="5" spans="1:46" ht="6.95" customHeight="1" x14ac:dyDescent="0.2">
      <c r="B5" s="19"/>
      <c r="L5" s="19"/>
    </row>
    <row r="6" spans="1:46" ht="12" customHeight="1" x14ac:dyDescent="0.2">
      <c r="B6" s="19"/>
      <c r="D6" s="273" t="s">
        <v>12</v>
      </c>
      <c r="L6" s="19"/>
    </row>
    <row r="7" spans="1:46" ht="16.5" customHeight="1" x14ac:dyDescent="0.2">
      <c r="B7" s="19"/>
      <c r="E7" s="417" t="s">
        <v>512</v>
      </c>
      <c r="F7" s="418"/>
      <c r="G7" s="418"/>
      <c r="H7" s="418"/>
      <c r="L7" s="19"/>
    </row>
    <row r="8" spans="1:46" s="2" customFormat="1" ht="12" customHeight="1" x14ac:dyDescent="0.2">
      <c r="A8" s="202"/>
      <c r="B8" s="29"/>
      <c r="C8" s="202"/>
      <c r="D8" s="273" t="s">
        <v>783</v>
      </c>
      <c r="E8" s="202"/>
      <c r="F8" s="202"/>
      <c r="G8" s="202"/>
      <c r="H8" s="202"/>
      <c r="I8" s="202"/>
      <c r="J8" s="202"/>
      <c r="K8" s="202"/>
      <c r="L8" s="38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</row>
    <row r="9" spans="1:46" s="2" customFormat="1" ht="16.5" customHeight="1" x14ac:dyDescent="0.2">
      <c r="A9" s="202"/>
      <c r="B9" s="29"/>
      <c r="C9" s="202"/>
      <c r="D9" s="202"/>
      <c r="E9" s="416" t="s">
        <v>786</v>
      </c>
      <c r="F9" s="413"/>
      <c r="G9" s="413"/>
      <c r="H9" s="413"/>
      <c r="I9" s="202"/>
      <c r="J9" s="202"/>
      <c r="K9" s="202"/>
      <c r="L9" s="38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</row>
    <row r="10" spans="1:46" s="2" customFormat="1" x14ac:dyDescent="0.2">
      <c r="A10" s="202"/>
      <c r="B10" s="29"/>
      <c r="C10" s="202"/>
      <c r="D10" s="202"/>
      <c r="E10" s="202"/>
      <c r="F10" s="202"/>
      <c r="G10" s="202"/>
      <c r="H10" s="202"/>
      <c r="I10" s="202"/>
      <c r="J10" s="202"/>
      <c r="K10" s="202"/>
      <c r="L10" s="38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</row>
    <row r="11" spans="1:46" s="2" customFormat="1" ht="12" customHeight="1" x14ac:dyDescent="0.2">
      <c r="A11" s="202"/>
      <c r="B11" s="29"/>
      <c r="C11" s="202"/>
      <c r="D11" s="273" t="s">
        <v>14</v>
      </c>
      <c r="E11" s="202"/>
      <c r="F11" s="274" t="s">
        <v>1</v>
      </c>
      <c r="G11" s="202"/>
      <c r="H11" s="202"/>
      <c r="I11" s="273" t="s">
        <v>15</v>
      </c>
      <c r="J11" s="274" t="s">
        <v>1</v>
      </c>
      <c r="K11" s="202"/>
      <c r="L11" s="38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</row>
    <row r="12" spans="1:46" s="2" customFormat="1" ht="12" customHeight="1" x14ac:dyDescent="0.2">
      <c r="A12" s="202"/>
      <c r="B12" s="29"/>
      <c r="C12" s="202"/>
      <c r="D12" s="273" t="s">
        <v>16</v>
      </c>
      <c r="E12" s="202"/>
      <c r="F12" s="274" t="s">
        <v>17</v>
      </c>
      <c r="G12" s="202"/>
      <c r="H12" s="202"/>
      <c r="I12" s="273" t="s">
        <v>18</v>
      </c>
      <c r="J12" s="275"/>
      <c r="K12" s="202"/>
      <c r="L12" s="38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</row>
    <row r="13" spans="1:46" s="2" customFormat="1" ht="10.9" customHeight="1" x14ac:dyDescent="0.2">
      <c r="A13" s="202"/>
      <c r="B13" s="29"/>
      <c r="C13" s="202"/>
      <c r="D13" s="202"/>
      <c r="E13" s="202"/>
      <c r="F13" s="202"/>
      <c r="G13" s="202"/>
      <c r="H13" s="202"/>
      <c r="I13" s="202"/>
      <c r="J13" s="202"/>
      <c r="K13" s="202"/>
      <c r="L13" s="38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</row>
    <row r="14" spans="1:46" s="2" customFormat="1" ht="12" customHeight="1" x14ac:dyDescent="0.2">
      <c r="A14" s="202"/>
      <c r="B14" s="29"/>
      <c r="C14" s="202"/>
      <c r="D14" s="273" t="s">
        <v>19</v>
      </c>
      <c r="E14" s="202"/>
      <c r="F14" s="375" t="s">
        <v>1137</v>
      </c>
      <c r="G14" s="202"/>
      <c r="H14" s="202"/>
      <c r="I14" s="273" t="s">
        <v>20</v>
      </c>
      <c r="J14" s="274" t="str">
        <f>IF('[2]Rekapitulácia stavby'!AN10="","",'[2]Rekapitulácia stavby'!AN10)</f>
        <v/>
      </c>
      <c r="K14" s="202"/>
      <c r="L14" s="38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</row>
    <row r="15" spans="1:46" s="2" customFormat="1" ht="18" customHeight="1" x14ac:dyDescent="0.2">
      <c r="A15" s="202"/>
      <c r="B15" s="29"/>
      <c r="C15" s="202"/>
      <c r="D15" s="202"/>
      <c r="E15" s="274" t="str">
        <f>IF('[2]Rekapitulácia stavby'!E11="","",'[2]Rekapitulácia stavby'!E11)</f>
        <v xml:space="preserve"> </v>
      </c>
      <c r="F15" s="202"/>
      <c r="G15" s="202"/>
      <c r="H15" s="202"/>
      <c r="I15" s="273" t="s">
        <v>22</v>
      </c>
      <c r="J15" s="274" t="str">
        <f>IF('[2]Rekapitulácia stavby'!AN11="","",'[2]Rekapitulácia stavby'!AN11)</f>
        <v/>
      </c>
      <c r="K15" s="202"/>
      <c r="L15" s="38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</row>
    <row r="16" spans="1:46" s="2" customFormat="1" ht="6.95" customHeight="1" x14ac:dyDescent="0.2">
      <c r="A16" s="202"/>
      <c r="B16" s="29"/>
      <c r="C16" s="202"/>
      <c r="D16" s="202"/>
      <c r="E16" s="202"/>
      <c r="F16" s="202"/>
      <c r="G16" s="202"/>
      <c r="H16" s="202"/>
      <c r="I16" s="202"/>
      <c r="J16" s="202"/>
      <c r="K16" s="202"/>
      <c r="L16" s="38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</row>
    <row r="17" spans="1:31" s="2" customFormat="1" ht="12" customHeight="1" x14ac:dyDescent="0.2">
      <c r="A17" s="202"/>
      <c r="B17" s="29"/>
      <c r="C17" s="202"/>
      <c r="D17" s="273" t="s">
        <v>23</v>
      </c>
      <c r="E17" s="202"/>
      <c r="F17" s="202"/>
      <c r="G17" s="202"/>
      <c r="H17" s="202"/>
      <c r="I17" s="273" t="s">
        <v>20</v>
      </c>
      <c r="J17" s="274" t="str">
        <f>'[2]Rekapitulácia stavby'!AN13</f>
        <v/>
      </c>
      <c r="K17" s="202"/>
      <c r="L17" s="38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</row>
    <row r="18" spans="1:31" s="2" customFormat="1" ht="18" customHeight="1" x14ac:dyDescent="0.2">
      <c r="A18" s="202"/>
      <c r="B18" s="29"/>
      <c r="C18" s="202"/>
      <c r="D18" s="202"/>
      <c r="E18" s="420" t="str">
        <f>'[2]Rekapitulácia stavby'!E14</f>
        <v xml:space="preserve"> </v>
      </c>
      <c r="F18" s="420"/>
      <c r="G18" s="420"/>
      <c r="H18" s="420"/>
      <c r="I18" s="273" t="s">
        <v>22</v>
      </c>
      <c r="J18" s="274" t="str">
        <f>'[2]Rekapitulácia stavby'!AN14</f>
        <v/>
      </c>
      <c r="K18" s="202"/>
      <c r="L18" s="38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</row>
    <row r="19" spans="1:31" s="2" customFormat="1" ht="6.95" customHeight="1" x14ac:dyDescent="0.2">
      <c r="A19" s="202"/>
      <c r="B19" s="29"/>
      <c r="C19" s="202"/>
      <c r="D19" s="202"/>
      <c r="E19" s="202"/>
      <c r="F19" s="202"/>
      <c r="G19" s="202"/>
      <c r="H19" s="202"/>
      <c r="I19" s="202"/>
      <c r="J19" s="202"/>
      <c r="K19" s="202"/>
      <c r="L19" s="38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</row>
    <row r="20" spans="1:31" s="2" customFormat="1" ht="12" customHeight="1" x14ac:dyDescent="0.2">
      <c r="A20" s="202"/>
      <c r="B20" s="29"/>
      <c r="C20" s="202"/>
      <c r="D20" s="273" t="s">
        <v>24</v>
      </c>
      <c r="E20" s="202"/>
      <c r="F20" s="202"/>
      <c r="G20" s="202"/>
      <c r="H20" s="202"/>
      <c r="I20" s="273" t="s">
        <v>20</v>
      </c>
      <c r="J20" s="274" t="s">
        <v>25</v>
      </c>
      <c r="K20" s="202"/>
      <c r="L20" s="38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</row>
    <row r="21" spans="1:31" s="2" customFormat="1" ht="18" customHeight="1" x14ac:dyDescent="0.2">
      <c r="A21" s="202"/>
      <c r="B21" s="29"/>
      <c r="C21" s="202"/>
      <c r="D21" s="202"/>
      <c r="E21" s="274" t="s">
        <v>26</v>
      </c>
      <c r="F21" s="202"/>
      <c r="G21" s="202"/>
      <c r="H21" s="202"/>
      <c r="I21" s="273" t="s">
        <v>22</v>
      </c>
      <c r="J21" s="274" t="s">
        <v>27</v>
      </c>
      <c r="K21" s="202"/>
      <c r="L21" s="38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</row>
    <row r="22" spans="1:31" s="2" customFormat="1" ht="6.95" customHeight="1" x14ac:dyDescent="0.2">
      <c r="A22" s="202"/>
      <c r="B22" s="29"/>
      <c r="C22" s="202"/>
      <c r="D22" s="202"/>
      <c r="E22" s="202"/>
      <c r="F22" s="202"/>
      <c r="G22" s="202"/>
      <c r="H22" s="202"/>
      <c r="I22" s="202"/>
      <c r="J22" s="202"/>
      <c r="K22" s="202"/>
      <c r="L22" s="38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</row>
    <row r="23" spans="1:31" s="2" customFormat="1" ht="12" customHeight="1" x14ac:dyDescent="0.2">
      <c r="A23" s="202"/>
      <c r="B23" s="29"/>
      <c r="C23" s="202"/>
      <c r="D23" s="273" t="s">
        <v>29</v>
      </c>
      <c r="E23" s="202"/>
      <c r="F23" s="202"/>
      <c r="G23" s="202"/>
      <c r="H23" s="202"/>
      <c r="I23" s="273" t="s">
        <v>20</v>
      </c>
      <c r="J23" s="274"/>
      <c r="K23" s="202"/>
      <c r="L23" s="38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</row>
    <row r="24" spans="1:31" s="2" customFormat="1" ht="18" customHeight="1" x14ac:dyDescent="0.2">
      <c r="A24" s="202"/>
      <c r="B24" s="29"/>
      <c r="C24" s="202"/>
      <c r="D24" s="202"/>
      <c r="E24" s="274"/>
      <c r="F24" s="202"/>
      <c r="G24" s="202"/>
      <c r="H24" s="202"/>
      <c r="I24" s="273" t="s">
        <v>22</v>
      </c>
      <c r="J24" s="274"/>
      <c r="K24" s="202"/>
      <c r="L24" s="38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</row>
    <row r="25" spans="1:31" s="2" customFormat="1" ht="6.95" customHeight="1" x14ac:dyDescent="0.2">
      <c r="A25" s="202"/>
      <c r="B25" s="29"/>
      <c r="C25" s="202"/>
      <c r="D25" s="202"/>
      <c r="E25" s="202"/>
      <c r="F25" s="202"/>
      <c r="G25" s="202"/>
      <c r="H25" s="202"/>
      <c r="I25" s="202"/>
      <c r="J25" s="202"/>
      <c r="K25" s="202"/>
      <c r="L25" s="38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</row>
    <row r="26" spans="1:31" s="2" customFormat="1" ht="12" customHeight="1" x14ac:dyDescent="0.2">
      <c r="A26" s="202"/>
      <c r="B26" s="29"/>
      <c r="C26" s="202"/>
      <c r="D26" s="273" t="s">
        <v>30</v>
      </c>
      <c r="E26" s="202"/>
      <c r="F26" s="202"/>
      <c r="G26" s="202"/>
      <c r="H26" s="202"/>
      <c r="I26" s="202"/>
      <c r="J26" s="202"/>
      <c r="K26" s="202"/>
      <c r="L26" s="38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</row>
    <row r="27" spans="1:31" s="8" customFormat="1" ht="16.5" customHeight="1" x14ac:dyDescent="0.2">
      <c r="A27" s="86"/>
      <c r="B27" s="87"/>
      <c r="C27" s="86"/>
      <c r="D27" s="86"/>
      <c r="E27" s="421" t="s">
        <v>1</v>
      </c>
      <c r="F27" s="421"/>
      <c r="G27" s="421"/>
      <c r="H27" s="421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 x14ac:dyDescent="0.2">
      <c r="A28" s="202"/>
      <c r="B28" s="29"/>
      <c r="C28" s="202"/>
      <c r="D28" s="202"/>
      <c r="E28" s="202"/>
      <c r="F28" s="202"/>
      <c r="G28" s="202"/>
      <c r="H28" s="202"/>
      <c r="I28" s="202"/>
      <c r="J28" s="202"/>
      <c r="K28" s="202"/>
      <c r="L28" s="38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</row>
    <row r="29" spans="1:31" s="2" customFormat="1" ht="6.95" customHeight="1" x14ac:dyDescent="0.2">
      <c r="A29" s="202"/>
      <c r="B29" s="29"/>
      <c r="C29" s="202"/>
      <c r="D29" s="62"/>
      <c r="E29" s="62"/>
      <c r="F29" s="62"/>
      <c r="G29" s="62"/>
      <c r="H29" s="62"/>
      <c r="I29" s="62"/>
      <c r="J29" s="62"/>
      <c r="K29" s="62"/>
      <c r="L29" s="38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</row>
    <row r="30" spans="1:31" s="2" customFormat="1" ht="14.45" customHeight="1" x14ac:dyDescent="0.2">
      <c r="A30" s="202"/>
      <c r="B30" s="29"/>
      <c r="C30" s="202"/>
      <c r="D30" s="274" t="s">
        <v>82</v>
      </c>
      <c r="E30" s="202"/>
      <c r="F30" s="202"/>
      <c r="G30" s="202"/>
      <c r="H30" s="202"/>
      <c r="I30" s="202"/>
      <c r="J30" s="303">
        <f>J96</f>
        <v>0</v>
      </c>
      <c r="K30" s="202"/>
      <c r="L30" s="38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</row>
    <row r="31" spans="1:31" s="2" customFormat="1" ht="14.45" customHeight="1" x14ac:dyDescent="0.2">
      <c r="A31" s="202"/>
      <c r="B31" s="29"/>
      <c r="C31" s="202"/>
      <c r="D31" s="304" t="s">
        <v>513</v>
      </c>
      <c r="E31" s="202"/>
      <c r="F31" s="202"/>
      <c r="G31" s="202"/>
      <c r="H31" s="202"/>
      <c r="I31" s="202"/>
      <c r="J31" s="303">
        <f>J103</f>
        <v>0</v>
      </c>
      <c r="K31" s="202"/>
      <c r="L31" s="38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</row>
    <row r="32" spans="1:31" s="2" customFormat="1" ht="25.35" customHeight="1" x14ac:dyDescent="0.2">
      <c r="A32" s="202"/>
      <c r="B32" s="29"/>
      <c r="C32" s="202"/>
      <c r="D32" s="302" t="s">
        <v>32</v>
      </c>
      <c r="E32" s="202"/>
      <c r="F32" s="202"/>
      <c r="G32" s="202"/>
      <c r="H32" s="202"/>
      <c r="I32" s="202"/>
      <c r="J32" s="287">
        <f>ROUND(J30 + J31, 2)</f>
        <v>0</v>
      </c>
      <c r="K32" s="202"/>
      <c r="L32" s="38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</row>
    <row r="33" spans="1:31" s="2" customFormat="1" ht="6.95" customHeight="1" x14ac:dyDescent="0.2">
      <c r="A33" s="202"/>
      <c r="B33" s="29"/>
      <c r="C33" s="202"/>
      <c r="D33" s="62"/>
      <c r="E33" s="62"/>
      <c r="F33" s="62"/>
      <c r="G33" s="62"/>
      <c r="H33" s="62"/>
      <c r="I33" s="62"/>
      <c r="J33" s="62"/>
      <c r="K33" s="62"/>
      <c r="L33" s="38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</row>
    <row r="34" spans="1:31" s="2" customFormat="1" ht="14.45" customHeight="1" x14ac:dyDescent="0.2">
      <c r="A34" s="202"/>
      <c r="B34" s="29"/>
      <c r="C34" s="202"/>
      <c r="D34" s="202"/>
      <c r="E34" s="202"/>
      <c r="F34" s="301" t="s">
        <v>34</v>
      </c>
      <c r="G34" s="202"/>
      <c r="H34" s="202"/>
      <c r="I34" s="301" t="s">
        <v>33</v>
      </c>
      <c r="J34" s="301" t="s">
        <v>35</v>
      </c>
      <c r="K34" s="202"/>
      <c r="L34" s="38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</row>
    <row r="35" spans="1:31" s="2" customFormat="1" ht="14.45" customHeight="1" x14ac:dyDescent="0.2">
      <c r="A35" s="202"/>
      <c r="B35" s="29"/>
      <c r="C35" s="202"/>
      <c r="D35" s="300" t="s">
        <v>36</v>
      </c>
      <c r="E35" s="273" t="s">
        <v>37</v>
      </c>
      <c r="F35" s="298">
        <f>ROUND((SUM(BE103:BE104) + SUM(BE124:BE189)),  2)</f>
        <v>0</v>
      </c>
      <c r="G35" s="202"/>
      <c r="H35" s="202"/>
      <c r="I35" s="299">
        <v>0.2</v>
      </c>
      <c r="J35" s="298">
        <f>ROUND(((SUM(BE103:BE104) + SUM(BE124:BE189))*I35),  2)</f>
        <v>0</v>
      </c>
      <c r="K35" s="202"/>
      <c r="L35" s="38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</row>
    <row r="36" spans="1:31" s="2" customFormat="1" ht="14.45" customHeight="1" x14ac:dyDescent="0.2">
      <c r="A36" s="202"/>
      <c r="B36" s="29"/>
      <c r="C36" s="202"/>
      <c r="D36" s="202"/>
      <c r="E36" s="273" t="s">
        <v>38</v>
      </c>
      <c r="F36" s="298">
        <f>ROUND((SUM(BF103:BF104) + SUM(BF124:BF189)),  2)</f>
        <v>0</v>
      </c>
      <c r="G36" s="202"/>
      <c r="H36" s="202"/>
      <c r="I36" s="299">
        <v>0.2</v>
      </c>
      <c r="J36" s="298">
        <f>ROUND(((SUM(BF103:BF104) + SUM(BF124:BF189))*I36),  2)</f>
        <v>0</v>
      </c>
      <c r="K36" s="202"/>
      <c r="L36" s="38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</row>
    <row r="37" spans="1:31" s="2" customFormat="1" ht="14.45" hidden="1" customHeight="1" x14ac:dyDescent="0.2">
      <c r="A37" s="202"/>
      <c r="B37" s="29"/>
      <c r="C37" s="202"/>
      <c r="D37" s="202"/>
      <c r="E37" s="273" t="s">
        <v>39</v>
      </c>
      <c r="F37" s="298">
        <f>ROUND((SUM(BG103:BG104) + SUM(BG124:BG189)),  2)</f>
        <v>0</v>
      </c>
      <c r="G37" s="202"/>
      <c r="H37" s="202"/>
      <c r="I37" s="299">
        <v>0.2</v>
      </c>
      <c r="J37" s="298">
        <f>0</f>
        <v>0</v>
      </c>
      <c r="K37" s="202"/>
      <c r="L37" s="38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</row>
    <row r="38" spans="1:31" s="2" customFormat="1" ht="14.45" hidden="1" customHeight="1" x14ac:dyDescent="0.2">
      <c r="A38" s="202"/>
      <c r="B38" s="29"/>
      <c r="C38" s="202"/>
      <c r="D38" s="202"/>
      <c r="E38" s="273" t="s">
        <v>40</v>
      </c>
      <c r="F38" s="298">
        <f>ROUND((SUM(BH103:BH104) + SUM(BH124:BH189)),  2)</f>
        <v>0</v>
      </c>
      <c r="G38" s="202"/>
      <c r="H38" s="202"/>
      <c r="I38" s="299">
        <v>0.2</v>
      </c>
      <c r="J38" s="298">
        <f>0</f>
        <v>0</v>
      </c>
      <c r="K38" s="202"/>
      <c r="L38" s="38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</row>
    <row r="39" spans="1:31" s="2" customFormat="1" ht="14.45" hidden="1" customHeight="1" x14ac:dyDescent="0.2">
      <c r="A39" s="202"/>
      <c r="B39" s="29"/>
      <c r="C39" s="202"/>
      <c r="D39" s="202"/>
      <c r="E39" s="273" t="s">
        <v>41</v>
      </c>
      <c r="F39" s="298">
        <f>ROUND((SUM(BI103:BI104) + SUM(BI124:BI189)),  2)</f>
        <v>0</v>
      </c>
      <c r="G39" s="202"/>
      <c r="H39" s="202"/>
      <c r="I39" s="299">
        <v>0</v>
      </c>
      <c r="J39" s="298">
        <f>0</f>
        <v>0</v>
      </c>
      <c r="K39" s="202"/>
      <c r="L39" s="38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</row>
    <row r="40" spans="1:31" s="2" customFormat="1" ht="6.95" customHeight="1" x14ac:dyDescent="0.2">
      <c r="A40" s="202"/>
      <c r="B40" s="29"/>
      <c r="C40" s="202"/>
      <c r="D40" s="202"/>
      <c r="E40" s="202"/>
      <c r="F40" s="202"/>
      <c r="G40" s="202"/>
      <c r="H40" s="202"/>
      <c r="I40" s="202"/>
      <c r="J40" s="202"/>
      <c r="K40" s="202"/>
      <c r="L40" s="38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</row>
    <row r="41" spans="1:31" s="2" customFormat="1" ht="25.35" customHeight="1" x14ac:dyDescent="0.2">
      <c r="A41" s="202"/>
      <c r="B41" s="29"/>
      <c r="C41" s="93"/>
      <c r="D41" s="297" t="s">
        <v>42</v>
      </c>
      <c r="E41" s="56"/>
      <c r="F41" s="56"/>
      <c r="G41" s="296" t="s">
        <v>43</v>
      </c>
      <c r="H41" s="295" t="s">
        <v>44</v>
      </c>
      <c r="I41" s="56"/>
      <c r="J41" s="294">
        <f>SUM(J32:J39)</f>
        <v>0</v>
      </c>
      <c r="K41" s="98"/>
      <c r="L41" s="38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</row>
    <row r="42" spans="1:31" s="2" customFormat="1" ht="14.45" customHeight="1" x14ac:dyDescent="0.2">
      <c r="A42" s="202"/>
      <c r="B42" s="29"/>
      <c r="C42" s="202"/>
      <c r="D42" s="202"/>
      <c r="E42" s="202"/>
      <c r="F42" s="202"/>
      <c r="G42" s="202"/>
      <c r="H42" s="202"/>
      <c r="I42" s="202"/>
      <c r="J42" s="202"/>
      <c r="K42" s="202"/>
      <c r="L42" s="38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</row>
    <row r="43" spans="1:31" ht="14.45" customHeight="1" x14ac:dyDescent="0.2">
      <c r="B43" s="19"/>
      <c r="L43" s="19"/>
    </row>
    <row r="44" spans="1:31" ht="14.45" customHeight="1" x14ac:dyDescent="0.2">
      <c r="B44" s="19"/>
      <c r="L44" s="19"/>
    </row>
    <row r="45" spans="1:31" ht="14.45" customHeight="1" x14ac:dyDescent="0.2">
      <c r="B45" s="19"/>
      <c r="L45" s="19"/>
    </row>
    <row r="46" spans="1:31" ht="14.45" customHeight="1" x14ac:dyDescent="0.2">
      <c r="B46" s="19"/>
      <c r="L46" s="19"/>
    </row>
    <row r="47" spans="1:31" ht="14.45" customHeight="1" x14ac:dyDescent="0.2">
      <c r="B47" s="19"/>
      <c r="L47" s="19"/>
    </row>
    <row r="48" spans="1:31" ht="14.45" customHeight="1" x14ac:dyDescent="0.2">
      <c r="B48" s="19"/>
      <c r="L48" s="19"/>
    </row>
    <row r="49" spans="1:31" ht="14.45" customHeight="1" x14ac:dyDescent="0.2">
      <c r="B49" s="19"/>
      <c r="L49" s="19"/>
    </row>
    <row r="50" spans="1:31" s="2" customFormat="1" ht="14.45" customHeight="1" x14ac:dyDescent="0.2">
      <c r="B50" s="38"/>
      <c r="D50" s="293" t="s">
        <v>45</v>
      </c>
      <c r="E50" s="40"/>
      <c r="F50" s="40"/>
      <c r="G50" s="293" t="s">
        <v>46</v>
      </c>
      <c r="H50" s="40"/>
      <c r="I50" s="40"/>
      <c r="J50" s="40"/>
      <c r="K50" s="40"/>
      <c r="L50" s="38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202"/>
      <c r="B61" s="29"/>
      <c r="C61" s="202"/>
      <c r="D61" s="291" t="s">
        <v>47</v>
      </c>
      <c r="E61" s="198"/>
      <c r="F61" s="292" t="s">
        <v>48</v>
      </c>
      <c r="G61" s="291" t="s">
        <v>47</v>
      </c>
      <c r="H61" s="198"/>
      <c r="I61" s="198"/>
      <c r="J61" s="290" t="s">
        <v>48</v>
      </c>
      <c r="K61" s="198"/>
      <c r="L61" s="38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202"/>
      <c r="B65" s="29"/>
      <c r="C65" s="202"/>
      <c r="D65" s="293" t="s">
        <v>49</v>
      </c>
      <c r="E65" s="42"/>
      <c r="F65" s="42"/>
      <c r="G65" s="293" t="s">
        <v>50</v>
      </c>
      <c r="H65" s="42"/>
      <c r="I65" s="42"/>
      <c r="J65" s="42"/>
      <c r="K65" s="42"/>
      <c r="L65" s="38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202"/>
      <c r="B76" s="29"/>
      <c r="C76" s="202"/>
      <c r="D76" s="291" t="s">
        <v>47</v>
      </c>
      <c r="E76" s="198"/>
      <c r="F76" s="292" t="s">
        <v>48</v>
      </c>
      <c r="G76" s="291" t="s">
        <v>47</v>
      </c>
      <c r="H76" s="198"/>
      <c r="I76" s="198"/>
      <c r="J76" s="290" t="s">
        <v>48</v>
      </c>
      <c r="K76" s="198"/>
      <c r="L76" s="38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</row>
    <row r="77" spans="1:31" s="2" customFormat="1" ht="14.45" customHeight="1" x14ac:dyDescent="0.2">
      <c r="A77" s="20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</row>
    <row r="81" spans="1:47" s="2" customFormat="1" ht="6.95" customHeight="1" x14ac:dyDescent="0.2">
      <c r="A81" s="202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</row>
    <row r="82" spans="1:47" s="2" customFormat="1" ht="24.95" customHeight="1" x14ac:dyDescent="0.2">
      <c r="A82" s="202"/>
      <c r="B82" s="29"/>
      <c r="C82" s="276" t="s">
        <v>1135</v>
      </c>
      <c r="D82" s="202"/>
      <c r="E82" s="202"/>
      <c r="F82" s="202"/>
      <c r="G82" s="202"/>
      <c r="H82" s="202"/>
      <c r="I82" s="202"/>
      <c r="J82" s="202"/>
      <c r="K82" s="202"/>
      <c r="L82" s="38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</row>
    <row r="83" spans="1:47" s="2" customFormat="1" ht="6.95" customHeight="1" x14ac:dyDescent="0.2">
      <c r="A83" s="202"/>
      <c r="B83" s="29"/>
      <c r="C83" s="202"/>
      <c r="D83" s="202"/>
      <c r="E83" s="202"/>
      <c r="F83" s="202"/>
      <c r="G83" s="202"/>
      <c r="H83" s="202"/>
      <c r="I83" s="202"/>
      <c r="J83" s="202"/>
      <c r="K83" s="202"/>
      <c r="L83" s="38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</row>
    <row r="84" spans="1:47" s="2" customFormat="1" ht="12" customHeight="1" x14ac:dyDescent="0.2">
      <c r="A84" s="202"/>
      <c r="B84" s="29"/>
      <c r="C84" s="273" t="s">
        <v>12</v>
      </c>
      <c r="D84" s="202"/>
      <c r="E84" s="202"/>
      <c r="F84" s="202"/>
      <c r="G84" s="202"/>
      <c r="H84" s="202"/>
      <c r="I84" s="202"/>
      <c r="J84" s="202"/>
      <c r="K84" s="202"/>
      <c r="L84" s="38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</row>
    <row r="85" spans="1:47" s="2" customFormat="1" ht="16.5" customHeight="1" x14ac:dyDescent="0.2">
      <c r="A85" s="202"/>
      <c r="B85" s="29"/>
      <c r="C85" s="202"/>
      <c r="D85" s="202"/>
      <c r="E85" s="417" t="str">
        <f>E7</f>
        <v>Rekonštrukcia časti priestorov MŠ Čordákova 17, Košice</v>
      </c>
      <c r="F85" s="418"/>
      <c r="G85" s="418"/>
      <c r="H85" s="418"/>
      <c r="I85" s="202"/>
      <c r="J85" s="202"/>
      <c r="K85" s="202"/>
      <c r="L85" s="38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</row>
    <row r="86" spans="1:47" s="2" customFormat="1" ht="12" customHeight="1" x14ac:dyDescent="0.2">
      <c r="A86" s="202"/>
      <c r="B86" s="29"/>
      <c r="C86" s="273" t="s">
        <v>783</v>
      </c>
      <c r="D86" s="202"/>
      <c r="E86" s="202"/>
      <c r="F86" s="202"/>
      <c r="G86" s="202"/>
      <c r="H86" s="202"/>
      <c r="I86" s="202"/>
      <c r="J86" s="202"/>
      <c r="K86" s="202"/>
      <c r="L86" s="38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</row>
    <row r="87" spans="1:47" s="2" customFormat="1" ht="16.5" customHeight="1" x14ac:dyDescent="0.2">
      <c r="A87" s="202"/>
      <c r="B87" s="29"/>
      <c r="C87" s="202"/>
      <c r="D87" s="202"/>
      <c r="E87" s="416" t="str">
        <f>E9</f>
        <v xml:space="preserve">03- Elektroinštalácia </v>
      </c>
      <c r="F87" s="413"/>
      <c r="G87" s="413"/>
      <c r="H87" s="413"/>
      <c r="I87" s="202"/>
      <c r="J87" s="202"/>
      <c r="K87" s="202"/>
      <c r="L87" s="38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</row>
    <row r="88" spans="1:47" s="2" customFormat="1" ht="6.95" customHeight="1" x14ac:dyDescent="0.2">
      <c r="A88" s="202"/>
      <c r="B88" s="29"/>
      <c r="C88" s="202"/>
      <c r="D88" s="202"/>
      <c r="E88" s="202"/>
      <c r="F88" s="202"/>
      <c r="G88" s="202"/>
      <c r="H88" s="202"/>
      <c r="I88" s="202"/>
      <c r="J88" s="202"/>
      <c r="K88" s="202"/>
      <c r="L88" s="38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47" s="2" customFormat="1" ht="12" customHeight="1" x14ac:dyDescent="0.2">
      <c r="A89" s="202"/>
      <c r="B89" s="29"/>
      <c r="C89" s="273" t="s">
        <v>16</v>
      </c>
      <c r="D89" s="202"/>
      <c r="E89" s="202"/>
      <c r="F89" s="274" t="str">
        <f>F12</f>
        <v>Košice</v>
      </c>
      <c r="G89" s="202"/>
      <c r="H89" s="202"/>
      <c r="I89" s="273" t="s">
        <v>18</v>
      </c>
      <c r="J89" s="275" t="str">
        <f>IF(J12="","",J12)</f>
        <v/>
      </c>
      <c r="K89" s="202"/>
      <c r="L89" s="38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</row>
    <row r="90" spans="1:47" s="2" customFormat="1" ht="6.95" customHeight="1" x14ac:dyDescent="0.2">
      <c r="A90" s="202"/>
      <c r="B90" s="29"/>
      <c r="C90" s="202"/>
      <c r="D90" s="202"/>
      <c r="E90" s="202"/>
      <c r="F90" s="202"/>
      <c r="G90" s="202"/>
      <c r="H90" s="202"/>
      <c r="I90" s="202"/>
      <c r="J90" s="202"/>
      <c r="K90" s="202"/>
      <c r="L90" s="38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</row>
    <row r="91" spans="1:47" s="2" customFormat="1" ht="43.15" customHeight="1" x14ac:dyDescent="0.2">
      <c r="A91" s="202"/>
      <c r="B91" s="29"/>
      <c r="C91" s="273" t="s">
        <v>19</v>
      </c>
      <c r="D91" s="202"/>
      <c r="E91" s="202"/>
      <c r="F91" s="274" t="s">
        <v>1137</v>
      </c>
      <c r="G91" s="202"/>
      <c r="H91" s="202"/>
      <c r="I91" s="273" t="s">
        <v>24</v>
      </c>
      <c r="J91" s="272" t="str">
        <f>E21</f>
        <v>Ing. Marta Tomková, T.D.LINE s.r.o.</v>
      </c>
      <c r="K91" s="202"/>
      <c r="L91" s="38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</row>
    <row r="92" spans="1:47" s="2" customFormat="1" ht="43.15" customHeight="1" x14ac:dyDescent="0.2">
      <c r="A92" s="202"/>
      <c r="B92" s="29"/>
      <c r="C92" s="273" t="s">
        <v>23</v>
      </c>
      <c r="D92" s="202"/>
      <c r="E92" s="202"/>
      <c r="F92" s="274" t="str">
        <f>IF(E18="","",E18)</f>
        <v xml:space="preserve"> </v>
      </c>
      <c r="G92" s="202"/>
      <c r="H92" s="202"/>
      <c r="I92" s="273" t="s">
        <v>29</v>
      </c>
      <c r="J92" s="272"/>
      <c r="K92" s="202"/>
      <c r="L92" s="38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</row>
    <row r="93" spans="1:47" s="2" customFormat="1" ht="10.35" customHeight="1" x14ac:dyDescent="0.2">
      <c r="A93" s="202"/>
      <c r="B93" s="29"/>
      <c r="C93" s="202"/>
      <c r="D93" s="202"/>
      <c r="E93" s="202"/>
      <c r="F93" s="202"/>
      <c r="G93" s="202"/>
      <c r="H93" s="202"/>
      <c r="I93" s="202"/>
      <c r="J93" s="202"/>
      <c r="K93" s="202"/>
      <c r="L93" s="38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</row>
    <row r="94" spans="1:47" s="2" customFormat="1" ht="29.25" customHeight="1" x14ac:dyDescent="0.2">
      <c r="A94" s="202"/>
      <c r="B94" s="29"/>
      <c r="C94" s="289" t="s">
        <v>80</v>
      </c>
      <c r="D94" s="93"/>
      <c r="E94" s="93"/>
      <c r="F94" s="93"/>
      <c r="G94" s="93"/>
      <c r="H94" s="93"/>
      <c r="I94" s="93"/>
      <c r="J94" s="288" t="s">
        <v>81</v>
      </c>
      <c r="K94" s="93"/>
      <c r="L94" s="38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</row>
    <row r="95" spans="1:47" s="2" customFormat="1" ht="10.35" customHeight="1" x14ac:dyDescent="0.2">
      <c r="A95" s="202"/>
      <c r="B95" s="29"/>
      <c r="C95" s="202"/>
      <c r="D95" s="202"/>
      <c r="E95" s="202"/>
      <c r="F95" s="202"/>
      <c r="G95" s="202"/>
      <c r="H95" s="202"/>
      <c r="I95" s="202"/>
      <c r="J95" s="202"/>
      <c r="K95" s="202"/>
      <c r="L95" s="38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</row>
    <row r="96" spans="1:47" s="2" customFormat="1" ht="22.9" customHeight="1" x14ac:dyDescent="0.2">
      <c r="A96" s="202"/>
      <c r="B96" s="29"/>
      <c r="C96" s="281" t="s">
        <v>514</v>
      </c>
      <c r="D96" s="202"/>
      <c r="E96" s="202"/>
      <c r="F96" s="202"/>
      <c r="G96" s="202"/>
      <c r="H96" s="202"/>
      <c r="I96" s="202"/>
      <c r="J96" s="287">
        <f>J124</f>
        <v>0</v>
      </c>
      <c r="K96" s="202"/>
      <c r="L96" s="38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U96" s="16" t="s">
        <v>83</v>
      </c>
    </row>
    <row r="97" spans="1:31" s="282" customFormat="1" ht="24.95" customHeight="1" x14ac:dyDescent="0.2">
      <c r="B97" s="283"/>
      <c r="D97" s="286" t="s">
        <v>784</v>
      </c>
      <c r="E97" s="285"/>
      <c r="F97" s="285"/>
      <c r="G97" s="285"/>
      <c r="H97" s="285"/>
      <c r="I97" s="285"/>
      <c r="J97" s="284">
        <f>J125</f>
        <v>0</v>
      </c>
      <c r="L97" s="283"/>
    </row>
    <row r="98" spans="1:31" s="282" customFormat="1" ht="24.95" customHeight="1" x14ac:dyDescent="0.2">
      <c r="B98" s="283"/>
      <c r="D98" s="286" t="s">
        <v>881</v>
      </c>
      <c r="E98" s="285"/>
      <c r="F98" s="285"/>
      <c r="G98" s="285"/>
      <c r="H98" s="285"/>
      <c r="I98" s="285"/>
      <c r="J98" s="284">
        <f>J171</f>
        <v>0</v>
      </c>
      <c r="L98" s="283"/>
    </row>
    <row r="99" spans="1:31" s="282" customFormat="1" ht="24.95" customHeight="1" x14ac:dyDescent="0.2">
      <c r="B99" s="283"/>
      <c r="D99" s="286" t="s">
        <v>882</v>
      </c>
      <c r="E99" s="285"/>
      <c r="F99" s="285"/>
      <c r="G99" s="285"/>
      <c r="H99" s="285"/>
      <c r="I99" s="285"/>
      <c r="J99" s="284">
        <f>J175</f>
        <v>0</v>
      </c>
      <c r="L99" s="283"/>
    </row>
    <row r="100" spans="1:31" s="282" customFormat="1" ht="24.95" customHeight="1" x14ac:dyDescent="0.2">
      <c r="B100" s="283"/>
      <c r="D100" s="286" t="s">
        <v>883</v>
      </c>
      <c r="E100" s="285"/>
      <c r="F100" s="285"/>
      <c r="G100" s="285"/>
      <c r="H100" s="285"/>
      <c r="I100" s="285"/>
      <c r="J100" s="284">
        <f>J186</f>
        <v>0</v>
      </c>
      <c r="L100" s="283"/>
    </row>
    <row r="101" spans="1:31" s="2" customFormat="1" ht="21.75" customHeight="1" x14ac:dyDescent="0.2">
      <c r="A101" s="202"/>
      <c r="B101" s="29"/>
      <c r="C101" s="202"/>
      <c r="D101" s="202"/>
      <c r="E101" s="202"/>
      <c r="F101" s="202"/>
      <c r="G101" s="202"/>
      <c r="H101" s="202"/>
      <c r="I101" s="202"/>
      <c r="J101" s="202"/>
      <c r="K101" s="202"/>
      <c r="L101" s="38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</row>
    <row r="102" spans="1:31" s="2" customFormat="1" ht="6.95" customHeight="1" x14ac:dyDescent="0.2">
      <c r="A102" s="202"/>
      <c r="B102" s="29"/>
      <c r="C102" s="202"/>
      <c r="D102" s="202"/>
      <c r="E102" s="202"/>
      <c r="F102" s="202"/>
      <c r="G102" s="202"/>
      <c r="H102" s="202"/>
      <c r="I102" s="202"/>
      <c r="J102" s="202"/>
      <c r="K102" s="202"/>
      <c r="L102" s="38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</row>
    <row r="103" spans="1:31" s="2" customFormat="1" ht="29.25" customHeight="1" x14ac:dyDescent="0.2">
      <c r="A103" s="202"/>
      <c r="B103" s="29"/>
      <c r="C103" s="281" t="s">
        <v>518</v>
      </c>
      <c r="D103" s="202"/>
      <c r="E103" s="202"/>
      <c r="F103" s="202"/>
      <c r="G103" s="202"/>
      <c r="H103" s="202"/>
      <c r="I103" s="202"/>
      <c r="J103" s="280">
        <v>0</v>
      </c>
      <c r="K103" s="202"/>
      <c r="L103" s="38"/>
      <c r="N103" s="279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</row>
    <row r="104" spans="1:31" s="2" customFormat="1" ht="18" customHeight="1" x14ac:dyDescent="0.2">
      <c r="A104" s="202"/>
      <c r="B104" s="29"/>
      <c r="C104" s="202"/>
      <c r="D104" s="202"/>
      <c r="E104" s="202"/>
      <c r="F104" s="202"/>
      <c r="G104" s="202"/>
      <c r="H104" s="202"/>
      <c r="I104" s="202"/>
      <c r="J104" s="202"/>
      <c r="K104" s="202"/>
      <c r="L104" s="38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</row>
    <row r="105" spans="1:31" s="2" customFormat="1" ht="29.25" customHeight="1" x14ac:dyDescent="0.2">
      <c r="A105" s="202"/>
      <c r="B105" s="29"/>
      <c r="C105" s="278" t="s">
        <v>519</v>
      </c>
      <c r="D105" s="93"/>
      <c r="E105" s="93"/>
      <c r="F105" s="93"/>
      <c r="G105" s="93"/>
      <c r="H105" s="93"/>
      <c r="I105" s="93"/>
      <c r="J105" s="277">
        <f>ROUND(J96+J103,2)</f>
        <v>0</v>
      </c>
      <c r="K105" s="93"/>
      <c r="L105" s="38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</row>
    <row r="106" spans="1:31" s="2" customFormat="1" ht="6.95" customHeight="1" x14ac:dyDescent="0.2">
      <c r="A106" s="202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8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</row>
    <row r="110" spans="1:31" s="2" customFormat="1" ht="6.95" customHeight="1" x14ac:dyDescent="0.2">
      <c r="A110" s="202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38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</row>
    <row r="111" spans="1:31" s="2" customFormat="1" ht="24.95" customHeight="1" x14ac:dyDescent="0.2">
      <c r="A111" s="202"/>
      <c r="B111" s="29"/>
      <c r="C111" s="276" t="s">
        <v>1136</v>
      </c>
      <c r="D111" s="202"/>
      <c r="E111" s="202"/>
      <c r="F111" s="202"/>
      <c r="G111" s="202"/>
      <c r="H111" s="202"/>
      <c r="I111" s="202"/>
      <c r="J111" s="202"/>
      <c r="K111" s="202"/>
      <c r="L111" s="38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</row>
    <row r="112" spans="1:31" s="2" customFormat="1" ht="6.95" customHeight="1" x14ac:dyDescent="0.2">
      <c r="A112" s="202"/>
      <c r="B112" s="29"/>
      <c r="C112" s="202"/>
      <c r="D112" s="202"/>
      <c r="E112" s="202"/>
      <c r="F112" s="202"/>
      <c r="G112" s="202"/>
      <c r="H112" s="202"/>
      <c r="I112" s="202"/>
      <c r="J112" s="202"/>
      <c r="K112" s="202"/>
      <c r="L112" s="38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</row>
    <row r="113" spans="1:65" s="2" customFormat="1" ht="12" customHeight="1" x14ac:dyDescent="0.2">
      <c r="A113" s="202"/>
      <c r="B113" s="29"/>
      <c r="C113" s="273" t="s">
        <v>12</v>
      </c>
      <c r="D113" s="202"/>
      <c r="E113" s="202"/>
      <c r="F113" s="202"/>
      <c r="G113" s="202"/>
      <c r="H113" s="202"/>
      <c r="I113" s="202"/>
      <c r="J113" s="202"/>
      <c r="K113" s="202"/>
      <c r="L113" s="38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</row>
    <row r="114" spans="1:65" s="2" customFormat="1" ht="16.5" customHeight="1" x14ac:dyDescent="0.2">
      <c r="A114" s="202"/>
      <c r="B114" s="29"/>
      <c r="C114" s="202"/>
      <c r="D114" s="202"/>
      <c r="E114" s="417" t="str">
        <f>E7</f>
        <v>Rekonštrukcia časti priestorov MŠ Čordákova 17, Košice</v>
      </c>
      <c r="F114" s="418"/>
      <c r="G114" s="418"/>
      <c r="H114" s="418"/>
      <c r="I114" s="202"/>
      <c r="J114" s="202"/>
      <c r="K114" s="202"/>
      <c r="L114" s="38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</row>
    <row r="115" spans="1:65" s="2" customFormat="1" ht="12" customHeight="1" x14ac:dyDescent="0.2">
      <c r="A115" s="202"/>
      <c r="B115" s="29"/>
      <c r="C115" s="273" t="s">
        <v>783</v>
      </c>
      <c r="D115" s="202"/>
      <c r="E115" s="202"/>
      <c r="F115" s="202"/>
      <c r="G115" s="202"/>
      <c r="H115" s="202"/>
      <c r="I115" s="202"/>
      <c r="J115" s="202"/>
      <c r="K115" s="202"/>
      <c r="L115" s="38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</row>
    <row r="116" spans="1:65" s="2" customFormat="1" ht="16.5" customHeight="1" x14ac:dyDescent="0.2">
      <c r="A116" s="202"/>
      <c r="B116" s="29"/>
      <c r="C116" s="202"/>
      <c r="D116" s="202"/>
      <c r="E116" s="416" t="str">
        <f>E9</f>
        <v xml:space="preserve">03- Elektroinštalácia </v>
      </c>
      <c r="F116" s="413"/>
      <c r="G116" s="413"/>
      <c r="H116" s="413"/>
      <c r="I116" s="202"/>
      <c r="J116" s="202"/>
      <c r="K116" s="202"/>
      <c r="L116" s="38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pans="1:65" s="2" customFormat="1" ht="6.95" customHeight="1" x14ac:dyDescent="0.2">
      <c r="A117" s="202"/>
      <c r="B117" s="29"/>
      <c r="C117" s="202"/>
      <c r="D117" s="202"/>
      <c r="E117" s="202"/>
      <c r="F117" s="202"/>
      <c r="G117" s="202"/>
      <c r="H117" s="202"/>
      <c r="I117" s="202"/>
      <c r="J117" s="202"/>
      <c r="K117" s="202"/>
      <c r="L117" s="38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pans="1:65" s="2" customFormat="1" ht="12" customHeight="1" x14ac:dyDescent="0.2">
      <c r="A118" s="202"/>
      <c r="B118" s="29"/>
      <c r="C118" s="273" t="s">
        <v>16</v>
      </c>
      <c r="D118" s="202"/>
      <c r="E118" s="202"/>
      <c r="F118" s="274" t="str">
        <f>F12</f>
        <v>Košice</v>
      </c>
      <c r="G118" s="202"/>
      <c r="H118" s="202"/>
      <c r="I118" s="273" t="s">
        <v>18</v>
      </c>
      <c r="J118" s="275" t="str">
        <f>IF(J12="","",J12)</f>
        <v/>
      </c>
      <c r="K118" s="202"/>
      <c r="L118" s="38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pans="1:65" s="2" customFormat="1" ht="6.95" customHeight="1" x14ac:dyDescent="0.2">
      <c r="A119" s="202"/>
      <c r="B119" s="29"/>
      <c r="C119" s="202"/>
      <c r="D119" s="202"/>
      <c r="E119" s="202"/>
      <c r="F119" s="202"/>
      <c r="G119" s="202"/>
      <c r="H119" s="202"/>
      <c r="I119" s="202"/>
      <c r="J119" s="202"/>
      <c r="K119" s="202"/>
      <c r="L119" s="38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pans="1:65" s="2" customFormat="1" ht="43.15" customHeight="1" x14ac:dyDescent="0.2">
      <c r="A120" s="202"/>
      <c r="B120" s="29"/>
      <c r="C120" s="273" t="s">
        <v>19</v>
      </c>
      <c r="D120" s="202"/>
      <c r="E120" s="202"/>
      <c r="F120" s="274" t="s">
        <v>1137</v>
      </c>
      <c r="G120" s="202"/>
      <c r="H120" s="202"/>
      <c r="I120" s="273" t="s">
        <v>24</v>
      </c>
      <c r="J120" s="272" t="str">
        <f>E21</f>
        <v>Ing. Marta Tomková, T.D.LINE s.r.o.</v>
      </c>
      <c r="K120" s="202"/>
      <c r="L120" s="38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pans="1:65" s="2" customFormat="1" ht="43.15" customHeight="1" x14ac:dyDescent="0.2">
      <c r="A121" s="202"/>
      <c r="B121" s="29"/>
      <c r="C121" s="273" t="s">
        <v>23</v>
      </c>
      <c r="D121" s="202"/>
      <c r="E121" s="202"/>
      <c r="F121" s="274" t="str">
        <f>IF(E18="","",E18)</f>
        <v xml:space="preserve"> </v>
      </c>
      <c r="G121" s="202"/>
      <c r="H121" s="202"/>
      <c r="I121" s="273" t="s">
        <v>29</v>
      </c>
      <c r="J121" s="272"/>
      <c r="K121" s="202"/>
      <c r="L121" s="38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pans="1:65" s="2" customFormat="1" ht="10.35" customHeight="1" x14ac:dyDescent="0.2">
      <c r="A122" s="202"/>
      <c r="B122" s="29"/>
      <c r="C122" s="202"/>
      <c r="D122" s="202"/>
      <c r="E122" s="202"/>
      <c r="F122" s="202"/>
      <c r="G122" s="202"/>
      <c r="H122" s="202"/>
      <c r="I122" s="202"/>
      <c r="J122" s="202"/>
      <c r="K122" s="202"/>
      <c r="L122" s="38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pans="1:65" s="11" customFormat="1" ht="29.25" customHeight="1" x14ac:dyDescent="0.2">
      <c r="A123" s="112"/>
      <c r="B123" s="113"/>
      <c r="C123" s="271" t="s">
        <v>100</v>
      </c>
      <c r="D123" s="270" t="s">
        <v>57</v>
      </c>
      <c r="E123" s="270" t="s">
        <v>53</v>
      </c>
      <c r="F123" s="270" t="s">
        <v>54</v>
      </c>
      <c r="G123" s="270" t="s">
        <v>101</v>
      </c>
      <c r="H123" s="270" t="s">
        <v>102</v>
      </c>
      <c r="I123" s="270" t="s">
        <v>103</v>
      </c>
      <c r="J123" s="269" t="s">
        <v>81</v>
      </c>
      <c r="K123" s="268" t="s">
        <v>104</v>
      </c>
      <c r="L123" s="118"/>
      <c r="M123" s="267" t="s">
        <v>1</v>
      </c>
      <c r="N123" s="266"/>
      <c r="O123" s="266" t="s">
        <v>105</v>
      </c>
      <c r="P123" s="266" t="s">
        <v>106</v>
      </c>
      <c r="Q123" s="266" t="s">
        <v>107</v>
      </c>
      <c r="R123" s="266" t="s">
        <v>108</v>
      </c>
      <c r="S123" s="266" t="s">
        <v>109</v>
      </c>
      <c r="T123" s="265" t="s">
        <v>110</v>
      </c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</row>
    <row r="124" spans="1:65" s="2" customFormat="1" ht="22.9" customHeight="1" x14ac:dyDescent="0.25">
      <c r="A124" s="202"/>
      <c r="B124" s="29"/>
      <c r="C124" s="264" t="s">
        <v>82</v>
      </c>
      <c r="D124" s="202"/>
      <c r="E124" s="202"/>
      <c r="F124" s="202"/>
      <c r="G124" s="202"/>
      <c r="H124" s="202"/>
      <c r="I124" s="202"/>
      <c r="J124" s="263">
        <f>J125+J171+J175+J186</f>
        <v>0</v>
      </c>
      <c r="K124" s="202"/>
      <c r="L124" s="29"/>
      <c r="M124" s="61"/>
      <c r="N124" s="52"/>
      <c r="O124" s="62"/>
      <c r="P124" s="262" t="e">
        <f>P125+P171+P175+#REF!+P186+#REF!+#REF!</f>
        <v>#REF!</v>
      </c>
      <c r="Q124" s="62"/>
      <c r="R124" s="262" t="e">
        <f>R125+R171+R175+#REF!+R186+#REF!+#REF!</f>
        <v>#REF!</v>
      </c>
      <c r="S124" s="62"/>
      <c r="T124" s="261" t="e">
        <f>T125+T171+T175+#REF!+T186+#REF!+#REF!</f>
        <v>#REF!</v>
      </c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T124" s="16" t="s">
        <v>71</v>
      </c>
      <c r="AU124" s="16" t="s">
        <v>83</v>
      </c>
      <c r="BK124" s="260" t="e">
        <f>BK125+BK171+BK175+#REF!+BK186+#REF!+#REF!</f>
        <v>#REF!</v>
      </c>
    </row>
    <row r="125" spans="1:65" s="306" customFormat="1" ht="14.1" customHeight="1" x14ac:dyDescent="0.2">
      <c r="B125" s="307"/>
      <c r="C125" s="308" t="s">
        <v>778</v>
      </c>
      <c r="D125" s="414" t="s">
        <v>787</v>
      </c>
      <c r="E125" s="415"/>
      <c r="F125" s="415"/>
      <c r="G125" s="309"/>
      <c r="H125" s="310"/>
      <c r="I125" s="310"/>
      <c r="J125" s="310">
        <f>J126+J127+J128+J129+J130+J131+J132+J133+J134+J135+J136+J137+J138+J139+J140+J141+J142+J143+J144+J145+J146+J147+J148+J149+J150+J151+J152+J153+J154+J155+J156+J157+J158+J159+J160+J161+J162+J163+J164+J165+J166+J167+J168+J169+J170</f>
        <v>0</v>
      </c>
      <c r="K125" s="311"/>
    </row>
    <row r="126" spans="1:65" s="2" customFormat="1" ht="22.5" customHeight="1" x14ac:dyDescent="0.2">
      <c r="A126" s="202"/>
      <c r="B126" s="135"/>
      <c r="C126" s="236" t="s">
        <v>77</v>
      </c>
      <c r="D126" s="236" t="s">
        <v>268</v>
      </c>
      <c r="E126" s="235" t="s">
        <v>782</v>
      </c>
      <c r="F126" s="312" t="s">
        <v>788</v>
      </c>
      <c r="G126" s="233" t="s">
        <v>146</v>
      </c>
      <c r="H126" s="232">
        <v>1</v>
      </c>
      <c r="I126" s="231"/>
      <c r="J126" s="231">
        <f t="shared" ref="J126:J170" si="0">ROUND(I126*H126,2)</f>
        <v>0</v>
      </c>
      <c r="K126" s="230"/>
      <c r="L126" s="229"/>
      <c r="M126" s="240" t="s">
        <v>1</v>
      </c>
      <c r="N126" s="239"/>
      <c r="O126" s="238">
        <v>0</v>
      </c>
      <c r="P126" s="238">
        <f t="shared" ref="P126:P170" si="1">O126*H126</f>
        <v>0</v>
      </c>
      <c r="Q126" s="238">
        <v>0</v>
      </c>
      <c r="R126" s="238">
        <f t="shared" ref="R126:R170" si="2">Q126*H126</f>
        <v>0</v>
      </c>
      <c r="S126" s="238">
        <v>0</v>
      </c>
      <c r="T126" s="237">
        <f t="shared" ref="T126:T170" si="3">S126*H126</f>
        <v>0</v>
      </c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R126" s="228" t="s">
        <v>154</v>
      </c>
      <c r="AT126" s="228" t="s">
        <v>268</v>
      </c>
      <c r="AU126" s="228" t="s">
        <v>77</v>
      </c>
      <c r="AY126" s="16" t="s">
        <v>113</v>
      </c>
      <c r="BE126" s="148">
        <f t="shared" ref="BE126:BE170" si="4">IF(N126="základná",J126,0)</f>
        <v>0</v>
      </c>
      <c r="BF126" s="148">
        <f t="shared" ref="BF126:BF170" si="5">IF(N126="znížená",J126,0)</f>
        <v>0</v>
      </c>
      <c r="BG126" s="148">
        <f t="shared" ref="BG126:BG170" si="6">IF(N126="zákl. prenesená",J126,0)</f>
        <v>0</v>
      </c>
      <c r="BH126" s="148">
        <f t="shared" ref="BH126:BH170" si="7">IF(N126="zníž. prenesená",J126,0)</f>
        <v>0</v>
      </c>
      <c r="BI126" s="148">
        <f t="shared" ref="BI126:BI170" si="8">IF(N126="nulová",J126,0)</f>
        <v>0</v>
      </c>
      <c r="BJ126" s="16" t="s">
        <v>120</v>
      </c>
      <c r="BK126" s="148">
        <f t="shared" ref="BK126:BK170" si="9">ROUND(I126*H126,2)</f>
        <v>0</v>
      </c>
      <c r="BL126" s="16" t="s">
        <v>119</v>
      </c>
      <c r="BM126" s="228" t="s">
        <v>120</v>
      </c>
    </row>
    <row r="127" spans="1:65" s="2" customFormat="1" ht="24" customHeight="1" x14ac:dyDescent="0.2">
      <c r="A127" s="202"/>
      <c r="B127" s="135"/>
      <c r="C127" s="248">
        <v>2</v>
      </c>
      <c r="D127" s="248" t="s">
        <v>115</v>
      </c>
      <c r="E127" s="247" t="s">
        <v>790</v>
      </c>
      <c r="F127" s="313" t="s">
        <v>789</v>
      </c>
      <c r="G127" s="245" t="s">
        <v>146</v>
      </c>
      <c r="H127" s="244">
        <v>1</v>
      </c>
      <c r="I127" s="243"/>
      <c r="J127" s="243">
        <f t="shared" si="0"/>
        <v>0</v>
      </c>
      <c r="K127" s="142"/>
      <c r="L127" s="29"/>
      <c r="M127" s="242" t="s">
        <v>1</v>
      </c>
      <c r="N127" s="241"/>
      <c r="O127" s="238">
        <v>0</v>
      </c>
      <c r="P127" s="238">
        <f t="shared" si="1"/>
        <v>0</v>
      </c>
      <c r="Q127" s="238">
        <v>0</v>
      </c>
      <c r="R127" s="238">
        <f t="shared" si="2"/>
        <v>0</v>
      </c>
      <c r="S127" s="238">
        <v>0</v>
      </c>
      <c r="T127" s="237">
        <f t="shared" si="3"/>
        <v>0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R127" s="228" t="s">
        <v>119</v>
      </c>
      <c r="AT127" s="228" t="s">
        <v>115</v>
      </c>
      <c r="AU127" s="228" t="s">
        <v>77</v>
      </c>
      <c r="AY127" s="16" t="s">
        <v>113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6" t="s">
        <v>120</v>
      </c>
      <c r="BK127" s="148">
        <f t="shared" si="9"/>
        <v>0</v>
      </c>
      <c r="BL127" s="16" t="s">
        <v>119</v>
      </c>
      <c r="BM127" s="228" t="s">
        <v>769</v>
      </c>
    </row>
    <row r="128" spans="1:65" s="2" customFormat="1" ht="16.5" customHeight="1" x14ac:dyDescent="0.2">
      <c r="A128" s="202"/>
      <c r="B128" s="135"/>
      <c r="C128" s="236" t="s">
        <v>130</v>
      </c>
      <c r="D128" s="236" t="s">
        <v>268</v>
      </c>
      <c r="E128" s="235" t="s">
        <v>781</v>
      </c>
      <c r="F128" s="234" t="s">
        <v>791</v>
      </c>
      <c r="G128" s="233" t="s">
        <v>146</v>
      </c>
      <c r="H128" s="232">
        <v>2</v>
      </c>
      <c r="I128" s="231"/>
      <c r="J128" s="231">
        <f t="shared" si="0"/>
        <v>0</v>
      </c>
      <c r="K128" s="230"/>
      <c r="L128" s="229"/>
      <c r="M128" s="240" t="s">
        <v>1</v>
      </c>
      <c r="N128" s="239"/>
      <c r="O128" s="238">
        <v>0</v>
      </c>
      <c r="P128" s="238">
        <f t="shared" si="1"/>
        <v>0</v>
      </c>
      <c r="Q128" s="238">
        <v>0</v>
      </c>
      <c r="R128" s="238">
        <f t="shared" si="2"/>
        <v>0</v>
      </c>
      <c r="S128" s="238">
        <v>0</v>
      </c>
      <c r="T128" s="237">
        <f t="shared" si="3"/>
        <v>0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R128" s="228" t="s">
        <v>154</v>
      </c>
      <c r="AT128" s="228" t="s">
        <v>268</v>
      </c>
      <c r="AU128" s="228" t="s">
        <v>77</v>
      </c>
      <c r="AY128" s="16" t="s">
        <v>113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6" t="s">
        <v>120</v>
      </c>
      <c r="BK128" s="148">
        <f t="shared" si="9"/>
        <v>0</v>
      </c>
      <c r="BL128" s="16" t="s">
        <v>119</v>
      </c>
      <c r="BM128" s="228" t="s">
        <v>143</v>
      </c>
    </row>
    <row r="129" spans="1:65" s="2" customFormat="1" ht="16.5" customHeight="1" x14ac:dyDescent="0.2">
      <c r="A129" s="202"/>
      <c r="B129" s="135"/>
      <c r="C129" s="236" t="s">
        <v>119</v>
      </c>
      <c r="D129" s="236" t="s">
        <v>268</v>
      </c>
      <c r="E129" s="235" t="s">
        <v>781</v>
      </c>
      <c r="F129" s="314" t="s">
        <v>792</v>
      </c>
      <c r="G129" s="233" t="s">
        <v>146</v>
      </c>
      <c r="H129" s="232">
        <v>1</v>
      </c>
      <c r="I129" s="231"/>
      <c r="J129" s="231">
        <f t="shared" si="0"/>
        <v>0</v>
      </c>
      <c r="K129" s="230"/>
      <c r="L129" s="229"/>
      <c r="M129" s="240" t="s">
        <v>1</v>
      </c>
      <c r="N129" s="239"/>
      <c r="O129" s="238">
        <v>0</v>
      </c>
      <c r="P129" s="238">
        <f t="shared" si="1"/>
        <v>0</v>
      </c>
      <c r="Q129" s="238">
        <v>0</v>
      </c>
      <c r="R129" s="238">
        <f t="shared" si="2"/>
        <v>0</v>
      </c>
      <c r="S129" s="238">
        <v>0</v>
      </c>
      <c r="T129" s="237">
        <f t="shared" si="3"/>
        <v>0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R129" s="228" t="s">
        <v>154</v>
      </c>
      <c r="AT129" s="228" t="s">
        <v>268</v>
      </c>
      <c r="AU129" s="228" t="s">
        <v>77</v>
      </c>
      <c r="AY129" s="16" t="s">
        <v>113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6" t="s">
        <v>120</v>
      </c>
      <c r="BK129" s="148">
        <f t="shared" si="9"/>
        <v>0</v>
      </c>
      <c r="BL129" s="16" t="s">
        <v>119</v>
      </c>
      <c r="BM129" s="228" t="s">
        <v>154</v>
      </c>
    </row>
    <row r="130" spans="1:65" s="2" customFormat="1" ht="16.5" customHeight="1" x14ac:dyDescent="0.2">
      <c r="A130" s="202"/>
      <c r="B130" s="135"/>
      <c r="C130" s="236" t="s">
        <v>138</v>
      </c>
      <c r="D130" s="236" t="s">
        <v>268</v>
      </c>
      <c r="E130" s="235" t="s">
        <v>781</v>
      </c>
      <c r="F130" s="314" t="s">
        <v>793</v>
      </c>
      <c r="G130" s="233" t="s">
        <v>146</v>
      </c>
      <c r="H130" s="232">
        <v>3</v>
      </c>
      <c r="I130" s="231"/>
      <c r="J130" s="231">
        <f t="shared" si="0"/>
        <v>0</v>
      </c>
      <c r="K130" s="230"/>
      <c r="L130" s="229"/>
      <c r="M130" s="240" t="s">
        <v>1</v>
      </c>
      <c r="N130" s="239"/>
      <c r="O130" s="238">
        <v>0</v>
      </c>
      <c r="P130" s="238">
        <f t="shared" si="1"/>
        <v>0</v>
      </c>
      <c r="Q130" s="238">
        <v>0</v>
      </c>
      <c r="R130" s="238">
        <f t="shared" si="2"/>
        <v>0</v>
      </c>
      <c r="S130" s="238">
        <v>0</v>
      </c>
      <c r="T130" s="237">
        <f t="shared" si="3"/>
        <v>0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R130" s="228" t="s">
        <v>154</v>
      </c>
      <c r="AT130" s="228" t="s">
        <v>268</v>
      </c>
      <c r="AU130" s="228" t="s">
        <v>77</v>
      </c>
      <c r="AY130" s="16" t="s">
        <v>113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6" t="s">
        <v>120</v>
      </c>
      <c r="BK130" s="148">
        <f t="shared" si="9"/>
        <v>0</v>
      </c>
      <c r="BL130" s="16" t="s">
        <v>119</v>
      </c>
      <c r="BM130" s="228" t="s">
        <v>549</v>
      </c>
    </row>
    <row r="131" spans="1:65" s="2" customFormat="1" ht="16.5" customHeight="1" x14ac:dyDescent="0.2">
      <c r="A131" s="202"/>
      <c r="B131" s="135"/>
      <c r="C131" s="236" t="s">
        <v>143</v>
      </c>
      <c r="D131" s="236" t="s">
        <v>268</v>
      </c>
      <c r="E131" s="235" t="s">
        <v>782</v>
      </c>
      <c r="F131" s="315" t="s">
        <v>794</v>
      </c>
      <c r="G131" s="233" t="s">
        <v>146</v>
      </c>
      <c r="H131" s="232">
        <v>1</v>
      </c>
      <c r="I131" s="231"/>
      <c r="J131" s="231">
        <f t="shared" si="0"/>
        <v>0</v>
      </c>
      <c r="K131" s="230"/>
      <c r="L131" s="229"/>
      <c r="M131" s="240" t="s">
        <v>1</v>
      </c>
      <c r="N131" s="239"/>
      <c r="O131" s="238">
        <v>0</v>
      </c>
      <c r="P131" s="238">
        <f t="shared" si="1"/>
        <v>0</v>
      </c>
      <c r="Q131" s="238">
        <v>0</v>
      </c>
      <c r="R131" s="238">
        <f t="shared" si="2"/>
        <v>0</v>
      </c>
      <c r="S131" s="238">
        <v>0</v>
      </c>
      <c r="T131" s="237">
        <f t="shared" si="3"/>
        <v>0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R131" s="228" t="s">
        <v>154</v>
      </c>
      <c r="AT131" s="228" t="s">
        <v>268</v>
      </c>
      <c r="AU131" s="228" t="s">
        <v>77</v>
      </c>
      <c r="AY131" s="16" t="s">
        <v>113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6" t="s">
        <v>120</v>
      </c>
      <c r="BK131" s="148">
        <f t="shared" si="9"/>
        <v>0</v>
      </c>
      <c r="BL131" s="16" t="s">
        <v>119</v>
      </c>
      <c r="BM131" s="228" t="s">
        <v>557</v>
      </c>
    </row>
    <row r="132" spans="1:65" s="2" customFormat="1" ht="27.75" customHeight="1" x14ac:dyDescent="0.2">
      <c r="A132" s="202"/>
      <c r="B132" s="135"/>
      <c r="C132" s="236" t="s">
        <v>148</v>
      </c>
      <c r="D132" s="236" t="s">
        <v>268</v>
      </c>
      <c r="E132" s="235" t="s">
        <v>781</v>
      </c>
      <c r="F132" s="315" t="s">
        <v>795</v>
      </c>
      <c r="G132" s="233" t="s">
        <v>146</v>
      </c>
      <c r="H132" s="232">
        <v>3</v>
      </c>
      <c r="I132" s="231"/>
      <c r="J132" s="231">
        <f t="shared" si="0"/>
        <v>0</v>
      </c>
      <c r="K132" s="230"/>
      <c r="L132" s="229"/>
      <c r="M132" s="240" t="s">
        <v>1</v>
      </c>
      <c r="N132" s="239"/>
      <c r="O132" s="238">
        <v>0</v>
      </c>
      <c r="P132" s="238">
        <f t="shared" si="1"/>
        <v>0</v>
      </c>
      <c r="Q132" s="238">
        <v>0</v>
      </c>
      <c r="R132" s="238">
        <f t="shared" si="2"/>
        <v>0</v>
      </c>
      <c r="S132" s="238">
        <v>0</v>
      </c>
      <c r="T132" s="237">
        <f t="shared" si="3"/>
        <v>0</v>
      </c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R132" s="228" t="s">
        <v>154</v>
      </c>
      <c r="AT132" s="228" t="s">
        <v>268</v>
      </c>
      <c r="AU132" s="228" t="s">
        <v>77</v>
      </c>
      <c r="AY132" s="16" t="s">
        <v>113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6" t="s">
        <v>120</v>
      </c>
      <c r="BK132" s="148">
        <f t="shared" si="9"/>
        <v>0</v>
      </c>
      <c r="BL132" s="16" t="s">
        <v>119</v>
      </c>
      <c r="BM132" s="228" t="s">
        <v>565</v>
      </c>
    </row>
    <row r="133" spans="1:65" s="2" customFormat="1" ht="24" customHeight="1" x14ac:dyDescent="0.2">
      <c r="A133" s="202"/>
      <c r="B133" s="135"/>
      <c r="C133" s="236" t="s">
        <v>154</v>
      </c>
      <c r="D133" s="236" t="s">
        <v>268</v>
      </c>
      <c r="E133" s="235" t="s">
        <v>781</v>
      </c>
      <c r="F133" s="315" t="s">
        <v>796</v>
      </c>
      <c r="G133" s="233" t="s">
        <v>146</v>
      </c>
      <c r="H133" s="232">
        <v>1</v>
      </c>
      <c r="I133" s="231"/>
      <c r="J133" s="231">
        <f t="shared" si="0"/>
        <v>0</v>
      </c>
      <c r="K133" s="230"/>
      <c r="L133" s="229"/>
      <c r="M133" s="240" t="s">
        <v>1</v>
      </c>
      <c r="N133" s="239"/>
      <c r="O133" s="238">
        <v>0</v>
      </c>
      <c r="P133" s="238">
        <f t="shared" si="1"/>
        <v>0</v>
      </c>
      <c r="Q133" s="238">
        <v>0</v>
      </c>
      <c r="R133" s="238">
        <f t="shared" si="2"/>
        <v>0</v>
      </c>
      <c r="S133" s="238">
        <v>0</v>
      </c>
      <c r="T133" s="237">
        <f t="shared" si="3"/>
        <v>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R133" s="228" t="s">
        <v>154</v>
      </c>
      <c r="AT133" s="228" t="s">
        <v>268</v>
      </c>
      <c r="AU133" s="228" t="s">
        <v>77</v>
      </c>
      <c r="AY133" s="16" t="s">
        <v>113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6" t="s">
        <v>120</v>
      </c>
      <c r="BK133" s="148">
        <f t="shared" si="9"/>
        <v>0</v>
      </c>
      <c r="BL133" s="16" t="s">
        <v>119</v>
      </c>
      <c r="BM133" s="228" t="s">
        <v>186</v>
      </c>
    </row>
    <row r="134" spans="1:65" s="2" customFormat="1" ht="16.5" customHeight="1" x14ac:dyDescent="0.2">
      <c r="A134" s="202"/>
      <c r="B134" s="135"/>
      <c r="C134" s="248">
        <v>9</v>
      </c>
      <c r="D134" s="248" t="s">
        <v>115</v>
      </c>
      <c r="E134" s="247" t="s">
        <v>797</v>
      </c>
      <c r="F134" s="316" t="s">
        <v>798</v>
      </c>
      <c r="G134" s="245" t="s">
        <v>146</v>
      </c>
      <c r="H134" s="244">
        <v>3</v>
      </c>
      <c r="I134" s="243"/>
      <c r="J134" s="243">
        <f t="shared" si="0"/>
        <v>0</v>
      </c>
      <c r="K134" s="142"/>
      <c r="L134" s="29"/>
      <c r="M134" s="242" t="s">
        <v>1</v>
      </c>
      <c r="N134" s="241"/>
      <c r="O134" s="238">
        <v>0</v>
      </c>
      <c r="P134" s="238">
        <f t="shared" si="1"/>
        <v>0</v>
      </c>
      <c r="Q134" s="238">
        <v>0</v>
      </c>
      <c r="R134" s="238">
        <f t="shared" si="2"/>
        <v>0</v>
      </c>
      <c r="S134" s="238">
        <v>0</v>
      </c>
      <c r="T134" s="237">
        <f t="shared" si="3"/>
        <v>0</v>
      </c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R134" s="228" t="s">
        <v>119</v>
      </c>
      <c r="AT134" s="228" t="s">
        <v>115</v>
      </c>
      <c r="AU134" s="228" t="s">
        <v>77</v>
      </c>
      <c r="AY134" s="16" t="s">
        <v>113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6" t="s">
        <v>120</v>
      </c>
      <c r="BK134" s="148">
        <f t="shared" si="9"/>
        <v>0</v>
      </c>
      <c r="BL134" s="16" t="s">
        <v>119</v>
      </c>
      <c r="BM134" s="228" t="s">
        <v>769</v>
      </c>
    </row>
    <row r="135" spans="1:65" s="2" customFormat="1" ht="16.5" customHeight="1" x14ac:dyDescent="0.2">
      <c r="A135" s="202"/>
      <c r="B135" s="135"/>
      <c r="C135" s="248">
        <v>10</v>
      </c>
      <c r="D135" s="248" t="s">
        <v>115</v>
      </c>
      <c r="E135" s="247" t="s">
        <v>777</v>
      </c>
      <c r="F135" s="316" t="s">
        <v>799</v>
      </c>
      <c r="G135" s="245" t="s">
        <v>146</v>
      </c>
      <c r="H135" s="244">
        <v>7</v>
      </c>
      <c r="I135" s="243"/>
      <c r="J135" s="243">
        <f t="shared" si="0"/>
        <v>0</v>
      </c>
      <c r="K135" s="142"/>
      <c r="L135" s="29"/>
      <c r="M135" s="242" t="s">
        <v>1</v>
      </c>
      <c r="N135" s="241"/>
      <c r="O135" s="238">
        <v>0</v>
      </c>
      <c r="P135" s="238">
        <f t="shared" si="1"/>
        <v>0</v>
      </c>
      <c r="Q135" s="238">
        <v>0</v>
      </c>
      <c r="R135" s="238">
        <f t="shared" si="2"/>
        <v>0</v>
      </c>
      <c r="S135" s="238">
        <v>0</v>
      </c>
      <c r="T135" s="237">
        <f t="shared" si="3"/>
        <v>0</v>
      </c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R135" s="228" t="s">
        <v>119</v>
      </c>
      <c r="AT135" s="228" t="s">
        <v>115</v>
      </c>
      <c r="AU135" s="228" t="s">
        <v>77</v>
      </c>
      <c r="AY135" s="16" t="s">
        <v>113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6" t="s">
        <v>120</v>
      </c>
      <c r="BK135" s="148">
        <f t="shared" si="9"/>
        <v>0</v>
      </c>
      <c r="BL135" s="16" t="s">
        <v>119</v>
      </c>
      <c r="BM135" s="228" t="s">
        <v>769</v>
      </c>
    </row>
    <row r="136" spans="1:65" s="2" customFormat="1" ht="16.5" customHeight="1" x14ac:dyDescent="0.2">
      <c r="A136" s="202"/>
      <c r="B136" s="135"/>
      <c r="C136" s="248">
        <v>11</v>
      </c>
      <c r="D136" s="248" t="s">
        <v>115</v>
      </c>
      <c r="E136" s="247" t="s">
        <v>800</v>
      </c>
      <c r="F136" s="317" t="s">
        <v>801</v>
      </c>
      <c r="G136" s="245" t="s">
        <v>146</v>
      </c>
      <c r="H136" s="244">
        <v>4</v>
      </c>
      <c r="I136" s="243"/>
      <c r="J136" s="243">
        <f t="shared" si="0"/>
        <v>0</v>
      </c>
      <c r="K136" s="142"/>
      <c r="L136" s="29"/>
      <c r="M136" s="242" t="s">
        <v>1</v>
      </c>
      <c r="N136" s="241"/>
      <c r="O136" s="238">
        <v>0</v>
      </c>
      <c r="P136" s="238">
        <f t="shared" si="1"/>
        <v>0</v>
      </c>
      <c r="Q136" s="238">
        <v>0</v>
      </c>
      <c r="R136" s="238">
        <f t="shared" si="2"/>
        <v>0</v>
      </c>
      <c r="S136" s="238">
        <v>0</v>
      </c>
      <c r="T136" s="237">
        <f t="shared" si="3"/>
        <v>0</v>
      </c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R136" s="228" t="s">
        <v>119</v>
      </c>
      <c r="AT136" s="228" t="s">
        <v>115</v>
      </c>
      <c r="AU136" s="228" t="s">
        <v>77</v>
      </c>
      <c r="AY136" s="16" t="s">
        <v>113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6" t="s">
        <v>120</v>
      </c>
      <c r="BK136" s="148">
        <f t="shared" si="9"/>
        <v>0</v>
      </c>
      <c r="BL136" s="16" t="s">
        <v>119</v>
      </c>
      <c r="BM136" s="228" t="s">
        <v>769</v>
      </c>
    </row>
    <row r="137" spans="1:65" s="2" customFormat="1" ht="15.75" customHeight="1" x14ac:dyDescent="0.2">
      <c r="A137" s="202"/>
      <c r="B137" s="135"/>
      <c r="C137" s="236" t="s">
        <v>557</v>
      </c>
      <c r="D137" s="236" t="s">
        <v>268</v>
      </c>
      <c r="E137" s="235" t="s">
        <v>781</v>
      </c>
      <c r="F137" s="312" t="s">
        <v>802</v>
      </c>
      <c r="G137" s="233" t="s">
        <v>151</v>
      </c>
      <c r="H137" s="232">
        <v>15</v>
      </c>
      <c r="I137" s="231"/>
      <c r="J137" s="231">
        <f t="shared" si="0"/>
        <v>0</v>
      </c>
      <c r="K137" s="230"/>
      <c r="L137" s="229"/>
      <c r="M137" s="240" t="s">
        <v>1</v>
      </c>
      <c r="N137" s="239"/>
      <c r="O137" s="238">
        <v>0</v>
      </c>
      <c r="P137" s="238">
        <f t="shared" si="1"/>
        <v>0</v>
      </c>
      <c r="Q137" s="238">
        <v>0</v>
      </c>
      <c r="R137" s="238">
        <f t="shared" si="2"/>
        <v>0</v>
      </c>
      <c r="S137" s="238">
        <v>0</v>
      </c>
      <c r="T137" s="237">
        <f t="shared" si="3"/>
        <v>0</v>
      </c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R137" s="228" t="s">
        <v>154</v>
      </c>
      <c r="AT137" s="228" t="s">
        <v>268</v>
      </c>
      <c r="AU137" s="228" t="s">
        <v>77</v>
      </c>
      <c r="AY137" s="16" t="s">
        <v>113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6" t="s">
        <v>120</v>
      </c>
      <c r="BK137" s="148">
        <f t="shared" si="9"/>
        <v>0</v>
      </c>
      <c r="BL137" s="16" t="s">
        <v>119</v>
      </c>
      <c r="BM137" s="228" t="s">
        <v>606</v>
      </c>
    </row>
    <row r="138" spans="1:65" s="2" customFormat="1" ht="15.75" customHeight="1" x14ac:dyDescent="0.2">
      <c r="A138" s="202"/>
      <c r="B138" s="135"/>
      <c r="C138" s="236">
        <v>13</v>
      </c>
      <c r="D138" s="236" t="s">
        <v>268</v>
      </c>
      <c r="E138" s="235" t="s">
        <v>781</v>
      </c>
      <c r="F138" s="312" t="s">
        <v>803</v>
      </c>
      <c r="G138" s="233" t="s">
        <v>151</v>
      </c>
      <c r="H138" s="232">
        <v>60</v>
      </c>
      <c r="I138" s="231"/>
      <c r="J138" s="231">
        <f t="shared" si="0"/>
        <v>0</v>
      </c>
      <c r="K138" s="230"/>
      <c r="L138" s="229"/>
      <c r="M138" s="240" t="s">
        <v>1</v>
      </c>
      <c r="N138" s="239"/>
      <c r="O138" s="238">
        <v>0</v>
      </c>
      <c r="P138" s="238">
        <f t="shared" si="1"/>
        <v>0</v>
      </c>
      <c r="Q138" s="238">
        <v>0</v>
      </c>
      <c r="R138" s="238">
        <f t="shared" si="2"/>
        <v>0</v>
      </c>
      <c r="S138" s="238">
        <v>0</v>
      </c>
      <c r="T138" s="237">
        <f t="shared" si="3"/>
        <v>0</v>
      </c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R138" s="228" t="s">
        <v>154</v>
      </c>
      <c r="AT138" s="228" t="s">
        <v>268</v>
      </c>
      <c r="AU138" s="228" t="s">
        <v>77</v>
      </c>
      <c r="AY138" s="16" t="s">
        <v>113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6" t="s">
        <v>120</v>
      </c>
      <c r="BK138" s="148">
        <f t="shared" si="9"/>
        <v>0</v>
      </c>
      <c r="BL138" s="16" t="s">
        <v>119</v>
      </c>
      <c r="BM138" s="228" t="s">
        <v>606</v>
      </c>
    </row>
    <row r="139" spans="1:65" s="2" customFormat="1" ht="15.75" customHeight="1" x14ac:dyDescent="0.2">
      <c r="A139" s="202"/>
      <c r="B139" s="135"/>
      <c r="C139" s="236">
        <v>14</v>
      </c>
      <c r="D139" s="236" t="s">
        <v>268</v>
      </c>
      <c r="E139" s="235" t="s">
        <v>781</v>
      </c>
      <c r="F139" s="312" t="s">
        <v>804</v>
      </c>
      <c r="G139" s="233" t="s">
        <v>151</v>
      </c>
      <c r="H139" s="232">
        <v>80</v>
      </c>
      <c r="I139" s="231"/>
      <c r="J139" s="231">
        <f t="shared" si="0"/>
        <v>0</v>
      </c>
      <c r="K139" s="230"/>
      <c r="L139" s="229"/>
      <c r="M139" s="240" t="s">
        <v>1</v>
      </c>
      <c r="N139" s="239"/>
      <c r="O139" s="238">
        <v>0</v>
      </c>
      <c r="P139" s="238">
        <f t="shared" si="1"/>
        <v>0</v>
      </c>
      <c r="Q139" s="238">
        <v>0</v>
      </c>
      <c r="R139" s="238">
        <f t="shared" si="2"/>
        <v>0</v>
      </c>
      <c r="S139" s="238">
        <v>0</v>
      </c>
      <c r="T139" s="237">
        <f t="shared" si="3"/>
        <v>0</v>
      </c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R139" s="228" t="s">
        <v>154</v>
      </c>
      <c r="AT139" s="228" t="s">
        <v>268</v>
      </c>
      <c r="AU139" s="228" t="s">
        <v>77</v>
      </c>
      <c r="AY139" s="16" t="s">
        <v>113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6" t="s">
        <v>120</v>
      </c>
      <c r="BK139" s="148">
        <f t="shared" si="9"/>
        <v>0</v>
      </c>
      <c r="BL139" s="16" t="s">
        <v>119</v>
      </c>
      <c r="BM139" s="228" t="s">
        <v>606</v>
      </c>
    </row>
    <row r="140" spans="1:65" s="2" customFormat="1" ht="15.75" customHeight="1" x14ac:dyDescent="0.2">
      <c r="A140" s="202"/>
      <c r="B140" s="135"/>
      <c r="C140" s="236">
        <v>15</v>
      </c>
      <c r="D140" s="236" t="s">
        <v>268</v>
      </c>
      <c r="E140" s="235" t="s">
        <v>781</v>
      </c>
      <c r="F140" s="312" t="s">
        <v>805</v>
      </c>
      <c r="G140" s="233" t="s">
        <v>151</v>
      </c>
      <c r="H140" s="232">
        <v>20</v>
      </c>
      <c r="I140" s="231"/>
      <c r="J140" s="231">
        <f t="shared" si="0"/>
        <v>0</v>
      </c>
      <c r="K140" s="230"/>
      <c r="L140" s="229"/>
      <c r="M140" s="240" t="s">
        <v>1</v>
      </c>
      <c r="N140" s="239"/>
      <c r="O140" s="238">
        <v>0</v>
      </c>
      <c r="P140" s="238">
        <f t="shared" si="1"/>
        <v>0</v>
      </c>
      <c r="Q140" s="238">
        <v>0</v>
      </c>
      <c r="R140" s="238">
        <f t="shared" si="2"/>
        <v>0</v>
      </c>
      <c r="S140" s="238">
        <v>0</v>
      </c>
      <c r="T140" s="237">
        <f t="shared" si="3"/>
        <v>0</v>
      </c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R140" s="228" t="s">
        <v>154</v>
      </c>
      <c r="AT140" s="228" t="s">
        <v>268</v>
      </c>
      <c r="AU140" s="228" t="s">
        <v>77</v>
      </c>
      <c r="AY140" s="16" t="s">
        <v>113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6" t="s">
        <v>120</v>
      </c>
      <c r="BK140" s="148">
        <f t="shared" si="9"/>
        <v>0</v>
      </c>
      <c r="BL140" s="16" t="s">
        <v>119</v>
      </c>
      <c r="BM140" s="228" t="s">
        <v>606</v>
      </c>
    </row>
    <row r="141" spans="1:65" s="2" customFormat="1" ht="24" customHeight="1" x14ac:dyDescent="0.2">
      <c r="A141" s="202"/>
      <c r="B141" s="135"/>
      <c r="C141" s="248">
        <v>16</v>
      </c>
      <c r="D141" s="248" t="s">
        <v>115</v>
      </c>
      <c r="E141" s="247" t="s">
        <v>807</v>
      </c>
      <c r="F141" s="313" t="s">
        <v>806</v>
      </c>
      <c r="G141" s="245" t="s">
        <v>151</v>
      </c>
      <c r="H141" s="244">
        <v>15</v>
      </c>
      <c r="I141" s="243"/>
      <c r="J141" s="243">
        <f t="shared" si="0"/>
        <v>0</v>
      </c>
      <c r="K141" s="230"/>
      <c r="L141" s="229"/>
      <c r="M141" s="240" t="s">
        <v>1</v>
      </c>
      <c r="N141" s="239"/>
      <c r="O141" s="238">
        <v>0</v>
      </c>
      <c r="P141" s="238">
        <f t="shared" si="1"/>
        <v>0</v>
      </c>
      <c r="Q141" s="238">
        <v>0</v>
      </c>
      <c r="R141" s="238">
        <f t="shared" si="2"/>
        <v>0</v>
      </c>
      <c r="S141" s="238">
        <v>0</v>
      </c>
      <c r="T141" s="237">
        <f t="shared" si="3"/>
        <v>0</v>
      </c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R141" s="228" t="s">
        <v>154</v>
      </c>
      <c r="AT141" s="228" t="s">
        <v>268</v>
      </c>
      <c r="AU141" s="228" t="s">
        <v>77</v>
      </c>
      <c r="AY141" s="16" t="s">
        <v>113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6" t="s">
        <v>120</v>
      </c>
      <c r="BK141" s="148">
        <f t="shared" si="9"/>
        <v>0</v>
      </c>
      <c r="BL141" s="16" t="s">
        <v>119</v>
      </c>
      <c r="BM141" s="228" t="s">
        <v>237</v>
      </c>
    </row>
    <row r="142" spans="1:65" s="2" customFormat="1" ht="24" customHeight="1" x14ac:dyDescent="0.2">
      <c r="A142" s="202"/>
      <c r="B142" s="135"/>
      <c r="C142" s="248">
        <v>17</v>
      </c>
      <c r="D142" s="248" t="s">
        <v>115</v>
      </c>
      <c r="E142" s="247" t="s">
        <v>808</v>
      </c>
      <c r="F142" s="313" t="s">
        <v>810</v>
      </c>
      <c r="G142" s="245" t="s">
        <v>151</v>
      </c>
      <c r="H142" s="244">
        <v>60</v>
      </c>
      <c r="I142" s="243"/>
      <c r="J142" s="243">
        <f t="shared" si="0"/>
        <v>0</v>
      </c>
      <c r="K142" s="230"/>
      <c r="L142" s="229"/>
      <c r="M142" s="240" t="s">
        <v>1</v>
      </c>
      <c r="N142" s="239"/>
      <c r="O142" s="238">
        <v>0</v>
      </c>
      <c r="P142" s="238">
        <f t="shared" si="1"/>
        <v>0</v>
      </c>
      <c r="Q142" s="238">
        <v>0</v>
      </c>
      <c r="R142" s="238">
        <f t="shared" si="2"/>
        <v>0</v>
      </c>
      <c r="S142" s="238">
        <v>0</v>
      </c>
      <c r="T142" s="237">
        <f t="shared" si="3"/>
        <v>0</v>
      </c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R142" s="228" t="s">
        <v>154</v>
      </c>
      <c r="AT142" s="228" t="s">
        <v>268</v>
      </c>
      <c r="AU142" s="228" t="s">
        <v>77</v>
      </c>
      <c r="AY142" s="16" t="s">
        <v>113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6" t="s">
        <v>120</v>
      </c>
      <c r="BK142" s="148">
        <f t="shared" si="9"/>
        <v>0</v>
      </c>
      <c r="BL142" s="16" t="s">
        <v>119</v>
      </c>
      <c r="BM142" s="228" t="s">
        <v>237</v>
      </c>
    </row>
    <row r="143" spans="1:65" s="2" customFormat="1" ht="24" customHeight="1" x14ac:dyDescent="0.2">
      <c r="A143" s="202"/>
      <c r="B143" s="135"/>
      <c r="C143" s="248">
        <v>18</v>
      </c>
      <c r="D143" s="248" t="s">
        <v>115</v>
      </c>
      <c r="E143" s="247" t="s">
        <v>809</v>
      </c>
      <c r="F143" s="313" t="s">
        <v>811</v>
      </c>
      <c r="G143" s="245" t="s">
        <v>151</v>
      </c>
      <c r="H143" s="244">
        <v>80</v>
      </c>
      <c r="I143" s="243"/>
      <c r="J143" s="243">
        <f t="shared" si="0"/>
        <v>0</v>
      </c>
      <c r="K143" s="230"/>
      <c r="L143" s="229"/>
      <c r="M143" s="240" t="s">
        <v>1</v>
      </c>
      <c r="N143" s="239"/>
      <c r="O143" s="238">
        <v>0</v>
      </c>
      <c r="P143" s="238">
        <f t="shared" si="1"/>
        <v>0</v>
      </c>
      <c r="Q143" s="238">
        <v>0</v>
      </c>
      <c r="R143" s="238">
        <f t="shared" si="2"/>
        <v>0</v>
      </c>
      <c r="S143" s="238">
        <v>0</v>
      </c>
      <c r="T143" s="237">
        <f t="shared" si="3"/>
        <v>0</v>
      </c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R143" s="228" t="s">
        <v>154</v>
      </c>
      <c r="AT143" s="228" t="s">
        <v>268</v>
      </c>
      <c r="AU143" s="228" t="s">
        <v>77</v>
      </c>
      <c r="AY143" s="16" t="s">
        <v>113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6" t="s">
        <v>120</v>
      </c>
      <c r="BK143" s="148">
        <f t="shared" si="9"/>
        <v>0</v>
      </c>
      <c r="BL143" s="16" t="s">
        <v>119</v>
      </c>
      <c r="BM143" s="228" t="s">
        <v>237</v>
      </c>
    </row>
    <row r="144" spans="1:65" s="2" customFormat="1" ht="24" customHeight="1" x14ac:dyDescent="0.2">
      <c r="A144" s="202"/>
      <c r="B144" s="135"/>
      <c r="C144" s="248">
        <v>19</v>
      </c>
      <c r="D144" s="248" t="s">
        <v>115</v>
      </c>
      <c r="E144" s="247" t="s">
        <v>812</v>
      </c>
      <c r="F144" s="313" t="s">
        <v>813</v>
      </c>
      <c r="G144" s="245" t="s">
        <v>146</v>
      </c>
      <c r="H144" s="244">
        <v>2</v>
      </c>
      <c r="I144" s="243"/>
      <c r="J144" s="243">
        <f t="shared" si="0"/>
        <v>0</v>
      </c>
      <c r="K144" s="230"/>
      <c r="L144" s="229"/>
      <c r="M144" s="240" t="s">
        <v>1</v>
      </c>
      <c r="N144" s="239"/>
      <c r="O144" s="238">
        <v>0</v>
      </c>
      <c r="P144" s="238">
        <f t="shared" si="1"/>
        <v>0</v>
      </c>
      <c r="Q144" s="238">
        <v>0</v>
      </c>
      <c r="R144" s="238">
        <f t="shared" si="2"/>
        <v>0</v>
      </c>
      <c r="S144" s="238">
        <v>0</v>
      </c>
      <c r="T144" s="237">
        <f t="shared" si="3"/>
        <v>0</v>
      </c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R144" s="228" t="s">
        <v>154</v>
      </c>
      <c r="AT144" s="228" t="s">
        <v>268</v>
      </c>
      <c r="AU144" s="228" t="s">
        <v>77</v>
      </c>
      <c r="AY144" s="16" t="s">
        <v>113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6" t="s">
        <v>120</v>
      </c>
      <c r="BK144" s="148">
        <f t="shared" si="9"/>
        <v>0</v>
      </c>
      <c r="BL144" s="16" t="s">
        <v>119</v>
      </c>
      <c r="BM144" s="228" t="s">
        <v>237</v>
      </c>
    </row>
    <row r="145" spans="1:65" s="2" customFormat="1" ht="24" customHeight="1" x14ac:dyDescent="0.2">
      <c r="A145" s="202"/>
      <c r="B145" s="135"/>
      <c r="C145" s="248">
        <v>20</v>
      </c>
      <c r="D145" s="248" t="s">
        <v>115</v>
      </c>
      <c r="E145" s="247" t="s">
        <v>776</v>
      </c>
      <c r="F145" s="313" t="s">
        <v>814</v>
      </c>
      <c r="G145" s="245" t="s">
        <v>146</v>
      </c>
      <c r="H145" s="244">
        <v>120</v>
      </c>
      <c r="I145" s="243"/>
      <c r="J145" s="243">
        <f t="shared" si="0"/>
        <v>0</v>
      </c>
      <c r="K145" s="230"/>
      <c r="L145" s="229"/>
      <c r="M145" s="240" t="s">
        <v>1</v>
      </c>
      <c r="N145" s="239"/>
      <c r="O145" s="238">
        <v>0</v>
      </c>
      <c r="P145" s="238">
        <f t="shared" si="1"/>
        <v>0</v>
      </c>
      <c r="Q145" s="238">
        <v>0</v>
      </c>
      <c r="R145" s="238">
        <f t="shared" si="2"/>
        <v>0</v>
      </c>
      <c r="S145" s="238">
        <v>0</v>
      </c>
      <c r="T145" s="237">
        <f t="shared" si="3"/>
        <v>0</v>
      </c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R145" s="228" t="s">
        <v>154</v>
      </c>
      <c r="AT145" s="228" t="s">
        <v>268</v>
      </c>
      <c r="AU145" s="228" t="s">
        <v>77</v>
      </c>
      <c r="AY145" s="16" t="s">
        <v>113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6" t="s">
        <v>120</v>
      </c>
      <c r="BK145" s="148">
        <f t="shared" si="9"/>
        <v>0</v>
      </c>
      <c r="BL145" s="16" t="s">
        <v>119</v>
      </c>
      <c r="BM145" s="228" t="s">
        <v>237</v>
      </c>
    </row>
    <row r="146" spans="1:65" s="2" customFormat="1" ht="24" customHeight="1" x14ac:dyDescent="0.2">
      <c r="A146" s="202"/>
      <c r="B146" s="135"/>
      <c r="C146" s="248">
        <v>21</v>
      </c>
      <c r="D146" s="248" t="s">
        <v>115</v>
      </c>
      <c r="E146" s="247" t="s">
        <v>815</v>
      </c>
      <c r="F146" s="313" t="s">
        <v>816</v>
      </c>
      <c r="G146" s="245" t="s">
        <v>146</v>
      </c>
      <c r="H146" s="244">
        <v>10</v>
      </c>
      <c r="I146" s="243"/>
      <c r="J146" s="243">
        <f t="shared" si="0"/>
        <v>0</v>
      </c>
      <c r="K146" s="230"/>
      <c r="L146" s="229"/>
      <c r="M146" s="240" t="s">
        <v>1</v>
      </c>
      <c r="N146" s="239"/>
      <c r="O146" s="238">
        <v>0</v>
      </c>
      <c r="P146" s="238">
        <f t="shared" si="1"/>
        <v>0</v>
      </c>
      <c r="Q146" s="238">
        <v>0</v>
      </c>
      <c r="R146" s="238">
        <f t="shared" si="2"/>
        <v>0</v>
      </c>
      <c r="S146" s="238">
        <v>0</v>
      </c>
      <c r="T146" s="237">
        <f t="shared" si="3"/>
        <v>0</v>
      </c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R146" s="228" t="s">
        <v>154</v>
      </c>
      <c r="AT146" s="228" t="s">
        <v>268</v>
      </c>
      <c r="AU146" s="228" t="s">
        <v>77</v>
      </c>
      <c r="AY146" s="16" t="s">
        <v>113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6" t="s">
        <v>120</v>
      </c>
      <c r="BK146" s="148">
        <f t="shared" si="9"/>
        <v>0</v>
      </c>
      <c r="BL146" s="16" t="s">
        <v>119</v>
      </c>
      <c r="BM146" s="228" t="s">
        <v>237</v>
      </c>
    </row>
    <row r="147" spans="1:65" s="2" customFormat="1" ht="24" customHeight="1" x14ac:dyDescent="0.2">
      <c r="A147" s="202"/>
      <c r="B147" s="135"/>
      <c r="C147" s="248">
        <v>22</v>
      </c>
      <c r="D147" s="248" t="s">
        <v>115</v>
      </c>
      <c r="E147" s="247" t="s">
        <v>775</v>
      </c>
      <c r="F147" s="313" t="s">
        <v>817</v>
      </c>
      <c r="G147" s="245" t="s">
        <v>146</v>
      </c>
      <c r="H147" s="244">
        <v>360</v>
      </c>
      <c r="I147" s="243"/>
      <c r="J147" s="243">
        <f t="shared" si="0"/>
        <v>0</v>
      </c>
      <c r="K147" s="230"/>
      <c r="L147" s="229"/>
      <c r="M147" s="240" t="s">
        <v>1</v>
      </c>
      <c r="N147" s="239"/>
      <c r="O147" s="238">
        <v>0</v>
      </c>
      <c r="P147" s="238">
        <f t="shared" si="1"/>
        <v>0</v>
      </c>
      <c r="Q147" s="238">
        <v>0</v>
      </c>
      <c r="R147" s="238">
        <f t="shared" si="2"/>
        <v>0</v>
      </c>
      <c r="S147" s="238">
        <v>0</v>
      </c>
      <c r="T147" s="237">
        <f t="shared" si="3"/>
        <v>0</v>
      </c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R147" s="228" t="s">
        <v>154</v>
      </c>
      <c r="AT147" s="228" t="s">
        <v>268</v>
      </c>
      <c r="AU147" s="228" t="s">
        <v>77</v>
      </c>
      <c r="AY147" s="16" t="s">
        <v>113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6" t="s">
        <v>120</v>
      </c>
      <c r="BK147" s="148">
        <f t="shared" si="9"/>
        <v>0</v>
      </c>
      <c r="BL147" s="16" t="s">
        <v>119</v>
      </c>
      <c r="BM147" s="228" t="s">
        <v>237</v>
      </c>
    </row>
    <row r="148" spans="1:65" s="2" customFormat="1" ht="24" customHeight="1" x14ac:dyDescent="0.2">
      <c r="A148" s="202"/>
      <c r="B148" s="135"/>
      <c r="C148" s="248">
        <v>23</v>
      </c>
      <c r="D148" s="248" t="s">
        <v>115</v>
      </c>
      <c r="E148" s="247" t="s">
        <v>818</v>
      </c>
      <c r="F148" s="313" t="s">
        <v>819</v>
      </c>
      <c r="G148" s="245" t="s">
        <v>151</v>
      </c>
      <c r="H148" s="244">
        <v>20</v>
      </c>
      <c r="I148" s="243"/>
      <c r="J148" s="243">
        <f t="shared" si="0"/>
        <v>0</v>
      </c>
      <c r="K148" s="230"/>
      <c r="L148" s="229"/>
      <c r="M148" s="240" t="s">
        <v>1</v>
      </c>
      <c r="N148" s="239"/>
      <c r="O148" s="238">
        <v>0</v>
      </c>
      <c r="P148" s="238">
        <f t="shared" si="1"/>
        <v>0</v>
      </c>
      <c r="Q148" s="238">
        <v>0</v>
      </c>
      <c r="R148" s="238">
        <f t="shared" si="2"/>
        <v>0</v>
      </c>
      <c r="S148" s="238">
        <v>0</v>
      </c>
      <c r="T148" s="237">
        <f t="shared" si="3"/>
        <v>0</v>
      </c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R148" s="228" t="s">
        <v>154</v>
      </c>
      <c r="AT148" s="228" t="s">
        <v>268</v>
      </c>
      <c r="AU148" s="228" t="s">
        <v>77</v>
      </c>
      <c r="AY148" s="16" t="s">
        <v>113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6" t="s">
        <v>120</v>
      </c>
      <c r="BK148" s="148">
        <f t="shared" si="9"/>
        <v>0</v>
      </c>
      <c r="BL148" s="16" t="s">
        <v>119</v>
      </c>
      <c r="BM148" s="228" t="s">
        <v>237</v>
      </c>
    </row>
    <row r="149" spans="1:65" s="2" customFormat="1" ht="24" customHeight="1" x14ac:dyDescent="0.2">
      <c r="A149" s="202"/>
      <c r="B149" s="135"/>
      <c r="C149" s="248">
        <v>24</v>
      </c>
      <c r="D149" s="248" t="s">
        <v>115</v>
      </c>
      <c r="E149" s="247" t="s">
        <v>820</v>
      </c>
      <c r="F149" s="313" t="s">
        <v>821</v>
      </c>
      <c r="G149" s="245" t="s">
        <v>151</v>
      </c>
      <c r="H149" s="244">
        <v>20</v>
      </c>
      <c r="I149" s="243"/>
      <c r="J149" s="243">
        <f t="shared" si="0"/>
        <v>0</v>
      </c>
      <c r="K149" s="230"/>
      <c r="L149" s="229"/>
      <c r="M149" s="240" t="s">
        <v>1</v>
      </c>
      <c r="N149" s="239"/>
      <c r="O149" s="238">
        <v>0</v>
      </c>
      <c r="P149" s="238">
        <f t="shared" si="1"/>
        <v>0</v>
      </c>
      <c r="Q149" s="238">
        <v>0</v>
      </c>
      <c r="R149" s="238">
        <f t="shared" si="2"/>
        <v>0</v>
      </c>
      <c r="S149" s="238">
        <v>0</v>
      </c>
      <c r="T149" s="237">
        <f t="shared" si="3"/>
        <v>0</v>
      </c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R149" s="228" t="s">
        <v>154</v>
      </c>
      <c r="AT149" s="228" t="s">
        <v>268</v>
      </c>
      <c r="AU149" s="228" t="s">
        <v>77</v>
      </c>
      <c r="AY149" s="16" t="s">
        <v>113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6" t="s">
        <v>120</v>
      </c>
      <c r="BK149" s="148">
        <f t="shared" si="9"/>
        <v>0</v>
      </c>
      <c r="BL149" s="16" t="s">
        <v>119</v>
      </c>
      <c r="BM149" s="228" t="s">
        <v>237</v>
      </c>
    </row>
    <row r="150" spans="1:65" s="2" customFormat="1" ht="24" customHeight="1" x14ac:dyDescent="0.2">
      <c r="A150" s="202"/>
      <c r="B150" s="135"/>
      <c r="C150" s="236" t="s">
        <v>610</v>
      </c>
      <c r="D150" s="236" t="s">
        <v>268</v>
      </c>
      <c r="E150" s="235" t="s">
        <v>782</v>
      </c>
      <c r="F150" s="312" t="s">
        <v>822</v>
      </c>
      <c r="G150" s="233" t="s">
        <v>146</v>
      </c>
      <c r="H150" s="232">
        <v>10</v>
      </c>
      <c r="I150" s="231"/>
      <c r="J150" s="231">
        <f t="shared" si="0"/>
        <v>0</v>
      </c>
      <c r="K150" s="230"/>
      <c r="L150" s="229"/>
      <c r="M150" s="240" t="s">
        <v>1</v>
      </c>
      <c r="N150" s="239"/>
      <c r="O150" s="238">
        <v>0</v>
      </c>
      <c r="P150" s="238">
        <f t="shared" si="1"/>
        <v>0</v>
      </c>
      <c r="Q150" s="238">
        <v>0</v>
      </c>
      <c r="R150" s="238">
        <f t="shared" si="2"/>
        <v>0</v>
      </c>
      <c r="S150" s="238">
        <v>0</v>
      </c>
      <c r="T150" s="237">
        <f t="shared" si="3"/>
        <v>0</v>
      </c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R150" s="228" t="s">
        <v>154</v>
      </c>
      <c r="AT150" s="228" t="s">
        <v>268</v>
      </c>
      <c r="AU150" s="228" t="s">
        <v>77</v>
      </c>
      <c r="AY150" s="16" t="s">
        <v>113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6" t="s">
        <v>120</v>
      </c>
      <c r="BK150" s="148">
        <f t="shared" si="9"/>
        <v>0</v>
      </c>
      <c r="BL150" s="16" t="s">
        <v>119</v>
      </c>
      <c r="BM150" s="228" t="s">
        <v>712</v>
      </c>
    </row>
    <row r="151" spans="1:65" s="2" customFormat="1" ht="24" customHeight="1" x14ac:dyDescent="0.2">
      <c r="A151" s="202"/>
      <c r="B151" s="135"/>
      <c r="C151" s="236" t="s">
        <v>614</v>
      </c>
      <c r="D151" s="236" t="s">
        <v>268</v>
      </c>
      <c r="E151" s="235" t="s">
        <v>782</v>
      </c>
      <c r="F151" s="318" t="s">
        <v>823</v>
      </c>
      <c r="G151" s="233" t="s">
        <v>146</v>
      </c>
      <c r="H151" s="232">
        <v>15</v>
      </c>
      <c r="I151" s="231"/>
      <c r="J151" s="231">
        <f t="shared" si="0"/>
        <v>0</v>
      </c>
      <c r="K151" s="230"/>
      <c r="L151" s="229"/>
      <c r="M151" s="240" t="s">
        <v>1</v>
      </c>
      <c r="N151" s="239"/>
      <c r="O151" s="238">
        <v>0</v>
      </c>
      <c r="P151" s="238">
        <f t="shared" si="1"/>
        <v>0</v>
      </c>
      <c r="Q151" s="238">
        <v>0</v>
      </c>
      <c r="R151" s="238">
        <f t="shared" si="2"/>
        <v>0</v>
      </c>
      <c r="S151" s="238">
        <v>0</v>
      </c>
      <c r="T151" s="237">
        <f t="shared" si="3"/>
        <v>0</v>
      </c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R151" s="228" t="s">
        <v>154</v>
      </c>
      <c r="AT151" s="228" t="s">
        <v>268</v>
      </c>
      <c r="AU151" s="228" t="s">
        <v>77</v>
      </c>
      <c r="AY151" s="16" t="s">
        <v>113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6" t="s">
        <v>120</v>
      </c>
      <c r="BK151" s="148">
        <f t="shared" si="9"/>
        <v>0</v>
      </c>
      <c r="BL151" s="16" t="s">
        <v>119</v>
      </c>
      <c r="BM151" s="228" t="s">
        <v>720</v>
      </c>
    </row>
    <row r="152" spans="1:65" s="2" customFormat="1" ht="24" customHeight="1" x14ac:dyDescent="0.2">
      <c r="A152" s="202"/>
      <c r="B152" s="135"/>
      <c r="C152" s="236" t="s">
        <v>618</v>
      </c>
      <c r="D152" s="236" t="s">
        <v>268</v>
      </c>
      <c r="E152" s="235" t="s">
        <v>782</v>
      </c>
      <c r="F152" s="312" t="s">
        <v>824</v>
      </c>
      <c r="G152" s="233" t="s">
        <v>146</v>
      </c>
      <c r="H152" s="232">
        <v>22</v>
      </c>
      <c r="I152" s="231"/>
      <c r="J152" s="231">
        <f t="shared" si="0"/>
        <v>0</v>
      </c>
      <c r="K152" s="230"/>
      <c r="L152" s="229"/>
      <c r="M152" s="240" t="s">
        <v>1</v>
      </c>
      <c r="N152" s="239"/>
      <c r="O152" s="238">
        <v>0</v>
      </c>
      <c r="P152" s="238">
        <f t="shared" si="1"/>
        <v>0</v>
      </c>
      <c r="Q152" s="238">
        <v>0</v>
      </c>
      <c r="R152" s="238">
        <f t="shared" si="2"/>
        <v>0</v>
      </c>
      <c r="S152" s="238">
        <v>0</v>
      </c>
      <c r="T152" s="237">
        <f t="shared" si="3"/>
        <v>0</v>
      </c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R152" s="228" t="s">
        <v>154</v>
      </c>
      <c r="AT152" s="228" t="s">
        <v>268</v>
      </c>
      <c r="AU152" s="228" t="s">
        <v>77</v>
      </c>
      <c r="AY152" s="16" t="s">
        <v>113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6" t="s">
        <v>120</v>
      </c>
      <c r="BK152" s="148">
        <f t="shared" si="9"/>
        <v>0</v>
      </c>
      <c r="BL152" s="16" t="s">
        <v>119</v>
      </c>
      <c r="BM152" s="228" t="s">
        <v>728</v>
      </c>
    </row>
    <row r="153" spans="1:65" s="2" customFormat="1" ht="24" customHeight="1" x14ac:dyDescent="0.2">
      <c r="A153" s="202"/>
      <c r="B153" s="135"/>
      <c r="C153" s="248">
        <v>28</v>
      </c>
      <c r="D153" s="248" t="s">
        <v>115</v>
      </c>
      <c r="E153" s="247" t="s">
        <v>825</v>
      </c>
      <c r="F153" s="313" t="s">
        <v>826</v>
      </c>
      <c r="G153" s="245" t="s">
        <v>146</v>
      </c>
      <c r="H153" s="244">
        <v>10</v>
      </c>
      <c r="I153" s="243"/>
      <c r="J153" s="243">
        <f t="shared" si="0"/>
        <v>0</v>
      </c>
      <c r="K153" s="230"/>
      <c r="L153" s="229"/>
      <c r="M153" s="240" t="s">
        <v>1</v>
      </c>
      <c r="N153" s="239"/>
      <c r="O153" s="238">
        <v>0</v>
      </c>
      <c r="P153" s="238">
        <f t="shared" si="1"/>
        <v>0</v>
      </c>
      <c r="Q153" s="238">
        <v>0</v>
      </c>
      <c r="R153" s="238">
        <f t="shared" si="2"/>
        <v>0</v>
      </c>
      <c r="S153" s="238">
        <v>0</v>
      </c>
      <c r="T153" s="237">
        <f t="shared" si="3"/>
        <v>0</v>
      </c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R153" s="228" t="s">
        <v>154</v>
      </c>
      <c r="AT153" s="228" t="s">
        <v>268</v>
      </c>
      <c r="AU153" s="228" t="s">
        <v>77</v>
      </c>
      <c r="AY153" s="16" t="s">
        <v>113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6" t="s">
        <v>120</v>
      </c>
      <c r="BK153" s="148">
        <f t="shared" si="9"/>
        <v>0</v>
      </c>
      <c r="BL153" s="16" t="s">
        <v>119</v>
      </c>
      <c r="BM153" s="228" t="s">
        <v>237</v>
      </c>
    </row>
    <row r="154" spans="1:65" s="2" customFormat="1" ht="24" customHeight="1" x14ac:dyDescent="0.2">
      <c r="A154" s="202"/>
      <c r="B154" s="135"/>
      <c r="C154" s="248">
        <v>29</v>
      </c>
      <c r="D154" s="248" t="s">
        <v>115</v>
      </c>
      <c r="E154" s="247" t="s">
        <v>827</v>
      </c>
      <c r="F154" s="313" t="s">
        <v>828</v>
      </c>
      <c r="G154" s="245" t="s">
        <v>146</v>
      </c>
      <c r="H154" s="244">
        <v>15</v>
      </c>
      <c r="I154" s="243"/>
      <c r="J154" s="243">
        <f t="shared" si="0"/>
        <v>0</v>
      </c>
      <c r="K154" s="230"/>
      <c r="L154" s="229"/>
      <c r="M154" s="240" t="s">
        <v>1</v>
      </c>
      <c r="N154" s="239"/>
      <c r="O154" s="238">
        <v>0</v>
      </c>
      <c r="P154" s="238">
        <f t="shared" si="1"/>
        <v>0</v>
      </c>
      <c r="Q154" s="238">
        <v>0</v>
      </c>
      <c r="R154" s="238">
        <f t="shared" si="2"/>
        <v>0</v>
      </c>
      <c r="S154" s="238">
        <v>0</v>
      </c>
      <c r="T154" s="237">
        <f t="shared" si="3"/>
        <v>0</v>
      </c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R154" s="228" t="s">
        <v>154</v>
      </c>
      <c r="AT154" s="228" t="s">
        <v>268</v>
      </c>
      <c r="AU154" s="228" t="s">
        <v>77</v>
      </c>
      <c r="AY154" s="16" t="s">
        <v>113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6" t="s">
        <v>120</v>
      </c>
      <c r="BK154" s="148">
        <f t="shared" si="9"/>
        <v>0</v>
      </c>
      <c r="BL154" s="16" t="s">
        <v>119</v>
      </c>
      <c r="BM154" s="228" t="s">
        <v>237</v>
      </c>
    </row>
    <row r="155" spans="1:65" s="2" customFormat="1" ht="15.75" customHeight="1" x14ac:dyDescent="0.2">
      <c r="A155" s="202"/>
      <c r="B155" s="135"/>
      <c r="C155" s="248">
        <v>30</v>
      </c>
      <c r="D155" s="248" t="s">
        <v>115</v>
      </c>
      <c r="E155" s="247" t="s">
        <v>829</v>
      </c>
      <c r="F155" s="313" t="s">
        <v>830</v>
      </c>
      <c r="G155" s="245" t="s">
        <v>146</v>
      </c>
      <c r="H155" s="244">
        <v>22</v>
      </c>
      <c r="I155" s="243"/>
      <c r="J155" s="243">
        <f t="shared" si="0"/>
        <v>0</v>
      </c>
      <c r="K155" s="230"/>
      <c r="L155" s="229"/>
      <c r="M155" s="240" t="s">
        <v>1</v>
      </c>
      <c r="N155" s="239"/>
      <c r="O155" s="238">
        <v>0</v>
      </c>
      <c r="P155" s="238">
        <f t="shared" si="1"/>
        <v>0</v>
      </c>
      <c r="Q155" s="238">
        <v>0</v>
      </c>
      <c r="R155" s="238">
        <f t="shared" si="2"/>
        <v>0</v>
      </c>
      <c r="S155" s="238">
        <v>0</v>
      </c>
      <c r="T155" s="237">
        <f t="shared" si="3"/>
        <v>0</v>
      </c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R155" s="228" t="s">
        <v>154</v>
      </c>
      <c r="AT155" s="228" t="s">
        <v>268</v>
      </c>
      <c r="AU155" s="228" t="s">
        <v>77</v>
      </c>
      <c r="AY155" s="16" t="s">
        <v>113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6" t="s">
        <v>120</v>
      </c>
      <c r="BK155" s="148">
        <f t="shared" si="9"/>
        <v>0</v>
      </c>
      <c r="BL155" s="16" t="s">
        <v>119</v>
      </c>
      <c r="BM155" s="228" t="s">
        <v>237</v>
      </c>
    </row>
    <row r="156" spans="1:65" s="2" customFormat="1" ht="16.5" customHeight="1" x14ac:dyDescent="0.2">
      <c r="A156" s="202"/>
      <c r="B156" s="135"/>
      <c r="C156" s="248">
        <v>31</v>
      </c>
      <c r="D156" s="248" t="s">
        <v>115</v>
      </c>
      <c r="E156" s="247" t="s">
        <v>831</v>
      </c>
      <c r="F156" s="313" t="s">
        <v>832</v>
      </c>
      <c r="G156" s="245" t="s">
        <v>146</v>
      </c>
      <c r="H156" s="244">
        <v>25</v>
      </c>
      <c r="I156" s="243"/>
      <c r="J156" s="243">
        <f t="shared" si="0"/>
        <v>0</v>
      </c>
      <c r="K156" s="230"/>
      <c r="L156" s="229"/>
      <c r="M156" s="240" t="s">
        <v>1</v>
      </c>
      <c r="N156" s="239"/>
      <c r="O156" s="238">
        <v>0</v>
      </c>
      <c r="P156" s="238">
        <f t="shared" si="1"/>
        <v>0</v>
      </c>
      <c r="Q156" s="238">
        <v>0</v>
      </c>
      <c r="R156" s="238">
        <f t="shared" si="2"/>
        <v>0</v>
      </c>
      <c r="S156" s="238">
        <v>0</v>
      </c>
      <c r="T156" s="237">
        <f t="shared" si="3"/>
        <v>0</v>
      </c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R156" s="228" t="s">
        <v>154</v>
      </c>
      <c r="AT156" s="228" t="s">
        <v>268</v>
      </c>
      <c r="AU156" s="228" t="s">
        <v>77</v>
      </c>
      <c r="AY156" s="16" t="s">
        <v>113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6" t="s">
        <v>120</v>
      </c>
      <c r="BK156" s="148">
        <f t="shared" si="9"/>
        <v>0</v>
      </c>
      <c r="BL156" s="16" t="s">
        <v>119</v>
      </c>
      <c r="BM156" s="228" t="s">
        <v>237</v>
      </c>
    </row>
    <row r="157" spans="1:65" s="2" customFormat="1" ht="15.75" customHeight="1" x14ac:dyDescent="0.15">
      <c r="A157" s="202"/>
      <c r="B157" s="135"/>
      <c r="C157" s="236" t="s">
        <v>237</v>
      </c>
      <c r="D157" s="236" t="s">
        <v>268</v>
      </c>
      <c r="E157" s="235" t="s">
        <v>782</v>
      </c>
      <c r="F157" s="319" t="s">
        <v>833</v>
      </c>
      <c r="G157" s="233" t="s">
        <v>146</v>
      </c>
      <c r="H157" s="232">
        <v>8</v>
      </c>
      <c r="I157" s="231"/>
      <c r="J157" s="231">
        <f t="shared" si="0"/>
        <v>0</v>
      </c>
      <c r="K157" s="230"/>
      <c r="L157" s="229"/>
      <c r="M157" s="240" t="s">
        <v>1</v>
      </c>
      <c r="N157" s="239"/>
      <c r="O157" s="238">
        <v>0</v>
      </c>
      <c r="P157" s="238">
        <f t="shared" si="1"/>
        <v>0</v>
      </c>
      <c r="Q157" s="238">
        <v>0</v>
      </c>
      <c r="R157" s="238">
        <f t="shared" si="2"/>
        <v>0</v>
      </c>
      <c r="S157" s="238">
        <v>0</v>
      </c>
      <c r="T157" s="237">
        <f t="shared" si="3"/>
        <v>0</v>
      </c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R157" s="228" t="s">
        <v>154</v>
      </c>
      <c r="AT157" s="228" t="s">
        <v>268</v>
      </c>
      <c r="AU157" s="228" t="s">
        <v>77</v>
      </c>
      <c r="AY157" s="16" t="s">
        <v>113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6" t="s">
        <v>120</v>
      </c>
      <c r="BK157" s="148">
        <f t="shared" si="9"/>
        <v>0</v>
      </c>
      <c r="BL157" s="16" t="s">
        <v>119</v>
      </c>
      <c r="BM157" s="228" t="s">
        <v>774</v>
      </c>
    </row>
    <row r="158" spans="1:65" s="2" customFormat="1" ht="15.75" customHeight="1" x14ac:dyDescent="0.15">
      <c r="A158" s="202"/>
      <c r="B158" s="135"/>
      <c r="C158" s="236" t="s">
        <v>641</v>
      </c>
      <c r="D158" s="236" t="s">
        <v>268</v>
      </c>
      <c r="E158" s="235" t="s">
        <v>782</v>
      </c>
      <c r="F158" s="319" t="s">
        <v>834</v>
      </c>
      <c r="G158" s="233" t="s">
        <v>146</v>
      </c>
      <c r="H158" s="232">
        <v>1</v>
      </c>
      <c r="I158" s="231"/>
      <c r="J158" s="231">
        <f t="shared" si="0"/>
        <v>0</v>
      </c>
      <c r="K158" s="230"/>
      <c r="L158" s="229"/>
      <c r="M158" s="240" t="s">
        <v>1</v>
      </c>
      <c r="N158" s="239"/>
      <c r="O158" s="238">
        <v>0</v>
      </c>
      <c r="P158" s="238">
        <f t="shared" si="1"/>
        <v>0</v>
      </c>
      <c r="Q158" s="238">
        <v>0</v>
      </c>
      <c r="R158" s="238">
        <f t="shared" si="2"/>
        <v>0</v>
      </c>
      <c r="S158" s="238">
        <v>0</v>
      </c>
      <c r="T158" s="237">
        <f t="shared" si="3"/>
        <v>0</v>
      </c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R158" s="228" t="s">
        <v>154</v>
      </c>
      <c r="AT158" s="228" t="s">
        <v>268</v>
      </c>
      <c r="AU158" s="228" t="s">
        <v>77</v>
      </c>
      <c r="AY158" s="16" t="s">
        <v>113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6" t="s">
        <v>120</v>
      </c>
      <c r="BK158" s="148">
        <f t="shared" si="9"/>
        <v>0</v>
      </c>
      <c r="BL158" s="16" t="s">
        <v>119</v>
      </c>
      <c r="BM158" s="228" t="s">
        <v>773</v>
      </c>
    </row>
    <row r="159" spans="1:65" s="2" customFormat="1" ht="25.5" customHeight="1" x14ac:dyDescent="0.15">
      <c r="A159" s="202"/>
      <c r="B159" s="135"/>
      <c r="C159" s="248">
        <v>34</v>
      </c>
      <c r="D159" s="248" t="s">
        <v>115</v>
      </c>
      <c r="E159" s="247" t="s">
        <v>835</v>
      </c>
      <c r="F159" s="320" t="s">
        <v>836</v>
      </c>
      <c r="G159" s="245" t="s">
        <v>146</v>
      </c>
      <c r="H159" s="244">
        <v>8</v>
      </c>
      <c r="I159" s="243"/>
      <c r="J159" s="243">
        <f t="shared" si="0"/>
        <v>0</v>
      </c>
      <c r="K159" s="230"/>
      <c r="L159" s="229"/>
      <c r="M159" s="240" t="s">
        <v>1</v>
      </c>
      <c r="N159" s="239"/>
      <c r="O159" s="238">
        <v>0</v>
      </c>
      <c r="P159" s="238">
        <f t="shared" si="1"/>
        <v>0</v>
      </c>
      <c r="Q159" s="238">
        <v>0</v>
      </c>
      <c r="R159" s="238">
        <f t="shared" si="2"/>
        <v>0</v>
      </c>
      <c r="S159" s="238">
        <v>0</v>
      </c>
      <c r="T159" s="237">
        <f t="shared" si="3"/>
        <v>0</v>
      </c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R159" s="228" t="s">
        <v>154</v>
      </c>
      <c r="AT159" s="228" t="s">
        <v>268</v>
      </c>
      <c r="AU159" s="228" t="s">
        <v>77</v>
      </c>
      <c r="AY159" s="16" t="s">
        <v>113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6" t="s">
        <v>120</v>
      </c>
      <c r="BK159" s="148">
        <f t="shared" si="9"/>
        <v>0</v>
      </c>
      <c r="BL159" s="16" t="s">
        <v>119</v>
      </c>
      <c r="BM159" s="228" t="s">
        <v>237</v>
      </c>
    </row>
    <row r="160" spans="1:65" s="2" customFormat="1" ht="25.5" customHeight="1" x14ac:dyDescent="0.15">
      <c r="A160" s="202"/>
      <c r="B160" s="135"/>
      <c r="C160" s="248">
        <v>35</v>
      </c>
      <c r="D160" s="248" t="s">
        <v>115</v>
      </c>
      <c r="E160" s="247" t="s">
        <v>837</v>
      </c>
      <c r="F160" s="320" t="s">
        <v>838</v>
      </c>
      <c r="G160" s="245" t="s">
        <v>146</v>
      </c>
      <c r="H160" s="244">
        <v>1</v>
      </c>
      <c r="I160" s="243"/>
      <c r="J160" s="243">
        <f t="shared" si="0"/>
        <v>0</v>
      </c>
      <c r="K160" s="230"/>
      <c r="L160" s="229"/>
      <c r="M160" s="240" t="s">
        <v>1</v>
      </c>
      <c r="N160" s="239"/>
      <c r="O160" s="238">
        <v>0</v>
      </c>
      <c r="P160" s="238">
        <f t="shared" si="1"/>
        <v>0</v>
      </c>
      <c r="Q160" s="238">
        <v>0</v>
      </c>
      <c r="R160" s="238">
        <f t="shared" si="2"/>
        <v>0</v>
      </c>
      <c r="S160" s="238">
        <v>0</v>
      </c>
      <c r="T160" s="237">
        <f t="shared" si="3"/>
        <v>0</v>
      </c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R160" s="228" t="s">
        <v>154</v>
      </c>
      <c r="AT160" s="228" t="s">
        <v>268</v>
      </c>
      <c r="AU160" s="228" t="s">
        <v>77</v>
      </c>
      <c r="AY160" s="16" t="s">
        <v>113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6" t="s">
        <v>120</v>
      </c>
      <c r="BK160" s="148">
        <f t="shared" si="9"/>
        <v>0</v>
      </c>
      <c r="BL160" s="16" t="s">
        <v>119</v>
      </c>
      <c r="BM160" s="228" t="s">
        <v>237</v>
      </c>
    </row>
    <row r="161" spans="1:65" s="2" customFormat="1" ht="15.75" customHeight="1" x14ac:dyDescent="0.2">
      <c r="A161" s="202"/>
      <c r="B161" s="135"/>
      <c r="C161" s="236" t="s">
        <v>653</v>
      </c>
      <c r="D161" s="236" t="s">
        <v>268</v>
      </c>
      <c r="E161" s="235" t="s">
        <v>782</v>
      </c>
      <c r="F161" s="312" t="s">
        <v>839</v>
      </c>
      <c r="G161" s="233" t="s">
        <v>146</v>
      </c>
      <c r="H161" s="232">
        <v>10</v>
      </c>
      <c r="I161" s="231"/>
      <c r="J161" s="231">
        <f t="shared" si="0"/>
        <v>0</v>
      </c>
      <c r="K161" s="230"/>
      <c r="L161" s="229"/>
      <c r="M161" s="240" t="s">
        <v>1</v>
      </c>
      <c r="N161" s="239"/>
      <c r="O161" s="238">
        <v>0</v>
      </c>
      <c r="P161" s="238">
        <f t="shared" si="1"/>
        <v>0</v>
      </c>
      <c r="Q161" s="238">
        <v>0</v>
      </c>
      <c r="R161" s="238">
        <f t="shared" si="2"/>
        <v>0</v>
      </c>
      <c r="S161" s="238">
        <v>0</v>
      </c>
      <c r="T161" s="237">
        <f t="shared" si="3"/>
        <v>0</v>
      </c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R161" s="228" t="s">
        <v>154</v>
      </c>
      <c r="AT161" s="228" t="s">
        <v>268</v>
      </c>
      <c r="AU161" s="228" t="s">
        <v>77</v>
      </c>
      <c r="AY161" s="16" t="s">
        <v>113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6" t="s">
        <v>120</v>
      </c>
      <c r="BK161" s="148">
        <f t="shared" si="9"/>
        <v>0</v>
      </c>
      <c r="BL161" s="16" t="s">
        <v>119</v>
      </c>
      <c r="BM161" s="228" t="s">
        <v>772</v>
      </c>
    </row>
    <row r="162" spans="1:65" s="2" customFormat="1" ht="25.5" customHeight="1" x14ac:dyDescent="0.2">
      <c r="A162" s="202"/>
      <c r="B162" s="135"/>
      <c r="C162" s="248">
        <v>37</v>
      </c>
      <c r="D162" s="248" t="s">
        <v>115</v>
      </c>
      <c r="E162" s="247" t="s">
        <v>840</v>
      </c>
      <c r="F162" s="313" t="s">
        <v>841</v>
      </c>
      <c r="G162" s="245" t="s">
        <v>146</v>
      </c>
      <c r="H162" s="244">
        <v>10</v>
      </c>
      <c r="I162" s="243"/>
      <c r="J162" s="243">
        <f t="shared" si="0"/>
        <v>0</v>
      </c>
      <c r="K162" s="230"/>
      <c r="L162" s="229"/>
      <c r="M162" s="240" t="s">
        <v>1</v>
      </c>
      <c r="N162" s="239"/>
      <c r="O162" s="238">
        <v>0</v>
      </c>
      <c r="P162" s="238">
        <f t="shared" si="1"/>
        <v>0</v>
      </c>
      <c r="Q162" s="238">
        <v>0</v>
      </c>
      <c r="R162" s="238">
        <f t="shared" si="2"/>
        <v>0</v>
      </c>
      <c r="S162" s="238">
        <v>0</v>
      </c>
      <c r="T162" s="237">
        <f t="shared" si="3"/>
        <v>0</v>
      </c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R162" s="228" t="s">
        <v>154</v>
      </c>
      <c r="AT162" s="228" t="s">
        <v>268</v>
      </c>
      <c r="AU162" s="228" t="s">
        <v>77</v>
      </c>
      <c r="AY162" s="16" t="s">
        <v>113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6" t="s">
        <v>120</v>
      </c>
      <c r="BK162" s="148">
        <f t="shared" si="9"/>
        <v>0</v>
      </c>
      <c r="BL162" s="16" t="s">
        <v>119</v>
      </c>
      <c r="BM162" s="228" t="s">
        <v>237</v>
      </c>
    </row>
    <row r="163" spans="1:65" s="2" customFormat="1" ht="25.5" customHeight="1" x14ac:dyDescent="0.2">
      <c r="A163" s="202"/>
      <c r="B163" s="135"/>
      <c r="C163" s="236">
        <v>38</v>
      </c>
      <c r="D163" s="236" t="s">
        <v>268</v>
      </c>
      <c r="E163" s="235" t="s">
        <v>782</v>
      </c>
      <c r="F163" s="312" t="s">
        <v>842</v>
      </c>
      <c r="G163" s="233" t="s">
        <v>146</v>
      </c>
      <c r="H163" s="232">
        <v>6</v>
      </c>
      <c r="I163" s="231"/>
      <c r="J163" s="231">
        <f t="shared" si="0"/>
        <v>0</v>
      </c>
      <c r="K163" s="230"/>
      <c r="L163" s="229"/>
      <c r="M163" s="240" t="s">
        <v>1</v>
      </c>
      <c r="N163" s="239"/>
      <c r="O163" s="238">
        <v>0</v>
      </c>
      <c r="P163" s="238">
        <f t="shared" si="1"/>
        <v>0</v>
      </c>
      <c r="Q163" s="238">
        <v>0</v>
      </c>
      <c r="R163" s="238">
        <f t="shared" si="2"/>
        <v>0</v>
      </c>
      <c r="S163" s="238">
        <v>0</v>
      </c>
      <c r="T163" s="237">
        <f t="shared" si="3"/>
        <v>0</v>
      </c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R163" s="228" t="s">
        <v>154</v>
      </c>
      <c r="AT163" s="228" t="s">
        <v>268</v>
      </c>
      <c r="AU163" s="228" t="s">
        <v>77</v>
      </c>
      <c r="AY163" s="16" t="s">
        <v>113</v>
      </c>
      <c r="BE163" s="148">
        <f t="shared" si="4"/>
        <v>0</v>
      </c>
      <c r="BF163" s="148">
        <f t="shared" si="5"/>
        <v>0</v>
      </c>
      <c r="BG163" s="148">
        <f t="shared" si="6"/>
        <v>0</v>
      </c>
      <c r="BH163" s="148">
        <f t="shared" si="7"/>
        <v>0</v>
      </c>
      <c r="BI163" s="148">
        <f t="shared" si="8"/>
        <v>0</v>
      </c>
      <c r="BJ163" s="16" t="s">
        <v>120</v>
      </c>
      <c r="BK163" s="148">
        <f t="shared" si="9"/>
        <v>0</v>
      </c>
      <c r="BL163" s="16" t="s">
        <v>119</v>
      </c>
      <c r="BM163" s="228" t="s">
        <v>772</v>
      </c>
    </row>
    <row r="164" spans="1:65" s="2" customFormat="1" ht="25.5" customHeight="1" x14ac:dyDescent="0.2">
      <c r="A164" s="202"/>
      <c r="B164" s="135"/>
      <c r="C164" s="236">
        <v>39</v>
      </c>
      <c r="D164" s="236" t="s">
        <v>268</v>
      </c>
      <c r="E164" s="235" t="s">
        <v>782</v>
      </c>
      <c r="F164" s="312" t="s">
        <v>843</v>
      </c>
      <c r="G164" s="233" t="s">
        <v>146</v>
      </c>
      <c r="H164" s="232">
        <v>6</v>
      </c>
      <c r="I164" s="231"/>
      <c r="J164" s="231">
        <f t="shared" si="0"/>
        <v>0</v>
      </c>
      <c r="K164" s="230"/>
      <c r="L164" s="229"/>
      <c r="M164" s="240" t="s">
        <v>1</v>
      </c>
      <c r="N164" s="239"/>
      <c r="O164" s="238">
        <v>0</v>
      </c>
      <c r="P164" s="238">
        <f t="shared" si="1"/>
        <v>0</v>
      </c>
      <c r="Q164" s="238">
        <v>0</v>
      </c>
      <c r="R164" s="238">
        <f t="shared" si="2"/>
        <v>0</v>
      </c>
      <c r="S164" s="238">
        <v>0</v>
      </c>
      <c r="T164" s="237">
        <f t="shared" si="3"/>
        <v>0</v>
      </c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R164" s="228" t="s">
        <v>154</v>
      </c>
      <c r="AT164" s="228" t="s">
        <v>268</v>
      </c>
      <c r="AU164" s="228" t="s">
        <v>77</v>
      </c>
      <c r="AY164" s="16" t="s">
        <v>113</v>
      </c>
      <c r="BE164" s="148">
        <f t="shared" si="4"/>
        <v>0</v>
      </c>
      <c r="BF164" s="148">
        <f t="shared" si="5"/>
        <v>0</v>
      </c>
      <c r="BG164" s="148">
        <f t="shared" si="6"/>
        <v>0</v>
      </c>
      <c r="BH164" s="148">
        <f t="shared" si="7"/>
        <v>0</v>
      </c>
      <c r="BI164" s="148">
        <f t="shared" si="8"/>
        <v>0</v>
      </c>
      <c r="BJ164" s="16" t="s">
        <v>120</v>
      </c>
      <c r="BK164" s="148">
        <f t="shared" si="9"/>
        <v>0</v>
      </c>
      <c r="BL164" s="16" t="s">
        <v>119</v>
      </c>
      <c r="BM164" s="228" t="s">
        <v>772</v>
      </c>
    </row>
    <row r="165" spans="1:65" s="2" customFormat="1" ht="25.5" customHeight="1" x14ac:dyDescent="0.2">
      <c r="A165" s="202"/>
      <c r="B165" s="135"/>
      <c r="C165" s="236">
        <v>40</v>
      </c>
      <c r="D165" s="236" t="s">
        <v>268</v>
      </c>
      <c r="E165" s="235" t="s">
        <v>782</v>
      </c>
      <c r="F165" s="312" t="s">
        <v>844</v>
      </c>
      <c r="G165" s="233" t="s">
        <v>146</v>
      </c>
      <c r="H165" s="232">
        <v>9</v>
      </c>
      <c r="I165" s="231"/>
      <c r="J165" s="231">
        <f t="shared" si="0"/>
        <v>0</v>
      </c>
      <c r="K165" s="230"/>
      <c r="L165" s="229"/>
      <c r="M165" s="240" t="s">
        <v>1</v>
      </c>
      <c r="N165" s="239"/>
      <c r="O165" s="238">
        <v>0</v>
      </c>
      <c r="P165" s="238">
        <f t="shared" si="1"/>
        <v>0</v>
      </c>
      <c r="Q165" s="238">
        <v>0</v>
      </c>
      <c r="R165" s="238">
        <f t="shared" si="2"/>
        <v>0</v>
      </c>
      <c r="S165" s="238">
        <v>0</v>
      </c>
      <c r="T165" s="237">
        <f t="shared" si="3"/>
        <v>0</v>
      </c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R165" s="228" t="s">
        <v>154</v>
      </c>
      <c r="AT165" s="228" t="s">
        <v>268</v>
      </c>
      <c r="AU165" s="228" t="s">
        <v>77</v>
      </c>
      <c r="AY165" s="16" t="s">
        <v>113</v>
      </c>
      <c r="BE165" s="148">
        <f t="shared" si="4"/>
        <v>0</v>
      </c>
      <c r="BF165" s="148">
        <f t="shared" si="5"/>
        <v>0</v>
      </c>
      <c r="BG165" s="148">
        <f t="shared" si="6"/>
        <v>0</v>
      </c>
      <c r="BH165" s="148">
        <f t="shared" si="7"/>
        <v>0</v>
      </c>
      <c r="BI165" s="148">
        <f t="shared" si="8"/>
        <v>0</v>
      </c>
      <c r="BJ165" s="16" t="s">
        <v>120</v>
      </c>
      <c r="BK165" s="148">
        <f t="shared" si="9"/>
        <v>0</v>
      </c>
      <c r="BL165" s="16" t="s">
        <v>119</v>
      </c>
      <c r="BM165" s="228" t="s">
        <v>772</v>
      </c>
    </row>
    <row r="166" spans="1:65" s="2" customFormat="1" ht="25.5" customHeight="1" x14ac:dyDescent="0.15">
      <c r="A166" s="202"/>
      <c r="B166" s="135"/>
      <c r="C166" s="236">
        <v>41</v>
      </c>
      <c r="D166" s="236" t="s">
        <v>268</v>
      </c>
      <c r="E166" s="235" t="s">
        <v>782</v>
      </c>
      <c r="F166" s="319" t="s">
        <v>845</v>
      </c>
      <c r="G166" s="233" t="s">
        <v>146</v>
      </c>
      <c r="H166" s="232">
        <v>4</v>
      </c>
      <c r="I166" s="231"/>
      <c r="J166" s="231">
        <f t="shared" si="0"/>
        <v>0</v>
      </c>
      <c r="K166" s="230"/>
      <c r="L166" s="229"/>
      <c r="M166" s="240" t="s">
        <v>1</v>
      </c>
      <c r="N166" s="239"/>
      <c r="O166" s="238">
        <v>0</v>
      </c>
      <c r="P166" s="238">
        <f t="shared" si="1"/>
        <v>0</v>
      </c>
      <c r="Q166" s="238">
        <v>0</v>
      </c>
      <c r="R166" s="238">
        <f t="shared" si="2"/>
        <v>0</v>
      </c>
      <c r="S166" s="238">
        <v>0</v>
      </c>
      <c r="T166" s="237">
        <f t="shared" si="3"/>
        <v>0</v>
      </c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R166" s="228" t="s">
        <v>154</v>
      </c>
      <c r="AT166" s="228" t="s">
        <v>268</v>
      </c>
      <c r="AU166" s="228" t="s">
        <v>77</v>
      </c>
      <c r="AY166" s="16" t="s">
        <v>113</v>
      </c>
      <c r="BE166" s="148">
        <f t="shared" si="4"/>
        <v>0</v>
      </c>
      <c r="BF166" s="148">
        <f t="shared" si="5"/>
        <v>0</v>
      </c>
      <c r="BG166" s="148">
        <f t="shared" si="6"/>
        <v>0</v>
      </c>
      <c r="BH166" s="148">
        <f t="shared" si="7"/>
        <v>0</v>
      </c>
      <c r="BI166" s="148">
        <f t="shared" si="8"/>
        <v>0</v>
      </c>
      <c r="BJ166" s="16" t="s">
        <v>120</v>
      </c>
      <c r="BK166" s="148">
        <f t="shared" si="9"/>
        <v>0</v>
      </c>
      <c r="BL166" s="16" t="s">
        <v>119</v>
      </c>
      <c r="BM166" s="228" t="s">
        <v>772</v>
      </c>
    </row>
    <row r="167" spans="1:65" s="2" customFormat="1" ht="15.75" customHeight="1" x14ac:dyDescent="0.2">
      <c r="A167" s="202"/>
      <c r="B167" s="135"/>
      <c r="C167" s="236">
        <v>42</v>
      </c>
      <c r="D167" s="236" t="s">
        <v>268</v>
      </c>
      <c r="E167" s="235" t="s">
        <v>782</v>
      </c>
      <c r="F167" s="312" t="s">
        <v>846</v>
      </c>
      <c r="G167" s="233" t="s">
        <v>146</v>
      </c>
      <c r="H167" s="232">
        <v>1</v>
      </c>
      <c r="I167" s="231"/>
      <c r="J167" s="231">
        <f t="shared" si="0"/>
        <v>0</v>
      </c>
      <c r="K167" s="230"/>
      <c r="L167" s="229"/>
      <c r="M167" s="240" t="s">
        <v>1</v>
      </c>
      <c r="N167" s="239"/>
      <c r="O167" s="238">
        <v>0</v>
      </c>
      <c r="P167" s="238">
        <f t="shared" si="1"/>
        <v>0</v>
      </c>
      <c r="Q167" s="238">
        <v>0</v>
      </c>
      <c r="R167" s="238">
        <f t="shared" si="2"/>
        <v>0</v>
      </c>
      <c r="S167" s="238">
        <v>0</v>
      </c>
      <c r="T167" s="237">
        <f t="shared" si="3"/>
        <v>0</v>
      </c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R167" s="228" t="s">
        <v>154</v>
      </c>
      <c r="AT167" s="228" t="s">
        <v>268</v>
      </c>
      <c r="AU167" s="228" t="s">
        <v>77</v>
      </c>
      <c r="AY167" s="16" t="s">
        <v>113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6" t="s">
        <v>120</v>
      </c>
      <c r="BK167" s="148">
        <f t="shared" si="9"/>
        <v>0</v>
      </c>
      <c r="BL167" s="16" t="s">
        <v>119</v>
      </c>
      <c r="BM167" s="228" t="s">
        <v>772</v>
      </c>
    </row>
    <row r="168" spans="1:65" s="2" customFormat="1" ht="16.5" customHeight="1" x14ac:dyDescent="0.2">
      <c r="A168" s="202"/>
      <c r="B168" s="135"/>
      <c r="C168" s="248">
        <v>43</v>
      </c>
      <c r="D168" s="248" t="s">
        <v>115</v>
      </c>
      <c r="E168" s="247" t="s">
        <v>847</v>
      </c>
      <c r="F168" s="313" t="s">
        <v>848</v>
      </c>
      <c r="G168" s="245" t="s">
        <v>146</v>
      </c>
      <c r="H168" s="244">
        <v>25</v>
      </c>
      <c r="I168" s="243"/>
      <c r="J168" s="243">
        <f t="shared" si="0"/>
        <v>0</v>
      </c>
      <c r="K168" s="230"/>
      <c r="L168" s="229"/>
      <c r="M168" s="240" t="s">
        <v>1</v>
      </c>
      <c r="N168" s="239"/>
      <c r="O168" s="238">
        <v>0</v>
      </c>
      <c r="P168" s="238">
        <f t="shared" si="1"/>
        <v>0</v>
      </c>
      <c r="Q168" s="238">
        <v>0</v>
      </c>
      <c r="R168" s="238">
        <f t="shared" si="2"/>
        <v>0</v>
      </c>
      <c r="S168" s="238">
        <v>0</v>
      </c>
      <c r="T168" s="237">
        <f t="shared" si="3"/>
        <v>0</v>
      </c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R168" s="228" t="s">
        <v>154</v>
      </c>
      <c r="AT168" s="228" t="s">
        <v>268</v>
      </c>
      <c r="AU168" s="228" t="s">
        <v>77</v>
      </c>
      <c r="AY168" s="16" t="s">
        <v>113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6" t="s">
        <v>120</v>
      </c>
      <c r="BK168" s="148">
        <f t="shared" si="9"/>
        <v>0</v>
      </c>
      <c r="BL168" s="16" t="s">
        <v>119</v>
      </c>
      <c r="BM168" s="228" t="s">
        <v>237</v>
      </c>
    </row>
    <row r="169" spans="1:65" s="2" customFormat="1" ht="22.5" customHeight="1" x14ac:dyDescent="0.2">
      <c r="A169" s="202"/>
      <c r="B169" s="135"/>
      <c r="C169" s="248">
        <v>44</v>
      </c>
      <c r="D169" s="248" t="s">
        <v>115</v>
      </c>
      <c r="E169" s="247" t="s">
        <v>849</v>
      </c>
      <c r="F169" s="313" t="s">
        <v>850</v>
      </c>
      <c r="G169" s="245" t="s">
        <v>146</v>
      </c>
      <c r="H169" s="244">
        <v>25</v>
      </c>
      <c r="I169" s="243"/>
      <c r="J169" s="243">
        <f t="shared" si="0"/>
        <v>0</v>
      </c>
      <c r="K169" s="230"/>
      <c r="L169" s="229"/>
      <c r="M169" s="240" t="s">
        <v>1</v>
      </c>
      <c r="N169" s="239"/>
      <c r="O169" s="238">
        <v>0</v>
      </c>
      <c r="P169" s="238">
        <f t="shared" si="1"/>
        <v>0</v>
      </c>
      <c r="Q169" s="238">
        <v>0</v>
      </c>
      <c r="R169" s="238">
        <f t="shared" si="2"/>
        <v>0</v>
      </c>
      <c r="S169" s="238">
        <v>0</v>
      </c>
      <c r="T169" s="237">
        <f t="shared" si="3"/>
        <v>0</v>
      </c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R169" s="228" t="s">
        <v>154</v>
      </c>
      <c r="AT169" s="228" t="s">
        <v>268</v>
      </c>
      <c r="AU169" s="228" t="s">
        <v>77</v>
      </c>
      <c r="AY169" s="16" t="s">
        <v>113</v>
      </c>
      <c r="BE169" s="148">
        <f t="shared" si="4"/>
        <v>0</v>
      </c>
      <c r="BF169" s="148">
        <f t="shared" si="5"/>
        <v>0</v>
      </c>
      <c r="BG169" s="148">
        <f t="shared" si="6"/>
        <v>0</v>
      </c>
      <c r="BH169" s="148">
        <f t="shared" si="7"/>
        <v>0</v>
      </c>
      <c r="BI169" s="148">
        <f t="shared" si="8"/>
        <v>0</v>
      </c>
      <c r="BJ169" s="16" t="s">
        <v>120</v>
      </c>
      <c r="BK169" s="148">
        <f t="shared" si="9"/>
        <v>0</v>
      </c>
      <c r="BL169" s="16" t="s">
        <v>119</v>
      </c>
      <c r="BM169" s="228" t="s">
        <v>237</v>
      </c>
    </row>
    <row r="170" spans="1:65" s="2" customFormat="1" ht="15.75" customHeight="1" x14ac:dyDescent="0.2">
      <c r="A170" s="202"/>
      <c r="B170" s="135"/>
      <c r="C170" s="248">
        <v>45</v>
      </c>
      <c r="D170" s="248" t="s">
        <v>115</v>
      </c>
      <c r="E170" s="247" t="s">
        <v>851</v>
      </c>
      <c r="F170" s="313" t="s">
        <v>852</v>
      </c>
      <c r="G170" s="245" t="s">
        <v>146</v>
      </c>
      <c r="H170" s="244">
        <v>1</v>
      </c>
      <c r="I170" s="243"/>
      <c r="J170" s="243">
        <f t="shared" si="0"/>
        <v>0</v>
      </c>
      <c r="K170" s="230"/>
      <c r="L170" s="229"/>
      <c r="M170" s="240" t="s">
        <v>1</v>
      </c>
      <c r="N170" s="239"/>
      <c r="O170" s="238">
        <v>0</v>
      </c>
      <c r="P170" s="238">
        <f t="shared" si="1"/>
        <v>0</v>
      </c>
      <c r="Q170" s="238">
        <v>0</v>
      </c>
      <c r="R170" s="238">
        <f t="shared" si="2"/>
        <v>0</v>
      </c>
      <c r="S170" s="238">
        <v>0</v>
      </c>
      <c r="T170" s="237">
        <f t="shared" si="3"/>
        <v>0</v>
      </c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R170" s="228" t="s">
        <v>154</v>
      </c>
      <c r="AT170" s="228" t="s">
        <v>268</v>
      </c>
      <c r="AU170" s="228" t="s">
        <v>77</v>
      </c>
      <c r="AY170" s="16" t="s">
        <v>113</v>
      </c>
      <c r="BE170" s="148">
        <f t="shared" si="4"/>
        <v>0</v>
      </c>
      <c r="BF170" s="148">
        <f t="shared" si="5"/>
        <v>0</v>
      </c>
      <c r="BG170" s="148">
        <f t="shared" si="6"/>
        <v>0</v>
      </c>
      <c r="BH170" s="148">
        <f t="shared" si="7"/>
        <v>0</v>
      </c>
      <c r="BI170" s="148">
        <f t="shared" si="8"/>
        <v>0</v>
      </c>
      <c r="BJ170" s="16" t="s">
        <v>120</v>
      </c>
      <c r="BK170" s="148">
        <f t="shared" si="9"/>
        <v>0</v>
      </c>
      <c r="BL170" s="16" t="s">
        <v>119</v>
      </c>
      <c r="BM170" s="228" t="s">
        <v>237</v>
      </c>
    </row>
    <row r="171" spans="1:65" s="249" customFormat="1" ht="25.9" customHeight="1" x14ac:dyDescent="0.2">
      <c r="B171" s="257"/>
      <c r="D171" s="251" t="s">
        <v>71</v>
      </c>
      <c r="E171" s="259" t="s">
        <v>778</v>
      </c>
      <c r="F171" s="259" t="s">
        <v>853</v>
      </c>
      <c r="J171" s="258">
        <f>BK171</f>
        <v>0</v>
      </c>
      <c r="L171" s="257"/>
      <c r="M171" s="256"/>
      <c r="N171" s="326"/>
      <c r="O171" s="254"/>
      <c r="P171" s="255">
        <f>SUM(P172:P174)</f>
        <v>0</v>
      </c>
      <c r="Q171" s="254"/>
      <c r="R171" s="255">
        <f>SUM(R172:R174)</f>
        <v>0</v>
      </c>
      <c r="S171" s="254"/>
      <c r="T171" s="253">
        <f>SUM(T172:T174)</f>
        <v>0</v>
      </c>
      <c r="AR171" s="251" t="s">
        <v>130</v>
      </c>
      <c r="AT171" s="252" t="s">
        <v>71</v>
      </c>
      <c r="AU171" s="252" t="s">
        <v>72</v>
      </c>
      <c r="AY171" s="251" t="s">
        <v>113</v>
      </c>
      <c r="BK171" s="250">
        <f>SUM(BK172:BK174)</f>
        <v>0</v>
      </c>
    </row>
    <row r="172" spans="1:65" s="2" customFormat="1" ht="22.5" customHeight="1" x14ac:dyDescent="0.2">
      <c r="A172" s="202"/>
      <c r="B172" s="135"/>
      <c r="C172" s="248">
        <v>1</v>
      </c>
      <c r="D172" s="248" t="s">
        <v>115</v>
      </c>
      <c r="E172" s="247" t="s">
        <v>854</v>
      </c>
      <c r="F172" s="321" t="s">
        <v>855</v>
      </c>
      <c r="G172" s="245" t="s">
        <v>151</v>
      </c>
      <c r="H172" s="244">
        <v>120</v>
      </c>
      <c r="I172" s="243"/>
      <c r="J172" s="243">
        <f>ROUND(I172*H172,2)</f>
        <v>0</v>
      </c>
      <c r="K172" s="230"/>
      <c r="L172" s="229"/>
      <c r="M172" s="240" t="s">
        <v>1</v>
      </c>
      <c r="N172" s="239"/>
      <c r="O172" s="238">
        <v>0</v>
      </c>
      <c r="P172" s="238">
        <f>O172*H172</f>
        <v>0</v>
      </c>
      <c r="Q172" s="238">
        <v>0</v>
      </c>
      <c r="R172" s="238">
        <f>Q172*H172</f>
        <v>0</v>
      </c>
      <c r="S172" s="238">
        <v>0</v>
      </c>
      <c r="T172" s="237">
        <f>S172*H172</f>
        <v>0</v>
      </c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R172" s="228" t="s">
        <v>154</v>
      </c>
      <c r="AT172" s="228" t="s">
        <v>268</v>
      </c>
      <c r="AU172" s="228" t="s">
        <v>77</v>
      </c>
      <c r="AY172" s="16" t="s">
        <v>113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6" t="s">
        <v>120</v>
      </c>
      <c r="BK172" s="148">
        <f>ROUND(I172*H172,2)</f>
        <v>0</v>
      </c>
      <c r="BL172" s="16" t="s">
        <v>119</v>
      </c>
      <c r="BM172" s="228" t="s">
        <v>237</v>
      </c>
    </row>
    <row r="173" spans="1:65" s="2" customFormat="1" ht="15.75" customHeight="1" x14ac:dyDescent="0.2">
      <c r="A173" s="202"/>
      <c r="B173" s="135"/>
      <c r="C173" s="248">
        <v>2</v>
      </c>
      <c r="D173" s="248" t="s">
        <v>115</v>
      </c>
      <c r="E173" s="247" t="s">
        <v>231</v>
      </c>
      <c r="F173" s="321" t="s">
        <v>232</v>
      </c>
      <c r="G173" s="245" t="s">
        <v>229</v>
      </c>
      <c r="H173" s="244">
        <v>0.5</v>
      </c>
      <c r="I173" s="243"/>
      <c r="J173" s="243">
        <f>ROUND(I173*H173,2)</f>
        <v>0</v>
      </c>
      <c r="K173" s="230"/>
      <c r="L173" s="229"/>
      <c r="M173" s="240" t="s">
        <v>1</v>
      </c>
      <c r="N173" s="239"/>
      <c r="O173" s="238">
        <v>0</v>
      </c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7">
        <f>S173*H173</f>
        <v>0</v>
      </c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R173" s="228" t="s">
        <v>154</v>
      </c>
      <c r="AT173" s="228" t="s">
        <v>268</v>
      </c>
      <c r="AU173" s="228" t="s">
        <v>77</v>
      </c>
      <c r="AY173" s="16" t="s">
        <v>113</v>
      </c>
      <c r="BE173" s="148">
        <f>IF(N173="základná",J173,0)</f>
        <v>0</v>
      </c>
      <c r="BF173" s="148">
        <f>IF(N173="znížená",J173,0)</f>
        <v>0</v>
      </c>
      <c r="BG173" s="148">
        <f>IF(N173="zákl. prenesená",J173,0)</f>
        <v>0</v>
      </c>
      <c r="BH173" s="148">
        <f>IF(N173="zníž. prenesená",J173,0)</f>
        <v>0</v>
      </c>
      <c r="BI173" s="148">
        <f>IF(N173="nulová",J173,0)</f>
        <v>0</v>
      </c>
      <c r="BJ173" s="16" t="s">
        <v>120</v>
      </c>
      <c r="BK173" s="148">
        <f>ROUND(I173*H173,2)</f>
        <v>0</v>
      </c>
      <c r="BL173" s="16" t="s">
        <v>119</v>
      </c>
      <c r="BM173" s="228" t="s">
        <v>237</v>
      </c>
    </row>
    <row r="174" spans="1:65" s="2" customFormat="1" ht="24" customHeight="1" x14ac:dyDescent="0.2">
      <c r="A174" s="202"/>
      <c r="B174" s="135"/>
      <c r="C174" s="248">
        <v>3</v>
      </c>
      <c r="D174" s="248" t="s">
        <v>115</v>
      </c>
      <c r="E174" s="247" t="s">
        <v>238</v>
      </c>
      <c r="F174" s="321" t="s">
        <v>239</v>
      </c>
      <c r="G174" s="245" t="s">
        <v>229</v>
      </c>
      <c r="H174" s="244">
        <v>0.5</v>
      </c>
      <c r="I174" s="243"/>
      <c r="J174" s="243">
        <f>ROUND(I174*H174,2)</f>
        <v>0</v>
      </c>
      <c r="K174" s="230"/>
      <c r="L174" s="229"/>
      <c r="M174" s="240" t="s">
        <v>1</v>
      </c>
      <c r="N174" s="239"/>
      <c r="O174" s="238">
        <v>0</v>
      </c>
      <c r="P174" s="238">
        <f>O174*H174</f>
        <v>0</v>
      </c>
      <c r="Q174" s="238">
        <v>0</v>
      </c>
      <c r="R174" s="238">
        <f>Q174*H174</f>
        <v>0</v>
      </c>
      <c r="S174" s="238">
        <v>0</v>
      </c>
      <c r="T174" s="237">
        <f>S174*H174</f>
        <v>0</v>
      </c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R174" s="228" t="s">
        <v>154</v>
      </c>
      <c r="AT174" s="228" t="s">
        <v>268</v>
      </c>
      <c r="AU174" s="228" t="s">
        <v>77</v>
      </c>
      <c r="AY174" s="16" t="s">
        <v>113</v>
      </c>
      <c r="BE174" s="148">
        <f>IF(N174="základná",J174,0)</f>
        <v>0</v>
      </c>
      <c r="BF174" s="148">
        <f>IF(N174="znížená",J174,0)</f>
        <v>0</v>
      </c>
      <c r="BG174" s="148">
        <f>IF(N174="zákl. prenesená",J174,0)</f>
        <v>0</v>
      </c>
      <c r="BH174" s="148">
        <f>IF(N174="zníž. prenesená",J174,0)</f>
        <v>0</v>
      </c>
      <c r="BI174" s="148">
        <f>IF(N174="nulová",J174,0)</f>
        <v>0</v>
      </c>
      <c r="BJ174" s="16" t="s">
        <v>120</v>
      </c>
      <c r="BK174" s="148">
        <f>ROUND(I174*H174,2)</f>
        <v>0</v>
      </c>
      <c r="BL174" s="16" t="s">
        <v>119</v>
      </c>
      <c r="BM174" s="228" t="s">
        <v>237</v>
      </c>
    </row>
    <row r="175" spans="1:65" s="249" customFormat="1" ht="25.9" customHeight="1" x14ac:dyDescent="0.2">
      <c r="B175" s="257"/>
      <c r="D175" s="251" t="s">
        <v>71</v>
      </c>
      <c r="E175" s="259" t="s">
        <v>778</v>
      </c>
      <c r="F175" s="259" t="s">
        <v>856</v>
      </c>
      <c r="J175" s="258">
        <f>J176+J177+J178+J179+J180+J181+J182+J183+J184+J185</f>
        <v>0</v>
      </c>
      <c r="L175" s="257"/>
      <c r="M175" s="256"/>
      <c r="N175" s="254"/>
      <c r="O175" s="254"/>
      <c r="P175" s="255">
        <f>SUM(P176:P177)</f>
        <v>0</v>
      </c>
      <c r="Q175" s="254"/>
      <c r="R175" s="255">
        <f>SUM(R176:R177)</f>
        <v>0</v>
      </c>
      <c r="S175" s="254"/>
      <c r="T175" s="253">
        <f>SUM(T176:T177)</f>
        <v>0</v>
      </c>
      <c r="AR175" s="251" t="s">
        <v>130</v>
      </c>
      <c r="AT175" s="252" t="s">
        <v>71</v>
      </c>
      <c r="AU175" s="252" t="s">
        <v>72</v>
      </c>
      <c r="AY175" s="251" t="s">
        <v>113</v>
      </c>
      <c r="BK175" s="250">
        <f>SUM(BK176:BK177)</f>
        <v>0</v>
      </c>
    </row>
    <row r="176" spans="1:65" s="2" customFormat="1" ht="24" customHeight="1" x14ac:dyDescent="0.15">
      <c r="A176" s="202"/>
      <c r="B176" s="135"/>
      <c r="C176" s="248">
        <v>1</v>
      </c>
      <c r="D176" s="248" t="s">
        <v>115</v>
      </c>
      <c r="E176" s="247" t="s">
        <v>857</v>
      </c>
      <c r="F176" s="320" t="s">
        <v>858</v>
      </c>
      <c r="G176" s="245" t="s">
        <v>146</v>
      </c>
      <c r="H176" s="244">
        <v>6</v>
      </c>
      <c r="I176" s="243"/>
      <c r="J176" s="243">
        <f t="shared" ref="J176:J185" si="10">ROUND(I176*H176,2)</f>
        <v>0</v>
      </c>
      <c r="K176" s="230"/>
      <c r="L176" s="229"/>
      <c r="M176" s="240" t="s">
        <v>1</v>
      </c>
      <c r="N176" s="239"/>
      <c r="O176" s="238">
        <v>0</v>
      </c>
      <c r="P176" s="238">
        <f t="shared" ref="P176:P185" si="11">O176*H176</f>
        <v>0</v>
      </c>
      <c r="Q176" s="238">
        <v>0</v>
      </c>
      <c r="R176" s="238">
        <f t="shared" ref="R176:R185" si="12">Q176*H176</f>
        <v>0</v>
      </c>
      <c r="S176" s="238">
        <v>0</v>
      </c>
      <c r="T176" s="237">
        <f t="shared" ref="T176:T185" si="13">S176*H176</f>
        <v>0</v>
      </c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R176" s="228" t="s">
        <v>154</v>
      </c>
      <c r="AT176" s="228" t="s">
        <v>268</v>
      </c>
      <c r="AU176" s="228" t="s">
        <v>77</v>
      </c>
      <c r="AY176" s="16" t="s">
        <v>113</v>
      </c>
      <c r="BE176" s="148">
        <f t="shared" ref="BE176:BE185" si="14">IF(N176="základná",J176,0)</f>
        <v>0</v>
      </c>
      <c r="BF176" s="148">
        <f t="shared" ref="BF176:BF185" si="15">IF(N176="znížená",J176,0)</f>
        <v>0</v>
      </c>
      <c r="BG176" s="148">
        <f t="shared" ref="BG176:BG185" si="16">IF(N176="zákl. prenesená",J176,0)</f>
        <v>0</v>
      </c>
      <c r="BH176" s="148">
        <f t="shared" ref="BH176:BH185" si="17">IF(N176="zníž. prenesená",J176,0)</f>
        <v>0</v>
      </c>
      <c r="BI176" s="148">
        <f t="shared" ref="BI176:BI185" si="18">IF(N176="nulová",J176,0)</f>
        <v>0</v>
      </c>
      <c r="BJ176" s="16" t="s">
        <v>120</v>
      </c>
      <c r="BK176" s="148">
        <f t="shared" ref="BK176:BK185" si="19">ROUND(I176*H176,2)</f>
        <v>0</v>
      </c>
      <c r="BL176" s="16" t="s">
        <v>119</v>
      </c>
      <c r="BM176" s="228" t="s">
        <v>237</v>
      </c>
    </row>
    <row r="177" spans="1:65" s="2" customFormat="1" ht="24" customHeight="1" x14ac:dyDescent="0.15">
      <c r="A177" s="202"/>
      <c r="B177" s="135"/>
      <c r="C177" s="248">
        <v>2</v>
      </c>
      <c r="D177" s="248" t="s">
        <v>115</v>
      </c>
      <c r="E177" s="247" t="s">
        <v>859</v>
      </c>
      <c r="F177" s="320" t="s">
        <v>860</v>
      </c>
      <c r="G177" s="245" t="s">
        <v>146</v>
      </c>
      <c r="H177" s="244">
        <v>8</v>
      </c>
      <c r="I177" s="243"/>
      <c r="J177" s="243">
        <f t="shared" si="10"/>
        <v>0</v>
      </c>
      <c r="K177" s="230"/>
      <c r="L177" s="229"/>
      <c r="M177" s="240" t="s">
        <v>1</v>
      </c>
      <c r="N177" s="239"/>
      <c r="O177" s="238">
        <v>0</v>
      </c>
      <c r="P177" s="238">
        <f t="shared" si="11"/>
        <v>0</v>
      </c>
      <c r="Q177" s="238">
        <v>0</v>
      </c>
      <c r="R177" s="238">
        <f t="shared" si="12"/>
        <v>0</v>
      </c>
      <c r="S177" s="238">
        <v>0</v>
      </c>
      <c r="T177" s="237">
        <f t="shared" si="13"/>
        <v>0</v>
      </c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R177" s="228" t="s">
        <v>154</v>
      </c>
      <c r="AT177" s="228" t="s">
        <v>268</v>
      </c>
      <c r="AU177" s="228" t="s">
        <v>77</v>
      </c>
      <c r="AY177" s="16" t="s">
        <v>113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6" t="s">
        <v>120</v>
      </c>
      <c r="BK177" s="148">
        <f t="shared" si="19"/>
        <v>0</v>
      </c>
      <c r="BL177" s="16" t="s">
        <v>119</v>
      </c>
      <c r="BM177" s="228" t="s">
        <v>237</v>
      </c>
    </row>
    <row r="178" spans="1:65" s="2" customFormat="1" ht="24" customHeight="1" x14ac:dyDescent="0.15">
      <c r="A178" s="202"/>
      <c r="B178" s="135"/>
      <c r="C178" s="248">
        <v>3</v>
      </c>
      <c r="D178" s="248" t="s">
        <v>115</v>
      </c>
      <c r="E178" s="247" t="s">
        <v>780</v>
      </c>
      <c r="F178" s="320" t="s">
        <v>861</v>
      </c>
      <c r="G178" s="245" t="s">
        <v>146</v>
      </c>
      <c r="H178" s="244">
        <v>60</v>
      </c>
      <c r="I178" s="243"/>
      <c r="J178" s="243">
        <f t="shared" si="10"/>
        <v>0</v>
      </c>
      <c r="K178" s="230"/>
      <c r="L178" s="229"/>
      <c r="M178" s="240" t="s">
        <v>1</v>
      </c>
      <c r="N178" s="239"/>
      <c r="O178" s="238">
        <v>0</v>
      </c>
      <c r="P178" s="238">
        <f t="shared" si="11"/>
        <v>0</v>
      </c>
      <c r="Q178" s="238">
        <v>0</v>
      </c>
      <c r="R178" s="238">
        <f t="shared" si="12"/>
        <v>0</v>
      </c>
      <c r="S178" s="238">
        <v>0</v>
      </c>
      <c r="T178" s="237">
        <f t="shared" si="13"/>
        <v>0</v>
      </c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R178" s="228" t="s">
        <v>154</v>
      </c>
      <c r="AT178" s="228" t="s">
        <v>268</v>
      </c>
      <c r="AU178" s="228" t="s">
        <v>77</v>
      </c>
      <c r="AY178" s="16" t="s">
        <v>113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6" t="s">
        <v>120</v>
      </c>
      <c r="BK178" s="148">
        <f t="shared" si="19"/>
        <v>0</v>
      </c>
      <c r="BL178" s="16" t="s">
        <v>119</v>
      </c>
      <c r="BM178" s="228" t="s">
        <v>237</v>
      </c>
    </row>
    <row r="179" spans="1:65" s="2" customFormat="1" ht="24" customHeight="1" x14ac:dyDescent="0.15">
      <c r="A179" s="202"/>
      <c r="B179" s="135"/>
      <c r="C179" s="248">
        <v>4</v>
      </c>
      <c r="D179" s="248" t="s">
        <v>115</v>
      </c>
      <c r="E179" s="247" t="s">
        <v>779</v>
      </c>
      <c r="F179" s="320" t="s">
        <v>862</v>
      </c>
      <c r="G179" s="245" t="s">
        <v>146</v>
      </c>
      <c r="H179" s="244">
        <v>120</v>
      </c>
      <c r="I179" s="243"/>
      <c r="J179" s="243">
        <f t="shared" si="10"/>
        <v>0</v>
      </c>
      <c r="K179" s="230"/>
      <c r="L179" s="229"/>
      <c r="M179" s="240" t="s">
        <v>1</v>
      </c>
      <c r="N179" s="239"/>
      <c r="O179" s="238">
        <v>0</v>
      </c>
      <c r="P179" s="238">
        <f t="shared" si="11"/>
        <v>0</v>
      </c>
      <c r="Q179" s="238">
        <v>0</v>
      </c>
      <c r="R179" s="238">
        <f t="shared" si="12"/>
        <v>0</v>
      </c>
      <c r="S179" s="238">
        <v>0</v>
      </c>
      <c r="T179" s="237">
        <f t="shared" si="13"/>
        <v>0</v>
      </c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R179" s="228" t="s">
        <v>154</v>
      </c>
      <c r="AT179" s="228" t="s">
        <v>268</v>
      </c>
      <c r="AU179" s="228" t="s">
        <v>77</v>
      </c>
      <c r="AY179" s="16" t="s">
        <v>113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6" t="s">
        <v>120</v>
      </c>
      <c r="BK179" s="148">
        <f t="shared" si="19"/>
        <v>0</v>
      </c>
      <c r="BL179" s="16" t="s">
        <v>119</v>
      </c>
      <c r="BM179" s="228" t="s">
        <v>237</v>
      </c>
    </row>
    <row r="180" spans="1:65" s="2" customFormat="1" ht="24" customHeight="1" x14ac:dyDescent="0.2">
      <c r="A180" s="202"/>
      <c r="B180" s="135"/>
      <c r="C180" s="248">
        <v>5</v>
      </c>
      <c r="D180" s="248" t="s">
        <v>115</v>
      </c>
      <c r="E180" s="247" t="s">
        <v>863</v>
      </c>
      <c r="F180" s="322" t="s">
        <v>864</v>
      </c>
      <c r="G180" s="245" t="s">
        <v>771</v>
      </c>
      <c r="H180" s="244">
        <v>10</v>
      </c>
      <c r="I180" s="243"/>
      <c r="J180" s="243">
        <f t="shared" si="10"/>
        <v>0</v>
      </c>
      <c r="K180" s="230"/>
      <c r="L180" s="229"/>
      <c r="M180" s="240" t="s">
        <v>1</v>
      </c>
      <c r="N180" s="239"/>
      <c r="O180" s="238">
        <v>0</v>
      </c>
      <c r="P180" s="238">
        <f t="shared" si="11"/>
        <v>0</v>
      </c>
      <c r="Q180" s="238">
        <v>0</v>
      </c>
      <c r="R180" s="238">
        <f t="shared" si="12"/>
        <v>0</v>
      </c>
      <c r="S180" s="238">
        <v>0</v>
      </c>
      <c r="T180" s="237">
        <f t="shared" si="13"/>
        <v>0</v>
      </c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R180" s="228" t="s">
        <v>154</v>
      </c>
      <c r="AT180" s="228" t="s">
        <v>268</v>
      </c>
      <c r="AU180" s="228" t="s">
        <v>77</v>
      </c>
      <c r="AY180" s="16" t="s">
        <v>113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6" t="s">
        <v>120</v>
      </c>
      <c r="BK180" s="148">
        <f t="shared" si="19"/>
        <v>0</v>
      </c>
      <c r="BL180" s="16" t="s">
        <v>119</v>
      </c>
      <c r="BM180" s="228" t="s">
        <v>237</v>
      </c>
    </row>
    <row r="181" spans="1:65" s="2" customFormat="1" ht="24" customHeight="1" x14ac:dyDescent="0.2">
      <c r="A181" s="202"/>
      <c r="B181" s="135"/>
      <c r="C181" s="248">
        <v>6</v>
      </c>
      <c r="D181" s="248" t="s">
        <v>115</v>
      </c>
      <c r="E181" s="247" t="s">
        <v>815</v>
      </c>
      <c r="F181" s="323" t="s">
        <v>865</v>
      </c>
      <c r="G181" s="245" t="s">
        <v>146</v>
      </c>
      <c r="H181" s="244">
        <v>120</v>
      </c>
      <c r="I181" s="243"/>
      <c r="J181" s="243">
        <f t="shared" si="10"/>
        <v>0</v>
      </c>
      <c r="K181" s="230"/>
      <c r="L181" s="229"/>
      <c r="M181" s="240" t="s">
        <v>1</v>
      </c>
      <c r="N181" s="239"/>
      <c r="O181" s="238">
        <v>0</v>
      </c>
      <c r="P181" s="238">
        <f t="shared" si="11"/>
        <v>0</v>
      </c>
      <c r="Q181" s="238">
        <v>0</v>
      </c>
      <c r="R181" s="238">
        <f t="shared" si="12"/>
        <v>0</v>
      </c>
      <c r="S181" s="238">
        <v>0</v>
      </c>
      <c r="T181" s="237">
        <f t="shared" si="13"/>
        <v>0</v>
      </c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R181" s="228" t="s">
        <v>154</v>
      </c>
      <c r="AT181" s="228" t="s">
        <v>268</v>
      </c>
      <c r="AU181" s="228" t="s">
        <v>77</v>
      </c>
      <c r="AY181" s="16" t="s">
        <v>113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6" t="s">
        <v>120</v>
      </c>
      <c r="BK181" s="148">
        <f t="shared" si="19"/>
        <v>0</v>
      </c>
      <c r="BL181" s="16" t="s">
        <v>119</v>
      </c>
      <c r="BM181" s="228" t="s">
        <v>237</v>
      </c>
    </row>
    <row r="182" spans="1:65" s="2" customFormat="1" ht="15.75" customHeight="1" x14ac:dyDescent="0.2">
      <c r="A182" s="202"/>
      <c r="B182" s="135"/>
      <c r="C182" s="248">
        <v>7</v>
      </c>
      <c r="D182" s="248" t="s">
        <v>115</v>
      </c>
      <c r="E182" s="247" t="s">
        <v>866</v>
      </c>
      <c r="F182" s="323" t="s">
        <v>867</v>
      </c>
      <c r="G182" s="245" t="s">
        <v>146</v>
      </c>
      <c r="H182" s="244">
        <v>20</v>
      </c>
      <c r="I182" s="243"/>
      <c r="J182" s="243">
        <f t="shared" si="10"/>
        <v>0</v>
      </c>
      <c r="K182" s="230"/>
      <c r="L182" s="229"/>
      <c r="M182" s="240" t="s">
        <v>1</v>
      </c>
      <c r="N182" s="239"/>
      <c r="O182" s="238">
        <v>0</v>
      </c>
      <c r="P182" s="238">
        <f t="shared" si="11"/>
        <v>0</v>
      </c>
      <c r="Q182" s="238">
        <v>0</v>
      </c>
      <c r="R182" s="238">
        <f t="shared" si="12"/>
        <v>0</v>
      </c>
      <c r="S182" s="238">
        <v>0</v>
      </c>
      <c r="T182" s="237">
        <f t="shared" si="13"/>
        <v>0</v>
      </c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R182" s="228" t="s">
        <v>154</v>
      </c>
      <c r="AT182" s="228" t="s">
        <v>268</v>
      </c>
      <c r="AU182" s="228" t="s">
        <v>77</v>
      </c>
      <c r="AY182" s="16" t="s">
        <v>113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6" t="s">
        <v>120</v>
      </c>
      <c r="BK182" s="148">
        <f t="shared" si="19"/>
        <v>0</v>
      </c>
      <c r="BL182" s="16" t="s">
        <v>119</v>
      </c>
      <c r="BM182" s="228" t="s">
        <v>237</v>
      </c>
    </row>
    <row r="183" spans="1:65" s="2" customFormat="1" ht="21.75" customHeight="1" x14ac:dyDescent="0.2">
      <c r="A183" s="202"/>
      <c r="B183" s="135"/>
      <c r="C183" s="248">
        <v>8</v>
      </c>
      <c r="D183" s="248" t="s">
        <v>115</v>
      </c>
      <c r="E183" s="247" t="s">
        <v>869</v>
      </c>
      <c r="F183" s="313" t="s">
        <v>868</v>
      </c>
      <c r="G183" s="245" t="s">
        <v>146</v>
      </c>
      <c r="H183" s="244">
        <v>9</v>
      </c>
      <c r="I183" s="243"/>
      <c r="J183" s="243">
        <f t="shared" si="10"/>
        <v>0</v>
      </c>
      <c r="K183" s="230"/>
      <c r="L183" s="229"/>
      <c r="M183" s="240" t="s">
        <v>1</v>
      </c>
      <c r="N183" s="239"/>
      <c r="O183" s="238">
        <v>0</v>
      </c>
      <c r="P183" s="238">
        <f t="shared" si="11"/>
        <v>0</v>
      </c>
      <c r="Q183" s="238">
        <v>0</v>
      </c>
      <c r="R183" s="238">
        <f t="shared" si="12"/>
        <v>0</v>
      </c>
      <c r="S183" s="238">
        <v>0</v>
      </c>
      <c r="T183" s="237">
        <f t="shared" si="13"/>
        <v>0</v>
      </c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R183" s="228" t="s">
        <v>154</v>
      </c>
      <c r="AT183" s="228" t="s">
        <v>268</v>
      </c>
      <c r="AU183" s="228" t="s">
        <v>77</v>
      </c>
      <c r="AY183" s="16" t="s">
        <v>113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6" t="s">
        <v>120</v>
      </c>
      <c r="BK183" s="148">
        <f t="shared" si="19"/>
        <v>0</v>
      </c>
      <c r="BL183" s="16" t="s">
        <v>119</v>
      </c>
      <c r="BM183" s="228" t="s">
        <v>237</v>
      </c>
    </row>
    <row r="184" spans="1:65" s="2" customFormat="1" ht="21.75" customHeight="1" x14ac:dyDescent="0.2">
      <c r="A184" s="202"/>
      <c r="B184" s="135"/>
      <c r="C184" s="248">
        <v>9</v>
      </c>
      <c r="D184" s="248" t="s">
        <v>115</v>
      </c>
      <c r="E184" s="247" t="s">
        <v>870</v>
      </c>
      <c r="F184" s="313" t="s">
        <v>871</v>
      </c>
      <c r="G184" s="245" t="s">
        <v>146</v>
      </c>
      <c r="H184" s="244">
        <v>11</v>
      </c>
      <c r="I184" s="243"/>
      <c r="J184" s="243">
        <f t="shared" si="10"/>
        <v>0</v>
      </c>
      <c r="K184" s="230"/>
      <c r="L184" s="229"/>
      <c r="M184" s="240" t="s">
        <v>1</v>
      </c>
      <c r="N184" s="239"/>
      <c r="O184" s="238">
        <v>0</v>
      </c>
      <c r="P184" s="238">
        <f t="shared" si="11"/>
        <v>0</v>
      </c>
      <c r="Q184" s="238">
        <v>0</v>
      </c>
      <c r="R184" s="238">
        <f t="shared" si="12"/>
        <v>0</v>
      </c>
      <c r="S184" s="238">
        <v>0</v>
      </c>
      <c r="T184" s="237">
        <f t="shared" si="13"/>
        <v>0</v>
      </c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R184" s="228" t="s">
        <v>154</v>
      </c>
      <c r="AT184" s="228" t="s">
        <v>268</v>
      </c>
      <c r="AU184" s="228" t="s">
        <v>77</v>
      </c>
      <c r="AY184" s="16" t="s">
        <v>113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6" t="s">
        <v>120</v>
      </c>
      <c r="BK184" s="148">
        <f t="shared" si="19"/>
        <v>0</v>
      </c>
      <c r="BL184" s="16" t="s">
        <v>119</v>
      </c>
      <c r="BM184" s="228" t="s">
        <v>237</v>
      </c>
    </row>
    <row r="185" spans="1:65" s="2" customFormat="1" ht="15.75" customHeight="1" x14ac:dyDescent="0.2">
      <c r="A185" s="202"/>
      <c r="B185" s="135"/>
      <c r="C185" s="248">
        <v>10</v>
      </c>
      <c r="D185" s="248" t="s">
        <v>115</v>
      </c>
      <c r="E185" s="247" t="s">
        <v>869</v>
      </c>
      <c r="F185" s="313" t="s">
        <v>872</v>
      </c>
      <c r="G185" s="245" t="s">
        <v>146</v>
      </c>
      <c r="H185" s="244">
        <v>10</v>
      </c>
      <c r="I185" s="243"/>
      <c r="J185" s="243">
        <f t="shared" si="10"/>
        <v>0</v>
      </c>
      <c r="K185" s="230"/>
      <c r="L185" s="229"/>
      <c r="M185" s="240" t="s">
        <v>1</v>
      </c>
      <c r="N185" s="239"/>
      <c r="O185" s="238">
        <v>0</v>
      </c>
      <c r="P185" s="238">
        <f t="shared" si="11"/>
        <v>0</v>
      </c>
      <c r="Q185" s="238">
        <v>0</v>
      </c>
      <c r="R185" s="238">
        <f t="shared" si="12"/>
        <v>0</v>
      </c>
      <c r="S185" s="238">
        <v>0</v>
      </c>
      <c r="T185" s="237">
        <f t="shared" si="13"/>
        <v>0</v>
      </c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R185" s="228" t="s">
        <v>154</v>
      </c>
      <c r="AT185" s="228" t="s">
        <v>268</v>
      </c>
      <c r="AU185" s="228" t="s">
        <v>77</v>
      </c>
      <c r="AY185" s="16" t="s">
        <v>113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6" t="s">
        <v>120</v>
      </c>
      <c r="BK185" s="148">
        <f t="shared" si="19"/>
        <v>0</v>
      </c>
      <c r="BL185" s="16" t="s">
        <v>119</v>
      </c>
      <c r="BM185" s="228" t="s">
        <v>237</v>
      </c>
    </row>
    <row r="186" spans="1:65" s="249" customFormat="1" ht="25.9" customHeight="1" x14ac:dyDescent="0.2">
      <c r="B186" s="257"/>
      <c r="D186" s="251" t="s">
        <v>71</v>
      </c>
      <c r="E186" s="259" t="s">
        <v>873</v>
      </c>
      <c r="F186" s="259" t="s">
        <v>874</v>
      </c>
      <c r="J186" s="258">
        <f>J187+J188+J189</f>
        <v>0</v>
      </c>
      <c r="L186" s="257"/>
      <c r="M186" s="256"/>
      <c r="N186" s="254"/>
      <c r="O186" s="254"/>
      <c r="P186" s="255">
        <f>SUM(P187:P189)</f>
        <v>0</v>
      </c>
      <c r="Q186" s="254"/>
      <c r="R186" s="255">
        <f>SUM(R187:R189)</f>
        <v>0</v>
      </c>
      <c r="S186" s="254"/>
      <c r="T186" s="253">
        <f>SUM(T187:T189)</f>
        <v>0</v>
      </c>
      <c r="AR186" s="251" t="s">
        <v>77</v>
      </c>
      <c r="AT186" s="252" t="s">
        <v>71</v>
      </c>
      <c r="AU186" s="252" t="s">
        <v>72</v>
      </c>
      <c r="AY186" s="251" t="s">
        <v>113</v>
      </c>
      <c r="BK186" s="250">
        <f>SUM(BK187:BK189)</f>
        <v>0</v>
      </c>
    </row>
    <row r="187" spans="1:65" s="2" customFormat="1" ht="21.75" customHeight="1" x14ac:dyDescent="0.2">
      <c r="A187" s="202"/>
      <c r="B187" s="135"/>
      <c r="C187" s="248">
        <v>1</v>
      </c>
      <c r="D187" s="248" t="s">
        <v>115</v>
      </c>
      <c r="E187" s="247" t="s">
        <v>875</v>
      </c>
      <c r="F187" s="324" t="s">
        <v>876</v>
      </c>
      <c r="G187" s="245" t="s">
        <v>770</v>
      </c>
      <c r="H187" s="244"/>
      <c r="I187" s="243"/>
      <c r="J187" s="243">
        <f>I187</f>
        <v>0</v>
      </c>
      <c r="K187" s="230"/>
      <c r="L187" s="229"/>
      <c r="M187" s="240" t="s">
        <v>1</v>
      </c>
      <c r="N187" s="239"/>
      <c r="O187" s="238">
        <v>0</v>
      </c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7">
        <f>S187*H187</f>
        <v>0</v>
      </c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R187" s="228" t="s">
        <v>154</v>
      </c>
      <c r="AT187" s="228" t="s">
        <v>268</v>
      </c>
      <c r="AU187" s="228" t="s">
        <v>77</v>
      </c>
      <c r="AY187" s="16" t="s">
        <v>113</v>
      </c>
      <c r="BE187" s="148">
        <f>IF(N187="základná",J187,0)</f>
        <v>0</v>
      </c>
      <c r="BF187" s="148">
        <f>IF(N187="znížená",J187,0)</f>
        <v>0</v>
      </c>
      <c r="BG187" s="148">
        <f>IF(N187="zákl. prenesená",J187,0)</f>
        <v>0</v>
      </c>
      <c r="BH187" s="148">
        <f>IF(N187="zníž. prenesená",J187,0)</f>
        <v>0</v>
      </c>
      <c r="BI187" s="148">
        <f>IF(N187="nulová",J187,0)</f>
        <v>0</v>
      </c>
      <c r="BJ187" s="16" t="s">
        <v>120</v>
      </c>
      <c r="BK187" s="148">
        <f>ROUND(I187*H187,2)</f>
        <v>0</v>
      </c>
      <c r="BL187" s="16" t="s">
        <v>119</v>
      </c>
      <c r="BM187" s="228" t="s">
        <v>237</v>
      </c>
    </row>
    <row r="188" spans="1:65" s="2" customFormat="1" ht="24" customHeight="1" x14ac:dyDescent="0.2">
      <c r="A188" s="202"/>
      <c r="B188" s="135"/>
      <c r="C188" s="248">
        <v>2</v>
      </c>
      <c r="D188" s="248" t="s">
        <v>115</v>
      </c>
      <c r="E188" s="247" t="s">
        <v>877</v>
      </c>
      <c r="F188" s="322" t="s">
        <v>878</v>
      </c>
      <c r="G188" s="245" t="s">
        <v>771</v>
      </c>
      <c r="H188" s="244">
        <v>16</v>
      </c>
      <c r="I188" s="243"/>
      <c r="J188" s="243">
        <f>ROUND(I188*H188,2)</f>
        <v>0</v>
      </c>
      <c r="K188" s="230"/>
      <c r="L188" s="229"/>
      <c r="M188" s="240" t="s">
        <v>1</v>
      </c>
      <c r="N188" s="239"/>
      <c r="O188" s="238">
        <v>0</v>
      </c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7">
        <f>S188*H188</f>
        <v>0</v>
      </c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R188" s="228" t="s">
        <v>154</v>
      </c>
      <c r="AT188" s="228" t="s">
        <v>268</v>
      </c>
      <c r="AU188" s="228" t="s">
        <v>77</v>
      </c>
      <c r="AY188" s="16" t="s">
        <v>113</v>
      </c>
      <c r="BE188" s="148">
        <f>IF(N188="základná",J188,0)</f>
        <v>0</v>
      </c>
      <c r="BF188" s="148">
        <f>IF(N188="znížená",J188,0)</f>
        <v>0</v>
      </c>
      <c r="BG188" s="148">
        <f>IF(N188="zákl. prenesená",J188,0)</f>
        <v>0</v>
      </c>
      <c r="BH188" s="148">
        <f>IF(N188="zníž. prenesená",J188,0)</f>
        <v>0</v>
      </c>
      <c r="BI188" s="148">
        <f>IF(N188="nulová",J188,0)</f>
        <v>0</v>
      </c>
      <c r="BJ188" s="16" t="s">
        <v>120</v>
      </c>
      <c r="BK188" s="148">
        <f>ROUND(I188*H188,2)</f>
        <v>0</v>
      </c>
      <c r="BL188" s="16" t="s">
        <v>119</v>
      </c>
      <c r="BM188" s="228" t="s">
        <v>237</v>
      </c>
    </row>
    <row r="189" spans="1:65" s="2" customFormat="1" ht="15.75" customHeight="1" x14ac:dyDescent="0.2">
      <c r="A189" s="202"/>
      <c r="B189" s="135"/>
      <c r="C189" s="248">
        <v>3</v>
      </c>
      <c r="D189" s="248" t="s">
        <v>115</v>
      </c>
      <c r="E189" s="247" t="s">
        <v>879</v>
      </c>
      <c r="F189" s="325" t="s">
        <v>880</v>
      </c>
      <c r="G189" s="245" t="s">
        <v>146</v>
      </c>
      <c r="H189" s="244">
        <v>10</v>
      </c>
      <c r="I189" s="243"/>
      <c r="J189" s="243">
        <f>ROUND(I189*H189,2)</f>
        <v>0</v>
      </c>
      <c r="K189" s="230"/>
      <c r="L189" s="229"/>
      <c r="M189" s="240" t="s">
        <v>1</v>
      </c>
      <c r="N189" s="239"/>
      <c r="O189" s="238">
        <v>0</v>
      </c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7">
        <f>S189*H189</f>
        <v>0</v>
      </c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R189" s="228" t="s">
        <v>154</v>
      </c>
      <c r="AT189" s="228" t="s">
        <v>268</v>
      </c>
      <c r="AU189" s="228" t="s">
        <v>77</v>
      </c>
      <c r="AY189" s="16" t="s">
        <v>113</v>
      </c>
      <c r="BE189" s="148">
        <f>IF(N189="základná",J189,0)</f>
        <v>0</v>
      </c>
      <c r="BF189" s="148">
        <f>IF(N189="znížená",J189,0)</f>
        <v>0</v>
      </c>
      <c r="BG189" s="148">
        <f>IF(N189="zákl. prenesená",J189,0)</f>
        <v>0</v>
      </c>
      <c r="BH189" s="148">
        <f>IF(N189="zníž. prenesená",J189,0)</f>
        <v>0</v>
      </c>
      <c r="BI189" s="148">
        <f>IF(N189="nulová",J189,0)</f>
        <v>0</v>
      </c>
      <c r="BJ189" s="16" t="s">
        <v>120</v>
      </c>
      <c r="BK189" s="148">
        <f>ROUND(I189*H189,2)</f>
        <v>0</v>
      </c>
      <c r="BL189" s="16" t="s">
        <v>119</v>
      </c>
      <c r="BM189" s="228" t="s">
        <v>237</v>
      </c>
    </row>
    <row r="190" spans="1:65" s="2" customFormat="1" ht="6.95" customHeight="1" x14ac:dyDescent="0.2">
      <c r="A190" s="202"/>
      <c r="B190" s="43"/>
      <c r="C190" s="44"/>
      <c r="D190" s="44"/>
      <c r="E190" s="44"/>
      <c r="F190" s="44"/>
      <c r="G190" s="44"/>
      <c r="H190" s="44"/>
      <c r="I190" s="44"/>
      <c r="J190" s="44"/>
      <c r="K190" s="44"/>
      <c r="L190" s="29"/>
      <c r="M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</row>
  </sheetData>
  <autoFilter ref="C123:K189" xr:uid="{00000000-0009-0000-0000-000003000000}"/>
  <mergeCells count="10">
    <mergeCell ref="D125:F125"/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copies="2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225"/>
  <sheetViews>
    <sheetView showGridLines="0" tabSelected="1" workbookViewId="0">
      <selection activeCell="X8" sqref="X8"/>
    </sheetView>
  </sheetViews>
  <sheetFormatPr defaultRowHeight="11.25" x14ac:dyDescent="0.2"/>
  <cols>
    <col min="1" max="1" width="8.33203125" style="196" customWidth="1"/>
    <col min="2" max="2" width="1.6640625" style="196" customWidth="1"/>
    <col min="3" max="3" width="4.1640625" style="196" customWidth="1"/>
    <col min="4" max="4" width="4.33203125" style="196" customWidth="1"/>
    <col min="5" max="5" width="17.1640625" style="196" customWidth="1"/>
    <col min="6" max="6" width="50.83203125" style="196" customWidth="1"/>
    <col min="7" max="7" width="7" style="196" customWidth="1"/>
    <col min="8" max="8" width="11.5" style="196" customWidth="1"/>
    <col min="9" max="10" width="20.1640625" style="196" customWidth="1"/>
    <col min="11" max="11" width="20.1640625" style="196" hidden="1" customWidth="1"/>
    <col min="12" max="12" width="9.33203125" style="196" customWidth="1"/>
    <col min="13" max="13" width="10.83203125" style="196" hidden="1" customWidth="1"/>
    <col min="14" max="14" width="9.33203125" style="196"/>
    <col min="15" max="20" width="14.1640625" style="196" hidden="1" customWidth="1"/>
    <col min="21" max="21" width="16.33203125" style="196" hidden="1" customWidth="1"/>
    <col min="22" max="22" width="17.1640625" style="196" customWidth="1"/>
    <col min="23" max="23" width="16.33203125" style="196" customWidth="1"/>
    <col min="24" max="24" width="12.33203125" style="196" customWidth="1"/>
    <col min="25" max="25" width="15" style="196" customWidth="1"/>
    <col min="26" max="26" width="11" style="196" customWidth="1"/>
    <col min="27" max="27" width="15" style="196" customWidth="1"/>
    <col min="28" max="28" width="16.33203125" style="196" customWidth="1"/>
    <col min="29" max="29" width="11" style="196" customWidth="1"/>
    <col min="30" max="30" width="15" style="196" customWidth="1"/>
    <col min="31" max="31" width="16.33203125" style="196" customWidth="1"/>
    <col min="32" max="16384" width="9.33203125" style="196"/>
  </cols>
  <sheetData>
    <row r="1" spans="1:46" x14ac:dyDescent="0.2">
      <c r="A1" s="84"/>
    </row>
    <row r="2" spans="1:46" ht="36.950000000000003" customHeight="1" x14ac:dyDescent="0.2">
      <c r="L2" s="419"/>
      <c r="M2" s="399"/>
      <c r="N2" s="399"/>
      <c r="O2" s="399"/>
      <c r="P2" s="399"/>
      <c r="Q2" s="399"/>
      <c r="R2" s="399"/>
      <c r="S2" s="399"/>
      <c r="T2" s="399"/>
      <c r="U2" s="399"/>
      <c r="V2" s="399"/>
      <c r="AT2" s="16" t="s">
        <v>884</v>
      </c>
    </row>
    <row r="3" spans="1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ht="24.95" customHeight="1" x14ac:dyDescent="0.2">
      <c r="B4" s="19"/>
      <c r="D4" s="276" t="s">
        <v>1134</v>
      </c>
      <c r="L4" s="19"/>
      <c r="M4" s="305" t="s">
        <v>9</v>
      </c>
      <c r="AT4" s="16" t="s">
        <v>3</v>
      </c>
    </row>
    <row r="5" spans="1:46" ht="6.95" customHeight="1" x14ac:dyDescent="0.2">
      <c r="B5" s="19"/>
      <c r="L5" s="19"/>
    </row>
    <row r="6" spans="1:46" ht="12" customHeight="1" x14ac:dyDescent="0.2">
      <c r="B6" s="19"/>
      <c r="D6" s="273" t="s">
        <v>12</v>
      </c>
      <c r="L6" s="19"/>
    </row>
    <row r="7" spans="1:46" ht="16.5" customHeight="1" x14ac:dyDescent="0.2">
      <c r="B7" s="19"/>
      <c r="E7" s="422" t="s">
        <v>1138</v>
      </c>
      <c r="F7" s="423"/>
      <c r="G7" s="423"/>
      <c r="H7" s="423"/>
      <c r="L7" s="19"/>
    </row>
    <row r="8" spans="1:46" s="2" customFormat="1" ht="12" customHeight="1" x14ac:dyDescent="0.2">
      <c r="A8" s="202"/>
      <c r="B8" s="29"/>
      <c r="C8" s="202"/>
      <c r="D8" s="273" t="s">
        <v>783</v>
      </c>
      <c r="E8" s="202"/>
      <c r="F8" s="202"/>
      <c r="G8" s="202"/>
      <c r="H8" s="202"/>
      <c r="I8" s="202"/>
      <c r="J8" s="202"/>
      <c r="K8" s="202"/>
      <c r="L8" s="38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</row>
    <row r="9" spans="1:46" s="2" customFormat="1" ht="16.5" customHeight="1" x14ac:dyDescent="0.2">
      <c r="A9" s="202"/>
      <c r="B9" s="29"/>
      <c r="C9" s="202"/>
      <c r="D9" s="202"/>
      <c r="E9" s="416" t="s">
        <v>885</v>
      </c>
      <c r="F9" s="413"/>
      <c r="G9" s="413"/>
      <c r="H9" s="413"/>
      <c r="I9" s="202"/>
      <c r="J9" s="202"/>
      <c r="K9" s="202"/>
      <c r="L9" s="38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</row>
    <row r="10" spans="1:46" s="2" customFormat="1" x14ac:dyDescent="0.2">
      <c r="A10" s="202"/>
      <c r="B10" s="29"/>
      <c r="C10" s="202"/>
      <c r="D10" s="202"/>
      <c r="E10" s="202"/>
      <c r="F10" s="202"/>
      <c r="G10" s="202"/>
      <c r="H10" s="202"/>
      <c r="I10" s="202"/>
      <c r="J10" s="202"/>
      <c r="K10" s="202"/>
      <c r="L10" s="38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</row>
    <row r="11" spans="1:46" s="2" customFormat="1" ht="12" customHeight="1" x14ac:dyDescent="0.2">
      <c r="A11" s="202"/>
      <c r="B11" s="29"/>
      <c r="C11" s="202"/>
      <c r="D11" s="273" t="s">
        <v>14</v>
      </c>
      <c r="E11" s="202"/>
      <c r="F11" s="274" t="s">
        <v>1</v>
      </c>
      <c r="G11" s="202"/>
      <c r="H11" s="202"/>
      <c r="I11" s="273" t="s">
        <v>15</v>
      </c>
      <c r="J11" s="274" t="s">
        <v>1</v>
      </c>
      <c r="K11" s="202"/>
      <c r="L11" s="38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</row>
    <row r="12" spans="1:46" s="2" customFormat="1" ht="12" customHeight="1" x14ac:dyDescent="0.2">
      <c r="A12" s="202"/>
      <c r="B12" s="29"/>
      <c r="C12" s="202"/>
      <c r="D12" s="273" t="s">
        <v>16</v>
      </c>
      <c r="E12" s="202"/>
      <c r="F12" s="274" t="s">
        <v>17</v>
      </c>
      <c r="G12" s="202"/>
      <c r="H12" s="202"/>
      <c r="I12" s="273" t="s">
        <v>18</v>
      </c>
      <c r="J12" s="275"/>
      <c r="K12" s="202"/>
      <c r="L12" s="38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</row>
    <row r="13" spans="1:46" s="2" customFormat="1" ht="10.9" customHeight="1" x14ac:dyDescent="0.2">
      <c r="A13" s="202"/>
      <c r="B13" s="29"/>
      <c r="C13" s="202"/>
      <c r="D13" s="202"/>
      <c r="E13" s="202"/>
      <c r="F13" s="202"/>
      <c r="G13" s="202"/>
      <c r="H13" s="202"/>
      <c r="I13" s="202"/>
      <c r="J13" s="202"/>
      <c r="K13" s="202"/>
      <c r="L13" s="38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</row>
    <row r="14" spans="1:46" s="2" customFormat="1" ht="12" customHeight="1" x14ac:dyDescent="0.2">
      <c r="A14" s="202"/>
      <c r="B14" s="29"/>
      <c r="C14" s="202"/>
      <c r="D14" s="273" t="s">
        <v>19</v>
      </c>
      <c r="E14" s="202"/>
      <c r="F14" s="375" t="s">
        <v>1137</v>
      </c>
      <c r="G14" s="202"/>
      <c r="H14" s="202"/>
      <c r="I14" s="273" t="s">
        <v>20</v>
      </c>
      <c r="J14" s="274" t="str">
        <f>IF('[3]Rekapitulácia stavby'!AN10="","",'[3]Rekapitulácia stavby'!AN10)</f>
        <v/>
      </c>
      <c r="K14" s="202"/>
      <c r="L14" s="38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</row>
    <row r="15" spans="1:46" s="2" customFormat="1" ht="18" customHeight="1" x14ac:dyDescent="0.2">
      <c r="A15" s="202"/>
      <c r="B15" s="29"/>
      <c r="C15" s="202"/>
      <c r="D15" s="202"/>
      <c r="E15" s="274" t="str">
        <f>IF('[3]Rekapitulácia stavby'!E11="","",'[3]Rekapitulácia stavby'!E11)</f>
        <v xml:space="preserve"> </v>
      </c>
      <c r="F15" s="202"/>
      <c r="G15" s="202"/>
      <c r="H15" s="202"/>
      <c r="I15" s="273" t="s">
        <v>22</v>
      </c>
      <c r="J15" s="274" t="str">
        <f>IF('[3]Rekapitulácia stavby'!AN11="","",'[3]Rekapitulácia stavby'!AN11)</f>
        <v/>
      </c>
      <c r="K15" s="202"/>
      <c r="L15" s="38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</row>
    <row r="16" spans="1:46" s="2" customFormat="1" ht="6.95" customHeight="1" x14ac:dyDescent="0.2">
      <c r="A16" s="202"/>
      <c r="B16" s="29"/>
      <c r="C16" s="202"/>
      <c r="D16" s="202"/>
      <c r="E16" s="202"/>
      <c r="F16" s="202"/>
      <c r="G16" s="202"/>
      <c r="H16" s="202"/>
      <c r="I16" s="202"/>
      <c r="J16" s="202"/>
      <c r="K16" s="202"/>
      <c r="L16" s="38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</row>
    <row r="17" spans="1:31" s="2" customFormat="1" ht="12" customHeight="1" x14ac:dyDescent="0.2">
      <c r="A17" s="202"/>
      <c r="B17" s="29"/>
      <c r="C17" s="202"/>
      <c r="D17" s="273" t="s">
        <v>23</v>
      </c>
      <c r="E17" s="202"/>
      <c r="F17" s="202"/>
      <c r="G17" s="202"/>
      <c r="H17" s="202"/>
      <c r="I17" s="273" t="s">
        <v>20</v>
      </c>
      <c r="J17" s="274" t="str">
        <f>'[3]Rekapitulácia stavby'!AN13</f>
        <v/>
      </c>
      <c r="K17" s="202"/>
      <c r="L17" s="38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</row>
    <row r="18" spans="1:31" s="2" customFormat="1" ht="18" customHeight="1" x14ac:dyDescent="0.2">
      <c r="A18" s="202"/>
      <c r="B18" s="29"/>
      <c r="C18" s="202"/>
      <c r="D18" s="202"/>
      <c r="E18" s="420" t="str">
        <f>'[3]Rekapitulácia stavby'!E14</f>
        <v xml:space="preserve"> </v>
      </c>
      <c r="F18" s="420"/>
      <c r="G18" s="420"/>
      <c r="H18" s="420"/>
      <c r="I18" s="273" t="s">
        <v>22</v>
      </c>
      <c r="J18" s="274" t="str">
        <f>'[3]Rekapitulácia stavby'!AN14</f>
        <v/>
      </c>
      <c r="K18" s="202"/>
      <c r="L18" s="38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</row>
    <row r="19" spans="1:31" s="2" customFormat="1" ht="6.95" customHeight="1" x14ac:dyDescent="0.2">
      <c r="A19" s="202"/>
      <c r="B19" s="29"/>
      <c r="C19" s="202"/>
      <c r="D19" s="202"/>
      <c r="E19" s="202"/>
      <c r="F19" s="202"/>
      <c r="G19" s="202"/>
      <c r="H19" s="202"/>
      <c r="I19" s="202"/>
      <c r="J19" s="202"/>
      <c r="K19" s="202"/>
      <c r="L19" s="38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</row>
    <row r="20" spans="1:31" s="2" customFormat="1" ht="12" customHeight="1" x14ac:dyDescent="0.2">
      <c r="A20" s="202"/>
      <c r="B20" s="29"/>
      <c r="C20" s="202"/>
      <c r="D20" s="273" t="s">
        <v>24</v>
      </c>
      <c r="E20" s="202"/>
      <c r="F20" s="202"/>
      <c r="G20" s="202"/>
      <c r="H20" s="202"/>
      <c r="I20" s="273" t="s">
        <v>20</v>
      </c>
      <c r="J20" s="274"/>
      <c r="K20" s="202"/>
      <c r="L20" s="38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</row>
    <row r="21" spans="1:31" s="2" customFormat="1" ht="18" customHeight="1" x14ac:dyDescent="0.2">
      <c r="A21" s="202"/>
      <c r="B21" s="29"/>
      <c r="C21" s="202"/>
      <c r="D21" s="202"/>
      <c r="E21" s="274"/>
      <c r="F21" s="202"/>
      <c r="G21" s="202"/>
      <c r="H21" s="202"/>
      <c r="I21" s="273" t="s">
        <v>22</v>
      </c>
      <c r="J21" s="274"/>
      <c r="K21" s="202"/>
      <c r="L21" s="38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</row>
    <row r="22" spans="1:31" s="2" customFormat="1" ht="6.95" customHeight="1" x14ac:dyDescent="0.2">
      <c r="A22" s="202"/>
      <c r="B22" s="29"/>
      <c r="C22" s="202"/>
      <c r="D22" s="202"/>
      <c r="E22" s="202"/>
      <c r="F22" s="202"/>
      <c r="G22" s="202"/>
      <c r="H22" s="202"/>
      <c r="I22" s="202"/>
      <c r="J22" s="202"/>
      <c r="K22" s="202"/>
      <c r="L22" s="38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</row>
    <row r="23" spans="1:31" s="2" customFormat="1" ht="12" customHeight="1" x14ac:dyDescent="0.2">
      <c r="A23" s="202"/>
      <c r="B23" s="29"/>
      <c r="C23" s="202"/>
      <c r="D23" s="273" t="s">
        <v>29</v>
      </c>
      <c r="E23" s="202"/>
      <c r="F23" s="202"/>
      <c r="G23" s="202"/>
      <c r="H23" s="202"/>
      <c r="I23" s="273" t="s">
        <v>20</v>
      </c>
      <c r="J23" s="274"/>
      <c r="K23" s="202"/>
      <c r="L23" s="38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</row>
    <row r="24" spans="1:31" s="2" customFormat="1" ht="18" customHeight="1" x14ac:dyDescent="0.2">
      <c r="A24" s="202"/>
      <c r="B24" s="29"/>
      <c r="C24" s="202"/>
      <c r="D24" s="202"/>
      <c r="E24" s="274"/>
      <c r="F24" s="202"/>
      <c r="G24" s="202"/>
      <c r="H24" s="202"/>
      <c r="I24" s="273" t="s">
        <v>22</v>
      </c>
      <c r="J24" s="274"/>
      <c r="K24" s="202"/>
      <c r="L24" s="38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</row>
    <row r="25" spans="1:31" s="2" customFormat="1" ht="6.95" customHeight="1" x14ac:dyDescent="0.2">
      <c r="A25" s="202"/>
      <c r="B25" s="29"/>
      <c r="C25" s="202"/>
      <c r="D25" s="202"/>
      <c r="E25" s="202"/>
      <c r="F25" s="202"/>
      <c r="G25" s="202"/>
      <c r="H25" s="202"/>
      <c r="I25" s="202"/>
      <c r="J25" s="202"/>
      <c r="K25" s="202"/>
      <c r="L25" s="38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</row>
    <row r="26" spans="1:31" s="2" customFormat="1" ht="12" customHeight="1" x14ac:dyDescent="0.2">
      <c r="A26" s="202"/>
      <c r="B26" s="29"/>
      <c r="C26" s="202"/>
      <c r="D26" s="273" t="s">
        <v>30</v>
      </c>
      <c r="E26" s="202"/>
      <c r="F26" s="202"/>
      <c r="G26" s="202"/>
      <c r="H26" s="202"/>
      <c r="I26" s="202"/>
      <c r="J26" s="202"/>
      <c r="K26" s="202"/>
      <c r="L26" s="38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</row>
    <row r="27" spans="1:31" s="8" customFormat="1" ht="12.75" x14ac:dyDescent="0.2">
      <c r="A27" s="86"/>
      <c r="B27" s="87"/>
      <c r="C27" s="86"/>
      <c r="D27" s="86"/>
      <c r="E27" s="421"/>
      <c r="F27" s="421"/>
      <c r="G27" s="421"/>
      <c r="H27" s="421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2" customFormat="1" ht="6.95" customHeight="1" x14ac:dyDescent="0.2">
      <c r="A28" s="202"/>
      <c r="B28" s="29"/>
      <c r="C28" s="202"/>
      <c r="D28" s="202"/>
      <c r="E28" s="202"/>
      <c r="F28" s="202"/>
      <c r="G28" s="202"/>
      <c r="H28" s="202"/>
      <c r="I28" s="202"/>
      <c r="J28" s="202"/>
      <c r="K28" s="202"/>
      <c r="L28" s="38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</row>
    <row r="29" spans="1:31" s="2" customFormat="1" ht="6.95" customHeight="1" x14ac:dyDescent="0.2">
      <c r="A29" s="202"/>
      <c r="B29" s="29"/>
      <c r="C29" s="202"/>
      <c r="D29" s="62"/>
      <c r="E29" s="62"/>
      <c r="F29" s="62"/>
      <c r="G29" s="62"/>
      <c r="H29" s="62"/>
      <c r="I29" s="62"/>
      <c r="J29" s="62"/>
      <c r="K29" s="62"/>
      <c r="L29" s="38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</row>
    <row r="30" spans="1:31" s="2" customFormat="1" ht="14.45" customHeight="1" x14ac:dyDescent="0.2">
      <c r="A30" s="202"/>
      <c r="B30" s="29"/>
      <c r="C30" s="202"/>
      <c r="D30" s="274" t="s">
        <v>82</v>
      </c>
      <c r="E30" s="202"/>
      <c r="F30" s="202"/>
      <c r="G30" s="202"/>
      <c r="H30" s="202"/>
      <c r="I30" s="202"/>
      <c r="J30" s="303">
        <f>J96</f>
        <v>0</v>
      </c>
      <c r="K30" s="202"/>
      <c r="L30" s="38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</row>
    <row r="31" spans="1:31" s="2" customFormat="1" ht="14.45" customHeight="1" x14ac:dyDescent="0.2">
      <c r="A31" s="202"/>
      <c r="B31" s="29"/>
      <c r="C31" s="202"/>
      <c r="D31" s="304" t="s">
        <v>513</v>
      </c>
      <c r="E31" s="202"/>
      <c r="F31" s="202"/>
      <c r="G31" s="202"/>
      <c r="H31" s="202"/>
      <c r="I31" s="202"/>
      <c r="J31" s="303">
        <f>J104</f>
        <v>0</v>
      </c>
      <c r="K31" s="202"/>
      <c r="L31" s="38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</row>
    <row r="32" spans="1:31" s="2" customFormat="1" ht="25.35" customHeight="1" x14ac:dyDescent="0.2">
      <c r="A32" s="202"/>
      <c r="B32" s="29"/>
      <c r="C32" s="202"/>
      <c r="D32" s="302" t="s">
        <v>32</v>
      </c>
      <c r="E32" s="202"/>
      <c r="F32" s="202"/>
      <c r="G32" s="202"/>
      <c r="H32" s="202"/>
      <c r="I32" s="202"/>
      <c r="J32" s="287">
        <f>ROUND(J30 + J31, 2)</f>
        <v>0</v>
      </c>
      <c r="K32" s="202"/>
      <c r="L32" s="38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</row>
    <row r="33" spans="1:31" s="2" customFormat="1" ht="6.95" customHeight="1" x14ac:dyDescent="0.2">
      <c r="A33" s="202"/>
      <c r="B33" s="29"/>
      <c r="C33" s="202"/>
      <c r="D33" s="62"/>
      <c r="E33" s="62"/>
      <c r="F33" s="62"/>
      <c r="G33" s="62"/>
      <c r="H33" s="62"/>
      <c r="I33" s="62"/>
      <c r="J33" s="62"/>
      <c r="K33" s="62"/>
      <c r="L33" s="38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</row>
    <row r="34" spans="1:31" s="2" customFormat="1" ht="14.45" customHeight="1" x14ac:dyDescent="0.2">
      <c r="A34" s="202"/>
      <c r="B34" s="29"/>
      <c r="C34" s="202"/>
      <c r="D34" s="202"/>
      <c r="E34" s="202"/>
      <c r="F34" s="301" t="s">
        <v>34</v>
      </c>
      <c r="G34" s="202"/>
      <c r="H34" s="202"/>
      <c r="I34" s="301" t="s">
        <v>33</v>
      </c>
      <c r="J34" s="301" t="s">
        <v>35</v>
      </c>
      <c r="K34" s="202"/>
      <c r="L34" s="38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</row>
    <row r="35" spans="1:31" s="2" customFormat="1" ht="14.45" customHeight="1" x14ac:dyDescent="0.2">
      <c r="A35" s="202"/>
      <c r="B35" s="29"/>
      <c r="C35" s="202"/>
      <c r="D35" s="300" t="s">
        <v>36</v>
      </c>
      <c r="E35" s="273" t="s">
        <v>37</v>
      </c>
      <c r="F35" s="298">
        <f>ROUND((SUM(BE104:BE105) + SUM(BE125:BE220)),  2)</f>
        <v>0</v>
      </c>
      <c r="G35" s="202"/>
      <c r="H35" s="202"/>
      <c r="I35" s="299">
        <v>0.2</v>
      </c>
      <c r="J35" s="298">
        <f>ROUND(((SUM(BE104:BE105) + SUM(BE125:BE220))*I35),  2)</f>
        <v>0</v>
      </c>
      <c r="K35" s="202"/>
      <c r="L35" s="38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</row>
    <row r="36" spans="1:31" s="2" customFormat="1" ht="14.45" customHeight="1" x14ac:dyDescent="0.2">
      <c r="A36" s="202"/>
      <c r="B36" s="29"/>
      <c r="C36" s="202"/>
      <c r="D36" s="202"/>
      <c r="E36" s="273" t="s">
        <v>38</v>
      </c>
      <c r="F36" s="298">
        <f>J30</f>
        <v>0</v>
      </c>
      <c r="G36" s="202"/>
      <c r="H36" s="202"/>
      <c r="I36" s="299">
        <v>0.2</v>
      </c>
      <c r="J36" s="298">
        <f>F36*0.2</f>
        <v>0</v>
      </c>
      <c r="K36" s="202"/>
      <c r="L36" s="38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</row>
    <row r="37" spans="1:31" s="2" customFormat="1" ht="14.45" hidden="1" customHeight="1" x14ac:dyDescent="0.2">
      <c r="A37" s="202"/>
      <c r="B37" s="29"/>
      <c r="C37" s="202"/>
      <c r="D37" s="202"/>
      <c r="E37" s="273" t="s">
        <v>39</v>
      </c>
      <c r="F37" s="298">
        <f>ROUND((SUM(BG104:BG105) + SUM(BG125:BG220)),  2)</f>
        <v>0</v>
      </c>
      <c r="G37" s="202"/>
      <c r="H37" s="202"/>
      <c r="I37" s="299">
        <v>0.2</v>
      </c>
      <c r="J37" s="298">
        <f>0</f>
        <v>0</v>
      </c>
      <c r="K37" s="202"/>
      <c r="L37" s="38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</row>
    <row r="38" spans="1:31" s="2" customFormat="1" ht="14.45" hidden="1" customHeight="1" x14ac:dyDescent="0.2">
      <c r="A38" s="202"/>
      <c r="B38" s="29"/>
      <c r="C38" s="202"/>
      <c r="D38" s="202"/>
      <c r="E38" s="273" t="s">
        <v>40</v>
      </c>
      <c r="F38" s="298">
        <f>ROUND((SUM(BH104:BH105) + SUM(BH125:BH220)),  2)</f>
        <v>0</v>
      </c>
      <c r="G38" s="202"/>
      <c r="H38" s="202"/>
      <c r="I38" s="299">
        <v>0.2</v>
      </c>
      <c r="J38" s="298">
        <f>0</f>
        <v>0</v>
      </c>
      <c r="K38" s="202"/>
      <c r="L38" s="38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</row>
    <row r="39" spans="1:31" s="2" customFormat="1" ht="14.45" hidden="1" customHeight="1" x14ac:dyDescent="0.2">
      <c r="A39" s="202"/>
      <c r="B39" s="29"/>
      <c r="C39" s="202"/>
      <c r="D39" s="202"/>
      <c r="E39" s="273" t="s">
        <v>41</v>
      </c>
      <c r="F39" s="298">
        <f>ROUND((SUM(BI104:BI105) + SUM(BI125:BI220)),  2)</f>
        <v>0</v>
      </c>
      <c r="G39" s="202"/>
      <c r="H39" s="202"/>
      <c r="I39" s="299">
        <v>0</v>
      </c>
      <c r="J39" s="298">
        <f>0</f>
        <v>0</v>
      </c>
      <c r="K39" s="202"/>
      <c r="L39" s="38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</row>
    <row r="40" spans="1:31" s="2" customFormat="1" ht="6.95" customHeight="1" x14ac:dyDescent="0.2">
      <c r="A40" s="202"/>
      <c r="B40" s="29"/>
      <c r="C40" s="202"/>
      <c r="D40" s="202"/>
      <c r="E40" s="202"/>
      <c r="F40" s="202"/>
      <c r="G40" s="202"/>
      <c r="H40" s="202"/>
      <c r="I40" s="202"/>
      <c r="J40" s="202"/>
      <c r="K40" s="202"/>
      <c r="L40" s="38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</row>
    <row r="41" spans="1:31" s="2" customFormat="1" ht="25.35" customHeight="1" x14ac:dyDescent="0.2">
      <c r="A41" s="202"/>
      <c r="B41" s="29"/>
      <c r="C41" s="93"/>
      <c r="D41" s="297" t="s">
        <v>42</v>
      </c>
      <c r="E41" s="56"/>
      <c r="F41" s="56"/>
      <c r="G41" s="296" t="s">
        <v>43</v>
      </c>
      <c r="H41" s="295" t="s">
        <v>44</v>
      </c>
      <c r="I41" s="56"/>
      <c r="J41" s="294">
        <f>SUM(J32:J39)</f>
        <v>0</v>
      </c>
      <c r="K41" s="98"/>
      <c r="L41" s="38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</row>
    <row r="42" spans="1:31" s="2" customFormat="1" ht="14.45" customHeight="1" x14ac:dyDescent="0.2">
      <c r="A42" s="202"/>
      <c r="B42" s="29"/>
      <c r="C42" s="202"/>
      <c r="D42" s="202"/>
      <c r="E42" s="202"/>
      <c r="F42" s="202"/>
      <c r="G42" s="202"/>
      <c r="H42" s="202"/>
      <c r="I42" s="202"/>
      <c r="J42" s="202"/>
      <c r="K42" s="202"/>
      <c r="L42" s="38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</row>
    <row r="43" spans="1:31" ht="14.45" customHeight="1" x14ac:dyDescent="0.2">
      <c r="B43" s="19"/>
      <c r="L43" s="19"/>
    </row>
    <row r="44" spans="1:31" ht="14.45" customHeight="1" x14ac:dyDescent="0.2">
      <c r="B44" s="19"/>
      <c r="L44" s="19"/>
    </row>
    <row r="45" spans="1:31" ht="14.45" customHeight="1" x14ac:dyDescent="0.2">
      <c r="B45" s="19"/>
      <c r="L45" s="19"/>
    </row>
    <row r="46" spans="1:31" ht="14.45" customHeight="1" x14ac:dyDescent="0.2">
      <c r="B46" s="19"/>
      <c r="L46" s="19"/>
    </row>
    <row r="47" spans="1:31" ht="14.45" customHeight="1" x14ac:dyDescent="0.2">
      <c r="B47" s="19"/>
      <c r="L47" s="19"/>
    </row>
    <row r="48" spans="1:31" ht="14.45" customHeight="1" x14ac:dyDescent="0.2">
      <c r="B48" s="19"/>
      <c r="L48" s="19"/>
    </row>
    <row r="49" spans="1:31" ht="14.45" customHeight="1" x14ac:dyDescent="0.2">
      <c r="B49" s="19"/>
      <c r="L49" s="19"/>
    </row>
    <row r="50" spans="1:31" s="2" customFormat="1" ht="14.45" customHeight="1" x14ac:dyDescent="0.2">
      <c r="B50" s="38"/>
      <c r="D50" s="293" t="s">
        <v>45</v>
      </c>
      <c r="E50" s="40"/>
      <c r="F50" s="40"/>
      <c r="G50" s="293" t="s">
        <v>46</v>
      </c>
      <c r="H50" s="40"/>
      <c r="I50" s="40"/>
      <c r="J50" s="40"/>
      <c r="K50" s="40"/>
      <c r="L50" s="38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202"/>
      <c r="B61" s="29"/>
      <c r="C61" s="202"/>
      <c r="D61" s="291" t="s">
        <v>47</v>
      </c>
      <c r="E61" s="198"/>
      <c r="F61" s="292" t="s">
        <v>48</v>
      </c>
      <c r="G61" s="291" t="s">
        <v>47</v>
      </c>
      <c r="H61" s="198"/>
      <c r="I61" s="198"/>
      <c r="J61" s="290" t="s">
        <v>48</v>
      </c>
      <c r="K61" s="198"/>
      <c r="L61" s="38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202"/>
      <c r="B65" s="29"/>
      <c r="C65" s="202"/>
      <c r="D65" s="293" t="s">
        <v>49</v>
      </c>
      <c r="E65" s="42"/>
      <c r="F65" s="42"/>
      <c r="G65" s="293" t="s">
        <v>50</v>
      </c>
      <c r="H65" s="42"/>
      <c r="I65" s="42"/>
      <c r="J65" s="42"/>
      <c r="K65" s="42"/>
      <c r="L65" s="38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202"/>
      <c r="B76" s="29"/>
      <c r="C76" s="202"/>
      <c r="D76" s="291" t="s">
        <v>47</v>
      </c>
      <c r="E76" s="198"/>
      <c r="F76" s="292" t="s">
        <v>48</v>
      </c>
      <c r="G76" s="291" t="s">
        <v>47</v>
      </c>
      <c r="H76" s="198"/>
      <c r="I76" s="198"/>
      <c r="J76" s="290" t="s">
        <v>48</v>
      </c>
      <c r="K76" s="198"/>
      <c r="L76" s="38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</row>
    <row r="77" spans="1:31" s="2" customFormat="1" ht="14.45" customHeight="1" x14ac:dyDescent="0.2">
      <c r="A77" s="20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</row>
    <row r="81" spans="1:47" s="2" customFormat="1" ht="6.95" customHeight="1" x14ac:dyDescent="0.2">
      <c r="A81" s="202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</row>
    <row r="82" spans="1:47" s="2" customFormat="1" ht="24.95" customHeight="1" x14ac:dyDescent="0.2">
      <c r="A82" s="202"/>
      <c r="B82" s="29"/>
      <c r="C82" s="276" t="s">
        <v>1135</v>
      </c>
      <c r="D82" s="202"/>
      <c r="E82" s="202"/>
      <c r="F82" s="202"/>
      <c r="G82" s="202"/>
      <c r="H82" s="202"/>
      <c r="I82" s="202"/>
      <c r="J82" s="202"/>
      <c r="K82" s="202"/>
      <c r="L82" s="38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</row>
    <row r="83" spans="1:47" s="2" customFormat="1" ht="6.95" customHeight="1" x14ac:dyDescent="0.2">
      <c r="A83" s="202"/>
      <c r="B83" s="29"/>
      <c r="C83" s="202"/>
      <c r="D83" s="202"/>
      <c r="E83" s="202"/>
      <c r="F83" s="202"/>
      <c r="G83" s="202"/>
      <c r="H83" s="202"/>
      <c r="I83" s="202"/>
      <c r="J83" s="202"/>
      <c r="K83" s="202"/>
      <c r="L83" s="38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</row>
    <row r="84" spans="1:47" s="2" customFormat="1" ht="12" customHeight="1" x14ac:dyDescent="0.2">
      <c r="A84" s="202"/>
      <c r="B84" s="29"/>
      <c r="C84" s="273" t="s">
        <v>12</v>
      </c>
      <c r="D84" s="202"/>
      <c r="E84" s="202"/>
      <c r="F84" s="202"/>
      <c r="G84" s="202"/>
      <c r="H84" s="202"/>
      <c r="I84" s="202"/>
      <c r="J84" s="202"/>
      <c r="K84" s="202"/>
      <c r="L84" s="38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</row>
    <row r="85" spans="1:47" s="2" customFormat="1" ht="16.5" customHeight="1" x14ac:dyDescent="0.2">
      <c r="A85" s="202"/>
      <c r="B85" s="29"/>
      <c r="C85" s="202"/>
      <c r="D85" s="202"/>
      <c r="E85" s="422" t="str">
        <f>E7</f>
        <v>Rekonštrukcia priestorov MŠ Čordákova 17, Košice</v>
      </c>
      <c r="F85" s="423"/>
      <c r="G85" s="423"/>
      <c r="H85" s="423"/>
      <c r="I85" s="202"/>
      <c r="J85" s="202"/>
      <c r="K85" s="202"/>
      <c r="L85" s="38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</row>
    <row r="86" spans="1:47" s="2" customFormat="1" ht="12" customHeight="1" x14ac:dyDescent="0.2">
      <c r="A86" s="202"/>
      <c r="B86" s="29"/>
      <c r="C86" s="273" t="s">
        <v>783</v>
      </c>
      <c r="D86" s="202"/>
      <c r="E86" s="202"/>
      <c r="F86" s="202"/>
      <c r="G86" s="202"/>
      <c r="H86" s="202"/>
      <c r="I86" s="202"/>
      <c r="J86" s="202"/>
      <c r="K86" s="202"/>
      <c r="L86" s="38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</row>
    <row r="87" spans="1:47" s="2" customFormat="1" ht="16.5" customHeight="1" x14ac:dyDescent="0.2">
      <c r="A87" s="202"/>
      <c r="B87" s="29"/>
      <c r="C87" s="202"/>
      <c r="D87" s="202"/>
      <c r="E87" s="416" t="str">
        <f>E9</f>
        <v>Obvodový plášť</v>
      </c>
      <c r="F87" s="413"/>
      <c r="G87" s="413"/>
      <c r="H87" s="413"/>
      <c r="I87" s="202"/>
      <c r="J87" s="202"/>
      <c r="K87" s="202"/>
      <c r="L87" s="38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</row>
    <row r="88" spans="1:47" s="2" customFormat="1" ht="6.95" customHeight="1" x14ac:dyDescent="0.2">
      <c r="A88" s="202"/>
      <c r="B88" s="29"/>
      <c r="C88" s="202"/>
      <c r="D88" s="202"/>
      <c r="E88" s="202"/>
      <c r="F88" s="202"/>
      <c r="G88" s="202"/>
      <c r="H88" s="202"/>
      <c r="I88" s="202"/>
      <c r="J88" s="202"/>
      <c r="K88" s="202"/>
      <c r="L88" s="38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47" s="2" customFormat="1" ht="12" customHeight="1" x14ac:dyDescent="0.2">
      <c r="A89" s="202"/>
      <c r="B89" s="29"/>
      <c r="C89" s="273" t="s">
        <v>16</v>
      </c>
      <c r="D89" s="202"/>
      <c r="E89" s="202"/>
      <c r="F89" s="274" t="str">
        <f>F12</f>
        <v>Košice</v>
      </c>
      <c r="G89" s="202"/>
      <c r="H89" s="202"/>
      <c r="I89" s="273" t="s">
        <v>18</v>
      </c>
      <c r="J89" s="275" t="str">
        <f>IF(J12="","",J12)</f>
        <v/>
      </c>
      <c r="K89" s="202"/>
      <c r="L89" s="38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</row>
    <row r="90" spans="1:47" s="2" customFormat="1" ht="6.95" customHeight="1" x14ac:dyDescent="0.2">
      <c r="A90" s="202"/>
      <c r="B90" s="29"/>
      <c r="C90" s="202"/>
      <c r="D90" s="202"/>
      <c r="E90" s="202"/>
      <c r="F90" s="202"/>
      <c r="G90" s="202"/>
      <c r="H90" s="202"/>
      <c r="I90" s="202"/>
      <c r="J90" s="202"/>
      <c r="K90" s="202"/>
      <c r="L90" s="38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</row>
    <row r="91" spans="1:47" s="2" customFormat="1" ht="27.95" customHeight="1" x14ac:dyDescent="0.2">
      <c r="A91" s="202"/>
      <c r="B91" s="29"/>
      <c r="C91" s="273" t="s">
        <v>19</v>
      </c>
      <c r="D91" s="202"/>
      <c r="E91" s="202"/>
      <c r="F91" s="274" t="s">
        <v>1137</v>
      </c>
      <c r="G91" s="202"/>
      <c r="H91" s="202"/>
      <c r="I91" s="273" t="s">
        <v>24</v>
      </c>
      <c r="J91" s="272"/>
      <c r="K91" s="202"/>
      <c r="L91" s="38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</row>
    <row r="92" spans="1:47" s="2" customFormat="1" ht="43.15" customHeight="1" x14ac:dyDescent="0.2">
      <c r="A92" s="202"/>
      <c r="B92" s="29"/>
      <c r="C92" s="273" t="s">
        <v>23</v>
      </c>
      <c r="D92" s="202"/>
      <c r="E92" s="202"/>
      <c r="F92" s="274" t="str">
        <f>IF(E18="","",E18)</f>
        <v xml:space="preserve"> </v>
      </c>
      <c r="G92" s="202"/>
      <c r="H92" s="202"/>
      <c r="I92" s="273" t="s">
        <v>29</v>
      </c>
      <c r="J92" s="272"/>
      <c r="K92" s="202"/>
      <c r="L92" s="38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</row>
    <row r="93" spans="1:47" s="2" customFormat="1" ht="10.35" customHeight="1" x14ac:dyDescent="0.2">
      <c r="A93" s="202"/>
      <c r="B93" s="29"/>
      <c r="C93" s="202"/>
      <c r="D93" s="202"/>
      <c r="E93" s="202"/>
      <c r="F93" s="202"/>
      <c r="G93" s="202"/>
      <c r="H93" s="202"/>
      <c r="I93" s="202"/>
      <c r="J93" s="202"/>
      <c r="K93" s="202"/>
      <c r="L93" s="38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</row>
    <row r="94" spans="1:47" s="2" customFormat="1" ht="29.25" customHeight="1" x14ac:dyDescent="0.2">
      <c r="A94" s="202"/>
      <c r="B94" s="29"/>
      <c r="C94" s="289" t="s">
        <v>80</v>
      </c>
      <c r="D94" s="93"/>
      <c r="E94" s="93"/>
      <c r="F94" s="93"/>
      <c r="G94" s="93"/>
      <c r="H94" s="93"/>
      <c r="I94" s="93"/>
      <c r="J94" s="288" t="s">
        <v>81</v>
      </c>
      <c r="K94" s="93"/>
      <c r="L94" s="38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</row>
    <row r="95" spans="1:47" s="2" customFormat="1" ht="10.35" customHeight="1" x14ac:dyDescent="0.2">
      <c r="A95" s="202"/>
      <c r="B95" s="29"/>
      <c r="C95" s="202"/>
      <c r="D95" s="202"/>
      <c r="E95" s="202"/>
      <c r="F95" s="202"/>
      <c r="G95" s="202"/>
      <c r="H95" s="202"/>
      <c r="I95" s="202"/>
      <c r="J95" s="202"/>
      <c r="K95" s="202"/>
      <c r="L95" s="38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</row>
    <row r="96" spans="1:47" s="2" customFormat="1" ht="22.9" customHeight="1" x14ac:dyDescent="0.2">
      <c r="A96" s="202"/>
      <c r="B96" s="29"/>
      <c r="C96" s="281" t="s">
        <v>514</v>
      </c>
      <c r="D96" s="202"/>
      <c r="E96" s="202"/>
      <c r="F96" s="202"/>
      <c r="G96" s="202"/>
      <c r="H96" s="202"/>
      <c r="I96" s="202"/>
      <c r="J96" s="287">
        <f>J97+J101</f>
        <v>0</v>
      </c>
      <c r="K96" s="202"/>
      <c r="L96" s="38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U96" s="16" t="s">
        <v>83</v>
      </c>
    </row>
    <row r="97" spans="1:31" s="282" customFormat="1" ht="24.95" customHeight="1" x14ac:dyDescent="0.2">
      <c r="B97" s="283"/>
      <c r="D97" s="286" t="s">
        <v>84</v>
      </c>
      <c r="E97" s="285"/>
      <c r="F97" s="285"/>
      <c r="G97" s="285"/>
      <c r="H97" s="285"/>
      <c r="I97" s="285"/>
      <c r="J97" s="284">
        <f>SUM(J98,J99,J100)</f>
        <v>0</v>
      </c>
      <c r="L97" s="283"/>
      <c r="V97" s="328"/>
    </row>
    <row r="98" spans="1:31" s="329" customFormat="1" ht="19.899999999999999" customHeight="1" x14ac:dyDescent="0.2">
      <c r="B98" s="330"/>
      <c r="D98" s="331" t="s">
        <v>88</v>
      </c>
      <c r="E98" s="332"/>
      <c r="F98" s="332"/>
      <c r="G98" s="332"/>
      <c r="H98" s="332"/>
      <c r="I98" s="332"/>
      <c r="J98" s="333">
        <f>J127</f>
        <v>0</v>
      </c>
      <c r="L98" s="330"/>
    </row>
    <row r="99" spans="1:31" s="329" customFormat="1" ht="19.899999999999999" customHeight="1" x14ac:dyDescent="0.2">
      <c r="B99" s="330"/>
      <c r="D99" s="331" t="s">
        <v>89</v>
      </c>
      <c r="E99" s="332"/>
      <c r="F99" s="332"/>
      <c r="G99" s="332"/>
      <c r="H99" s="332"/>
      <c r="I99" s="332"/>
      <c r="J99" s="333">
        <f>J176</f>
        <v>0</v>
      </c>
      <c r="L99" s="330"/>
    </row>
    <row r="100" spans="1:31" s="329" customFormat="1" ht="19.899999999999999" customHeight="1" x14ac:dyDescent="0.2">
      <c r="B100" s="330"/>
      <c r="D100" s="331" t="s">
        <v>90</v>
      </c>
      <c r="E100" s="332"/>
      <c r="F100" s="332"/>
      <c r="G100" s="332"/>
      <c r="H100" s="332"/>
      <c r="I100" s="332"/>
      <c r="J100" s="333">
        <f>J218</f>
        <v>0</v>
      </c>
      <c r="L100" s="330"/>
    </row>
    <row r="101" spans="1:31" s="282" customFormat="1" ht="24.95" customHeight="1" x14ac:dyDescent="0.2">
      <c r="B101" s="283"/>
      <c r="D101" s="286" t="s">
        <v>91</v>
      </c>
      <c r="E101" s="285"/>
      <c r="F101" s="285"/>
      <c r="G101" s="285"/>
      <c r="H101" s="285"/>
      <c r="I101" s="285"/>
      <c r="J101" s="284">
        <f>SUM(J102)</f>
        <v>0</v>
      </c>
      <c r="L101" s="283"/>
    </row>
    <row r="102" spans="1:31" s="329" customFormat="1" ht="19.899999999999999" customHeight="1" x14ac:dyDescent="0.2">
      <c r="B102" s="330"/>
      <c r="D102" s="331" t="s">
        <v>95</v>
      </c>
      <c r="E102" s="332"/>
      <c r="F102" s="332"/>
      <c r="G102" s="332"/>
      <c r="H102" s="332"/>
      <c r="I102" s="332"/>
      <c r="J102" s="333">
        <f>J221</f>
        <v>0</v>
      </c>
      <c r="L102" s="330"/>
    </row>
    <row r="103" spans="1:31" s="2" customFormat="1" ht="6.95" customHeight="1" x14ac:dyDescent="0.2">
      <c r="A103" s="202"/>
      <c r="B103" s="29"/>
      <c r="C103" s="202"/>
      <c r="D103" s="202"/>
      <c r="E103" s="202"/>
      <c r="F103" s="202"/>
      <c r="G103" s="202"/>
      <c r="H103" s="202"/>
      <c r="I103" s="202"/>
      <c r="J103" s="202"/>
      <c r="K103" s="202"/>
      <c r="L103" s="38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</row>
    <row r="104" spans="1:31" s="2" customFormat="1" ht="29.25" customHeight="1" x14ac:dyDescent="0.2">
      <c r="A104" s="202"/>
      <c r="B104" s="29"/>
      <c r="C104" s="281" t="s">
        <v>518</v>
      </c>
      <c r="D104" s="202"/>
      <c r="E104" s="202"/>
      <c r="F104" s="202"/>
      <c r="G104" s="202"/>
      <c r="H104" s="202"/>
      <c r="I104" s="202"/>
      <c r="J104" s="280">
        <v>0</v>
      </c>
      <c r="K104" s="202"/>
      <c r="L104" s="38"/>
      <c r="N104" s="279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</row>
    <row r="105" spans="1:31" s="2" customFormat="1" ht="18" customHeight="1" x14ac:dyDescent="0.2">
      <c r="A105" s="202"/>
      <c r="B105" s="29"/>
      <c r="C105" s="202"/>
      <c r="D105" s="202"/>
      <c r="E105" s="202"/>
      <c r="F105" s="202"/>
      <c r="G105" s="202"/>
      <c r="H105" s="202"/>
      <c r="I105" s="202"/>
      <c r="J105" s="202"/>
      <c r="K105" s="202"/>
      <c r="L105" s="38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</row>
    <row r="106" spans="1:31" s="2" customFormat="1" ht="29.25" customHeight="1" x14ac:dyDescent="0.2">
      <c r="A106" s="202"/>
      <c r="B106" s="29"/>
      <c r="C106" s="278" t="s">
        <v>519</v>
      </c>
      <c r="D106" s="93"/>
      <c r="E106" s="93"/>
      <c r="F106" s="93"/>
      <c r="G106" s="93"/>
      <c r="H106" s="93"/>
      <c r="I106" s="93"/>
      <c r="J106" s="277">
        <f>ROUND(J96+J104,2)</f>
        <v>0</v>
      </c>
      <c r="K106" s="93"/>
      <c r="L106" s="38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</row>
    <row r="107" spans="1:31" s="2" customFormat="1" ht="6.95" customHeight="1" x14ac:dyDescent="0.2">
      <c r="A107" s="202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8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</row>
    <row r="111" spans="1:31" s="2" customFormat="1" ht="6.95" customHeight="1" x14ac:dyDescent="0.2">
      <c r="A111" s="202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38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</row>
    <row r="112" spans="1:31" s="2" customFormat="1" ht="24.95" customHeight="1" x14ac:dyDescent="0.2">
      <c r="A112" s="202"/>
      <c r="B112" s="29"/>
      <c r="C112" s="276" t="s">
        <v>1136</v>
      </c>
      <c r="D112" s="202"/>
      <c r="E112" s="202"/>
      <c r="F112" s="202"/>
      <c r="G112" s="202"/>
      <c r="H112" s="202"/>
      <c r="I112" s="202"/>
      <c r="J112" s="202"/>
      <c r="K112" s="202"/>
      <c r="L112" s="38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</row>
    <row r="113" spans="1:65" s="2" customFormat="1" ht="6.95" customHeight="1" x14ac:dyDescent="0.2">
      <c r="A113" s="202"/>
      <c r="B113" s="29"/>
      <c r="C113" s="202"/>
      <c r="D113" s="202"/>
      <c r="E113" s="202"/>
      <c r="F113" s="202"/>
      <c r="G113" s="202"/>
      <c r="H113" s="202"/>
      <c r="I113" s="202"/>
      <c r="J113" s="202"/>
      <c r="K113" s="202"/>
      <c r="L113" s="38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</row>
    <row r="114" spans="1:65" s="2" customFormat="1" ht="12" customHeight="1" x14ac:dyDescent="0.2">
      <c r="A114" s="202"/>
      <c r="B114" s="29"/>
      <c r="C114" s="273" t="s">
        <v>12</v>
      </c>
      <c r="D114" s="202"/>
      <c r="E114" s="202"/>
      <c r="F114" s="202"/>
      <c r="G114" s="202"/>
      <c r="H114" s="202"/>
      <c r="I114" s="202"/>
      <c r="J114" s="202"/>
      <c r="K114" s="202"/>
      <c r="L114" s="38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</row>
    <row r="115" spans="1:65" s="2" customFormat="1" ht="16.5" customHeight="1" x14ac:dyDescent="0.2">
      <c r="A115" s="202"/>
      <c r="B115" s="29"/>
      <c r="C115" s="202"/>
      <c r="D115" s="202"/>
      <c r="E115" s="422" t="str">
        <f>E7</f>
        <v>Rekonštrukcia priestorov MŠ Čordákova 17, Košice</v>
      </c>
      <c r="F115" s="423"/>
      <c r="G115" s="423"/>
      <c r="H115" s="423"/>
      <c r="I115" s="202"/>
      <c r="J115" s="202"/>
      <c r="K115" s="202"/>
      <c r="L115" s="38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</row>
    <row r="116" spans="1:65" s="2" customFormat="1" ht="12" customHeight="1" x14ac:dyDescent="0.2">
      <c r="A116" s="202"/>
      <c r="B116" s="29"/>
      <c r="C116" s="273" t="s">
        <v>783</v>
      </c>
      <c r="D116" s="202"/>
      <c r="E116" s="202"/>
      <c r="F116" s="202"/>
      <c r="G116" s="202"/>
      <c r="H116" s="202"/>
      <c r="I116" s="202"/>
      <c r="J116" s="202"/>
      <c r="K116" s="202"/>
      <c r="L116" s="38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pans="1:65" s="2" customFormat="1" ht="16.5" customHeight="1" x14ac:dyDescent="0.2">
      <c r="A117" s="202"/>
      <c r="B117" s="29"/>
      <c r="C117" s="202"/>
      <c r="D117" s="202"/>
      <c r="E117" s="416" t="str">
        <f>E9</f>
        <v>Obvodový plášť</v>
      </c>
      <c r="F117" s="413"/>
      <c r="G117" s="413"/>
      <c r="H117" s="413"/>
      <c r="I117" s="202"/>
      <c r="J117" s="202"/>
      <c r="K117" s="202"/>
      <c r="L117" s="38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pans="1:65" s="2" customFormat="1" ht="6.95" customHeight="1" x14ac:dyDescent="0.2">
      <c r="A118" s="202"/>
      <c r="B118" s="29"/>
      <c r="C118" s="202"/>
      <c r="D118" s="202"/>
      <c r="E118" s="202"/>
      <c r="F118" s="202"/>
      <c r="G118" s="202"/>
      <c r="H118" s="202"/>
      <c r="I118" s="202"/>
      <c r="J118" s="202"/>
      <c r="K118" s="202"/>
      <c r="L118" s="38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pans="1:65" s="2" customFormat="1" ht="12" customHeight="1" x14ac:dyDescent="0.2">
      <c r="A119" s="202"/>
      <c r="B119" s="29"/>
      <c r="C119" s="273" t="s">
        <v>16</v>
      </c>
      <c r="D119" s="202"/>
      <c r="E119" s="202"/>
      <c r="F119" s="274" t="str">
        <f>F12</f>
        <v>Košice</v>
      </c>
      <c r="G119" s="202"/>
      <c r="H119" s="202"/>
      <c r="I119" s="273" t="s">
        <v>18</v>
      </c>
      <c r="J119" s="275" t="str">
        <f>IF(J12="","",J12)</f>
        <v/>
      </c>
      <c r="K119" s="202"/>
      <c r="L119" s="38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pans="1:65" s="2" customFormat="1" ht="6.95" customHeight="1" x14ac:dyDescent="0.2">
      <c r="A120" s="202"/>
      <c r="B120" s="29"/>
      <c r="C120" s="202"/>
      <c r="D120" s="202"/>
      <c r="E120" s="202"/>
      <c r="F120" s="202"/>
      <c r="G120" s="202"/>
      <c r="H120" s="202"/>
      <c r="I120" s="202"/>
      <c r="J120" s="202"/>
      <c r="K120" s="202"/>
      <c r="L120" s="38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</row>
    <row r="121" spans="1:65" s="2" customFormat="1" ht="27.95" customHeight="1" x14ac:dyDescent="0.2">
      <c r="A121" s="202"/>
      <c r="B121" s="29"/>
      <c r="C121" s="273" t="s">
        <v>19</v>
      </c>
      <c r="D121" s="202"/>
      <c r="E121" s="202"/>
      <c r="F121" s="274" t="s">
        <v>1137</v>
      </c>
      <c r="G121" s="202"/>
      <c r="H121" s="202"/>
      <c r="I121" s="273" t="s">
        <v>24</v>
      </c>
      <c r="J121" s="272"/>
      <c r="K121" s="202"/>
      <c r="L121" s="38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pans="1:65" s="2" customFormat="1" ht="43.15" customHeight="1" x14ac:dyDescent="0.2">
      <c r="A122" s="202"/>
      <c r="B122" s="29"/>
      <c r="C122" s="273" t="s">
        <v>23</v>
      </c>
      <c r="D122" s="202"/>
      <c r="E122" s="202"/>
      <c r="F122" s="274" t="str">
        <f>IF(E18="","",E18)</f>
        <v xml:space="preserve"> </v>
      </c>
      <c r="G122" s="202"/>
      <c r="H122" s="202"/>
      <c r="I122" s="273" t="s">
        <v>29</v>
      </c>
      <c r="J122" s="272"/>
      <c r="K122" s="202"/>
      <c r="L122" s="38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pans="1:65" s="2" customFormat="1" ht="10.35" customHeight="1" x14ac:dyDescent="0.2">
      <c r="A123" s="202"/>
      <c r="B123" s="29"/>
      <c r="C123" s="202"/>
      <c r="D123" s="202"/>
      <c r="E123" s="202"/>
      <c r="F123" s="202"/>
      <c r="G123" s="202"/>
      <c r="H123" s="202"/>
      <c r="I123" s="202"/>
      <c r="J123" s="202"/>
      <c r="K123" s="202"/>
      <c r="L123" s="38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pans="1:65" s="11" customFormat="1" ht="29.25" customHeight="1" x14ac:dyDescent="0.2">
      <c r="A124" s="112"/>
      <c r="B124" s="113"/>
      <c r="C124" s="271" t="s">
        <v>100</v>
      </c>
      <c r="D124" s="270" t="s">
        <v>57</v>
      </c>
      <c r="E124" s="270" t="s">
        <v>53</v>
      </c>
      <c r="F124" s="270" t="s">
        <v>54</v>
      </c>
      <c r="G124" s="270" t="s">
        <v>101</v>
      </c>
      <c r="H124" s="270" t="s">
        <v>102</v>
      </c>
      <c r="I124" s="270" t="s">
        <v>103</v>
      </c>
      <c r="J124" s="269" t="s">
        <v>81</v>
      </c>
      <c r="K124" s="268" t="s">
        <v>104</v>
      </c>
      <c r="L124" s="118"/>
      <c r="M124" s="267" t="s">
        <v>1</v>
      </c>
      <c r="N124" s="266"/>
      <c r="O124" s="266"/>
      <c r="P124" s="266"/>
      <c r="Q124" s="266"/>
      <c r="R124" s="266"/>
      <c r="S124" s="266"/>
      <c r="T124" s="265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</row>
    <row r="125" spans="1:65" s="2" customFormat="1" ht="22.9" customHeight="1" x14ac:dyDescent="0.25">
      <c r="A125" s="202"/>
      <c r="B125" s="29"/>
      <c r="C125" s="264" t="s">
        <v>82</v>
      </c>
      <c r="D125" s="202"/>
      <c r="E125" s="202"/>
      <c r="F125" s="202"/>
      <c r="G125" s="202"/>
      <c r="H125" s="202"/>
      <c r="I125" s="202"/>
      <c r="J125" s="263">
        <f>SUM(J126,J220)</f>
        <v>0</v>
      </c>
      <c r="K125" s="202"/>
      <c r="L125" s="29"/>
      <c r="M125" s="61"/>
      <c r="N125" s="52"/>
      <c r="O125" s="62"/>
      <c r="P125" s="262"/>
      <c r="Q125" s="62"/>
      <c r="R125" s="262"/>
      <c r="S125" s="62"/>
      <c r="T125" s="261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T125" s="16" t="s">
        <v>71</v>
      </c>
      <c r="AU125" s="16" t="s">
        <v>83</v>
      </c>
      <c r="BK125" s="260" t="e">
        <f>BK126+BK220</f>
        <v>#REF!</v>
      </c>
    </row>
    <row r="126" spans="1:65" s="249" customFormat="1" ht="25.9" customHeight="1" x14ac:dyDescent="0.2">
      <c r="B126" s="257"/>
      <c r="D126" s="251" t="s">
        <v>71</v>
      </c>
      <c r="E126" s="259" t="s">
        <v>111</v>
      </c>
      <c r="F126" s="259" t="s">
        <v>112</v>
      </c>
      <c r="J126" s="258">
        <f>SUM(J127,J176,J218)</f>
        <v>0</v>
      </c>
      <c r="L126" s="257"/>
      <c r="M126" s="256"/>
      <c r="N126" s="254"/>
      <c r="O126" s="254"/>
      <c r="P126" s="255"/>
      <c r="Q126" s="254"/>
      <c r="R126" s="255"/>
      <c r="S126" s="254"/>
      <c r="T126" s="253"/>
      <c r="AR126" s="251" t="s">
        <v>77</v>
      </c>
      <c r="AT126" s="252" t="s">
        <v>71</v>
      </c>
      <c r="AU126" s="252" t="s">
        <v>72</v>
      </c>
      <c r="AY126" s="251" t="s">
        <v>113</v>
      </c>
      <c r="BK126" s="250">
        <f>BK127+BK176+BK218</f>
        <v>0</v>
      </c>
    </row>
    <row r="127" spans="1:65" s="249" customFormat="1" ht="22.9" customHeight="1" x14ac:dyDescent="0.2">
      <c r="B127" s="257"/>
      <c r="D127" s="251" t="s">
        <v>71</v>
      </c>
      <c r="E127" s="334" t="s">
        <v>143</v>
      </c>
      <c r="F127" s="334" t="s">
        <v>165</v>
      </c>
      <c r="J127" s="335">
        <f>SUM(J128,J132,J138,J140,J142:J143,J145,J152,J160,J166,J170,J172)</f>
        <v>0</v>
      </c>
      <c r="L127" s="257"/>
      <c r="M127" s="256"/>
      <c r="N127" s="254"/>
      <c r="O127" s="254"/>
      <c r="P127" s="255"/>
      <c r="Q127" s="254"/>
      <c r="R127" s="255"/>
      <c r="S127" s="254"/>
      <c r="T127" s="253"/>
      <c r="AR127" s="251" t="s">
        <v>77</v>
      </c>
      <c r="AT127" s="252" t="s">
        <v>71</v>
      </c>
      <c r="AU127" s="252" t="s">
        <v>77</v>
      </c>
      <c r="AY127" s="251" t="s">
        <v>113</v>
      </c>
      <c r="BK127" s="250">
        <f>SUM(BK128:BK175)</f>
        <v>0</v>
      </c>
    </row>
    <row r="128" spans="1:65" s="2" customFormat="1" ht="16.5" customHeight="1" x14ac:dyDescent="0.2">
      <c r="A128" s="202"/>
      <c r="B128" s="135"/>
      <c r="C128" s="248">
        <v>1</v>
      </c>
      <c r="D128" s="248" t="s">
        <v>115</v>
      </c>
      <c r="E128" s="247" t="s">
        <v>886</v>
      </c>
      <c r="F128" s="246" t="s">
        <v>887</v>
      </c>
      <c r="G128" s="245" t="s">
        <v>161</v>
      </c>
      <c r="H128" s="244">
        <v>104.88</v>
      </c>
      <c r="I128" s="243"/>
      <c r="J128" s="243">
        <f>ROUND(I128*H128,2)</f>
        <v>0</v>
      </c>
      <c r="K128" s="142"/>
      <c r="L128" s="29"/>
      <c r="M128" s="242" t="s">
        <v>1</v>
      </c>
      <c r="N128" s="241"/>
      <c r="O128" s="238"/>
      <c r="P128" s="238"/>
      <c r="Q128" s="238"/>
      <c r="R128" s="238"/>
      <c r="S128" s="238"/>
      <c r="T128" s="237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R128" s="228" t="s">
        <v>119</v>
      </c>
      <c r="AT128" s="228" t="s">
        <v>115</v>
      </c>
      <c r="AU128" s="228" t="s">
        <v>120</v>
      </c>
      <c r="AY128" s="16" t="s">
        <v>113</v>
      </c>
      <c r="BE128" s="148">
        <f>IF(N128="základná",J128,0)</f>
        <v>0</v>
      </c>
      <c r="BF128" s="148">
        <f>IF(N128="znížená",J128,0)</f>
        <v>0</v>
      </c>
      <c r="BG128" s="148">
        <f>IF(N128="zákl. prenesená",J128,0)</f>
        <v>0</v>
      </c>
      <c r="BH128" s="148">
        <f>IF(N128="zníž. prenesená",J128,0)</f>
        <v>0</v>
      </c>
      <c r="BI128" s="148">
        <f>IF(N128="nulová",J128,0)</f>
        <v>0</v>
      </c>
      <c r="BJ128" s="16" t="s">
        <v>120</v>
      </c>
      <c r="BK128" s="148">
        <f>ROUND(I128*H128,2)</f>
        <v>0</v>
      </c>
      <c r="BL128" s="16" t="s">
        <v>119</v>
      </c>
      <c r="BM128" s="228" t="s">
        <v>888</v>
      </c>
    </row>
    <row r="129" spans="1:65" s="336" customFormat="1" x14ac:dyDescent="0.2">
      <c r="B129" s="337"/>
      <c r="D129" s="338"/>
      <c r="E129" s="339"/>
      <c r="F129" s="340" t="s">
        <v>889</v>
      </c>
      <c r="H129" s="341">
        <f>14.4*4.6</f>
        <v>66.239999999999995</v>
      </c>
      <c r="L129" s="337"/>
      <c r="M129" s="342"/>
      <c r="N129" s="343"/>
      <c r="O129" s="343"/>
      <c r="P129" s="343"/>
      <c r="Q129" s="343"/>
      <c r="R129" s="343"/>
      <c r="S129" s="343"/>
      <c r="T129" s="344"/>
      <c r="V129" s="340"/>
      <c r="AT129" s="339"/>
      <c r="AU129" s="339"/>
      <c r="AY129" s="339"/>
    </row>
    <row r="130" spans="1:65" s="336" customFormat="1" x14ac:dyDescent="0.2">
      <c r="B130" s="337"/>
      <c r="D130" s="338"/>
      <c r="E130" s="339"/>
      <c r="F130" s="340" t="s">
        <v>890</v>
      </c>
      <c r="H130" s="341">
        <f>8.4*4.6</f>
        <v>38.64</v>
      </c>
      <c r="L130" s="337"/>
      <c r="M130" s="342"/>
      <c r="N130" s="343"/>
      <c r="O130" s="343"/>
      <c r="P130" s="343"/>
      <c r="Q130" s="343"/>
      <c r="R130" s="343"/>
      <c r="S130" s="343"/>
      <c r="T130" s="344"/>
      <c r="V130" s="340"/>
      <c r="AT130" s="339"/>
      <c r="AU130" s="339"/>
      <c r="AY130" s="339"/>
    </row>
    <row r="131" spans="1:65" s="345" customFormat="1" x14ac:dyDescent="0.2">
      <c r="B131" s="346"/>
      <c r="D131" s="338" t="s">
        <v>122</v>
      </c>
      <c r="E131" s="347" t="s">
        <v>1</v>
      </c>
      <c r="F131" s="348" t="s">
        <v>128</v>
      </c>
      <c r="H131" s="349">
        <f>SUM(H129:H130)</f>
        <v>104.88</v>
      </c>
      <c r="L131" s="346"/>
      <c r="M131" s="350"/>
      <c r="N131" s="351"/>
      <c r="O131" s="351"/>
      <c r="P131" s="351"/>
      <c r="Q131" s="351"/>
      <c r="R131" s="351"/>
      <c r="S131" s="351"/>
      <c r="T131" s="352"/>
      <c r="AT131" s="347" t="s">
        <v>122</v>
      </c>
      <c r="AU131" s="347" t="s">
        <v>120</v>
      </c>
      <c r="AV131" s="345" t="s">
        <v>120</v>
      </c>
      <c r="AW131" s="345" t="s">
        <v>28</v>
      </c>
      <c r="AX131" s="345" t="s">
        <v>72</v>
      </c>
      <c r="AY131" s="347" t="s">
        <v>113</v>
      </c>
    </row>
    <row r="132" spans="1:65" s="2" customFormat="1" ht="16.5" customHeight="1" x14ac:dyDescent="0.2">
      <c r="A132" s="202"/>
      <c r="B132" s="135"/>
      <c r="C132" s="248">
        <v>2</v>
      </c>
      <c r="D132" s="248" t="s">
        <v>115</v>
      </c>
      <c r="E132" s="247" t="s">
        <v>891</v>
      </c>
      <c r="F132" s="246" t="s">
        <v>892</v>
      </c>
      <c r="G132" s="245" t="s">
        <v>161</v>
      </c>
      <c r="H132" s="244">
        <v>20.49</v>
      </c>
      <c r="I132" s="243"/>
      <c r="J132" s="243">
        <f>ROUND(I132*H132,2)</f>
        <v>0</v>
      </c>
      <c r="K132" s="142"/>
      <c r="L132" s="29"/>
      <c r="M132" s="242" t="s">
        <v>1</v>
      </c>
      <c r="N132" s="241"/>
      <c r="O132" s="238"/>
      <c r="P132" s="238"/>
      <c r="Q132" s="238"/>
      <c r="R132" s="238"/>
      <c r="S132" s="238"/>
      <c r="T132" s="237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R132" s="228" t="s">
        <v>119</v>
      </c>
      <c r="AT132" s="228" t="s">
        <v>115</v>
      </c>
      <c r="AU132" s="228" t="s">
        <v>120</v>
      </c>
      <c r="AY132" s="16" t="s">
        <v>113</v>
      </c>
      <c r="BE132" s="148">
        <f>IF(N132="základná",J132,0)</f>
        <v>0</v>
      </c>
      <c r="BF132" s="148">
        <f>IF(N132="znížená",J132,0)</f>
        <v>0</v>
      </c>
      <c r="BG132" s="148">
        <f>IF(N132="zákl. prenesená",J132,0)</f>
        <v>0</v>
      </c>
      <c r="BH132" s="148">
        <f>IF(N132="zníž. prenesená",J132,0)</f>
        <v>0</v>
      </c>
      <c r="BI132" s="148">
        <f>IF(N132="nulová",J132,0)</f>
        <v>0</v>
      </c>
      <c r="BJ132" s="16" t="s">
        <v>120</v>
      </c>
      <c r="BK132" s="148">
        <f>ROUND(I132*H132,2)</f>
        <v>0</v>
      </c>
      <c r="BL132" s="16" t="s">
        <v>119</v>
      </c>
      <c r="BM132" s="228" t="s">
        <v>893</v>
      </c>
    </row>
    <row r="133" spans="1:65" s="336" customFormat="1" x14ac:dyDescent="0.2">
      <c r="B133" s="337"/>
      <c r="D133" s="338" t="s">
        <v>122</v>
      </c>
      <c r="E133" s="339" t="s">
        <v>1</v>
      </c>
      <c r="F133" s="340" t="s">
        <v>894</v>
      </c>
      <c r="H133" s="341">
        <f>(1.5*1.8)*5</f>
        <v>13.5</v>
      </c>
      <c r="L133" s="337"/>
      <c r="M133" s="342"/>
      <c r="N133" s="343"/>
      <c r="O133" s="343"/>
      <c r="P133" s="343"/>
      <c r="Q133" s="343"/>
      <c r="R133" s="343"/>
      <c r="S133" s="343"/>
      <c r="T133" s="344"/>
      <c r="V133" s="340"/>
      <c r="AT133" s="339" t="s">
        <v>122</v>
      </c>
      <c r="AU133" s="339" t="s">
        <v>120</v>
      </c>
      <c r="AV133" s="336" t="s">
        <v>120</v>
      </c>
      <c r="AW133" s="336" t="s">
        <v>28</v>
      </c>
      <c r="AX133" s="336" t="s">
        <v>72</v>
      </c>
      <c r="AY133" s="339" t="s">
        <v>113</v>
      </c>
    </row>
    <row r="134" spans="1:65" s="336" customFormat="1" x14ac:dyDescent="0.2">
      <c r="B134" s="337"/>
      <c r="D134" s="338" t="s">
        <v>122</v>
      </c>
      <c r="E134" s="339" t="s">
        <v>1</v>
      </c>
      <c r="F134" s="340" t="s">
        <v>895</v>
      </c>
      <c r="H134" s="341">
        <f>1.2*1.8</f>
        <v>2.16</v>
      </c>
      <c r="L134" s="337"/>
      <c r="M134" s="342"/>
      <c r="N134" s="343"/>
      <c r="O134" s="343"/>
      <c r="P134" s="343"/>
      <c r="Q134" s="343"/>
      <c r="R134" s="343"/>
      <c r="S134" s="343"/>
      <c r="T134" s="344"/>
      <c r="V134" s="340"/>
      <c r="AT134" s="339" t="s">
        <v>122</v>
      </c>
      <c r="AU134" s="339" t="s">
        <v>120</v>
      </c>
      <c r="AV134" s="336" t="s">
        <v>120</v>
      </c>
      <c r="AW134" s="336" t="s">
        <v>28</v>
      </c>
      <c r="AX134" s="336" t="s">
        <v>72</v>
      </c>
      <c r="AY134" s="339" t="s">
        <v>113</v>
      </c>
    </row>
    <row r="135" spans="1:65" s="336" customFormat="1" x14ac:dyDescent="0.2">
      <c r="B135" s="337"/>
      <c r="D135" s="338"/>
      <c r="E135" s="339"/>
      <c r="F135" s="340" t="s">
        <v>896</v>
      </c>
      <c r="H135" s="341">
        <f>1.3*2.1</f>
        <v>2.7300000000000004</v>
      </c>
      <c r="L135" s="337"/>
      <c r="M135" s="342"/>
      <c r="N135" s="343"/>
      <c r="O135" s="343"/>
      <c r="P135" s="343"/>
      <c r="Q135" s="343"/>
      <c r="R135" s="343"/>
      <c r="S135" s="343"/>
      <c r="T135" s="344"/>
      <c r="V135" s="340"/>
      <c r="AT135" s="339"/>
      <c r="AU135" s="339"/>
      <c r="AY135" s="339"/>
    </row>
    <row r="136" spans="1:65" s="336" customFormat="1" x14ac:dyDescent="0.2">
      <c r="B136" s="337"/>
      <c r="D136" s="338" t="s">
        <v>122</v>
      </c>
      <c r="E136" s="339" t="s">
        <v>1</v>
      </c>
      <c r="F136" s="340" t="s">
        <v>897</v>
      </c>
      <c r="H136" s="341">
        <f>1*2.1</f>
        <v>2.1</v>
      </c>
      <c r="L136" s="337"/>
      <c r="M136" s="342"/>
      <c r="N136" s="343"/>
      <c r="O136" s="343"/>
      <c r="P136" s="343"/>
      <c r="Q136" s="343"/>
      <c r="R136" s="343"/>
      <c r="S136" s="343"/>
      <c r="T136" s="344"/>
      <c r="V136" s="340"/>
      <c r="AT136" s="339" t="s">
        <v>122</v>
      </c>
      <c r="AU136" s="339" t="s">
        <v>120</v>
      </c>
      <c r="AV136" s="336" t="s">
        <v>120</v>
      </c>
      <c r="AW136" s="336" t="s">
        <v>28</v>
      </c>
      <c r="AX136" s="336" t="s">
        <v>72</v>
      </c>
      <c r="AY136" s="339" t="s">
        <v>113</v>
      </c>
    </row>
    <row r="137" spans="1:65" s="345" customFormat="1" x14ac:dyDescent="0.2">
      <c r="B137" s="346"/>
      <c r="D137" s="338" t="s">
        <v>122</v>
      </c>
      <c r="E137" s="347" t="s">
        <v>1</v>
      </c>
      <c r="F137" s="348" t="s">
        <v>128</v>
      </c>
      <c r="H137" s="349">
        <f>SUM(H133:H136)</f>
        <v>20.490000000000002</v>
      </c>
      <c r="L137" s="346"/>
      <c r="M137" s="350"/>
      <c r="N137" s="351"/>
      <c r="O137" s="351"/>
      <c r="P137" s="351"/>
      <c r="Q137" s="351"/>
      <c r="R137" s="351"/>
      <c r="S137" s="351"/>
      <c r="T137" s="352"/>
      <c r="AT137" s="347" t="s">
        <v>122</v>
      </c>
      <c r="AU137" s="347" t="s">
        <v>120</v>
      </c>
      <c r="AV137" s="345" t="s">
        <v>119</v>
      </c>
      <c r="AW137" s="345" t="s">
        <v>28</v>
      </c>
      <c r="AX137" s="345" t="s">
        <v>77</v>
      </c>
      <c r="AY137" s="347" t="s">
        <v>113</v>
      </c>
    </row>
    <row r="138" spans="1:65" s="2" customFormat="1" ht="24" customHeight="1" x14ac:dyDescent="0.2">
      <c r="A138" s="202"/>
      <c r="B138" s="135"/>
      <c r="C138" s="248">
        <v>3</v>
      </c>
      <c r="D138" s="248" t="s">
        <v>115</v>
      </c>
      <c r="E138" s="247" t="s">
        <v>170</v>
      </c>
      <c r="F138" s="246" t="s">
        <v>898</v>
      </c>
      <c r="G138" s="245" t="s">
        <v>161</v>
      </c>
      <c r="H138" s="244">
        <v>99.67</v>
      </c>
      <c r="I138" s="243"/>
      <c r="J138" s="243">
        <f>ROUND(I138*H138,2)</f>
        <v>0</v>
      </c>
      <c r="K138" s="142"/>
      <c r="L138" s="29"/>
      <c r="M138" s="242" t="s">
        <v>1</v>
      </c>
      <c r="N138" s="241"/>
      <c r="O138" s="238"/>
      <c r="P138" s="238"/>
      <c r="Q138" s="238"/>
      <c r="R138" s="238"/>
      <c r="S138" s="238"/>
      <c r="T138" s="237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R138" s="228" t="s">
        <v>119</v>
      </c>
      <c r="AT138" s="228" t="s">
        <v>115</v>
      </c>
      <c r="AU138" s="228" t="s">
        <v>120</v>
      </c>
      <c r="AY138" s="16" t="s">
        <v>113</v>
      </c>
      <c r="BE138" s="148">
        <f>IF(N138="základná",J138,0)</f>
        <v>0</v>
      </c>
      <c r="BF138" s="148">
        <f>IF(N138="znížená",J138,0)</f>
        <v>0</v>
      </c>
      <c r="BG138" s="148">
        <f>IF(N138="zákl. prenesená",J138,0)</f>
        <v>0</v>
      </c>
      <c r="BH138" s="148">
        <f>IF(N138="zníž. prenesená",J138,0)</f>
        <v>0</v>
      </c>
      <c r="BI138" s="148">
        <f>IF(N138="nulová",J138,0)</f>
        <v>0</v>
      </c>
      <c r="BJ138" s="16" t="s">
        <v>120</v>
      </c>
      <c r="BK138" s="148">
        <f>ROUND(I138*H138,2)</f>
        <v>0</v>
      </c>
      <c r="BL138" s="16" t="s">
        <v>119</v>
      </c>
      <c r="BM138" s="228" t="s">
        <v>899</v>
      </c>
    </row>
    <row r="139" spans="1:65" s="336" customFormat="1" x14ac:dyDescent="0.2">
      <c r="B139" s="337"/>
      <c r="D139" s="338" t="s">
        <v>122</v>
      </c>
      <c r="E139" s="339" t="s">
        <v>1</v>
      </c>
      <c r="F139" s="340" t="s">
        <v>900</v>
      </c>
      <c r="H139" s="341">
        <f>72.99+13.68+13</f>
        <v>99.669999999999987</v>
      </c>
      <c r="L139" s="337"/>
      <c r="M139" s="342"/>
      <c r="N139" s="343"/>
      <c r="O139" s="343"/>
      <c r="P139" s="343"/>
      <c r="Q139" s="343"/>
      <c r="R139" s="343"/>
      <c r="S139" s="343"/>
      <c r="T139" s="344"/>
      <c r="V139" s="340"/>
      <c r="AT139" s="339" t="s">
        <v>122</v>
      </c>
      <c r="AU139" s="339" t="s">
        <v>120</v>
      </c>
      <c r="AV139" s="336" t="s">
        <v>120</v>
      </c>
      <c r="AW139" s="336" t="s">
        <v>28</v>
      </c>
      <c r="AX139" s="336" t="s">
        <v>77</v>
      </c>
      <c r="AY139" s="339" t="s">
        <v>113</v>
      </c>
    </row>
    <row r="140" spans="1:65" s="2" customFormat="1" ht="48" x14ac:dyDescent="0.2">
      <c r="A140" s="202"/>
      <c r="B140" s="135"/>
      <c r="C140" s="248">
        <v>4</v>
      </c>
      <c r="D140" s="248" t="s">
        <v>115</v>
      </c>
      <c r="E140" s="247" t="s">
        <v>901</v>
      </c>
      <c r="F140" s="246" t="s">
        <v>902</v>
      </c>
      <c r="G140" s="245" t="s">
        <v>161</v>
      </c>
      <c r="H140" s="244">
        <v>86.67</v>
      </c>
      <c r="I140" s="243"/>
      <c r="J140" s="243">
        <f>ROUND(I140*H140,2)</f>
        <v>0</v>
      </c>
      <c r="K140" s="142"/>
      <c r="L140" s="29"/>
      <c r="M140" s="242" t="s">
        <v>1</v>
      </c>
      <c r="N140" s="241"/>
      <c r="O140" s="238"/>
      <c r="P140" s="238"/>
      <c r="Q140" s="238"/>
      <c r="R140" s="238"/>
      <c r="S140" s="238"/>
      <c r="T140" s="237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R140" s="228" t="s">
        <v>119</v>
      </c>
      <c r="AT140" s="228" t="s">
        <v>115</v>
      </c>
      <c r="AU140" s="228" t="s">
        <v>120</v>
      </c>
      <c r="AY140" s="16" t="s">
        <v>113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6" t="s">
        <v>120</v>
      </c>
      <c r="BK140" s="148">
        <f>ROUND(I140*H140,2)</f>
        <v>0</v>
      </c>
      <c r="BL140" s="16" t="s">
        <v>119</v>
      </c>
      <c r="BM140" s="228" t="s">
        <v>903</v>
      </c>
    </row>
    <row r="141" spans="1:65" s="336" customFormat="1" x14ac:dyDescent="0.2">
      <c r="B141" s="337"/>
      <c r="D141" s="338" t="s">
        <v>122</v>
      </c>
      <c r="E141" s="339" t="s">
        <v>1</v>
      </c>
      <c r="F141" s="340" t="s">
        <v>904</v>
      </c>
      <c r="H141" s="341">
        <f>72.99+13.68</f>
        <v>86.669999999999987</v>
      </c>
      <c r="L141" s="337"/>
      <c r="M141" s="342"/>
      <c r="N141" s="343"/>
      <c r="O141" s="343"/>
      <c r="P141" s="343"/>
      <c r="Q141" s="343"/>
      <c r="R141" s="343"/>
      <c r="S141" s="343"/>
      <c r="T141" s="344"/>
      <c r="AT141" s="339" t="s">
        <v>122</v>
      </c>
      <c r="AU141" s="339" t="s">
        <v>120</v>
      </c>
      <c r="AV141" s="336" t="s">
        <v>120</v>
      </c>
      <c r="AW141" s="336" t="s">
        <v>28</v>
      </c>
      <c r="AX141" s="336" t="s">
        <v>77</v>
      </c>
      <c r="AY141" s="339" t="s">
        <v>113</v>
      </c>
    </row>
    <row r="142" spans="1:65" s="2" customFormat="1" ht="24" x14ac:dyDescent="0.2">
      <c r="A142" s="202"/>
      <c r="B142" s="135"/>
      <c r="C142" s="248">
        <v>5</v>
      </c>
      <c r="D142" s="248" t="s">
        <v>115</v>
      </c>
      <c r="E142" s="247" t="s">
        <v>905</v>
      </c>
      <c r="F142" s="246" t="s">
        <v>906</v>
      </c>
      <c r="G142" s="245" t="s">
        <v>161</v>
      </c>
      <c r="H142" s="244">
        <v>86.67</v>
      </c>
      <c r="I142" s="243"/>
      <c r="J142" s="243">
        <f>ROUND(I142*H142,2)</f>
        <v>0</v>
      </c>
      <c r="K142" s="142"/>
      <c r="L142" s="29"/>
      <c r="M142" s="242" t="s">
        <v>1</v>
      </c>
      <c r="N142" s="241"/>
      <c r="O142" s="238"/>
      <c r="P142" s="238"/>
      <c r="Q142" s="238"/>
      <c r="R142" s="238"/>
      <c r="S142" s="238"/>
      <c r="T142" s="237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R142" s="228" t="s">
        <v>119</v>
      </c>
      <c r="AT142" s="228" t="s">
        <v>115</v>
      </c>
      <c r="AU142" s="228" t="s">
        <v>120</v>
      </c>
      <c r="AY142" s="16" t="s">
        <v>113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6" t="s">
        <v>120</v>
      </c>
      <c r="BK142" s="148">
        <f>ROUND(I142*H142,2)</f>
        <v>0</v>
      </c>
      <c r="BL142" s="16" t="s">
        <v>119</v>
      </c>
      <c r="BM142" s="228" t="s">
        <v>907</v>
      </c>
    </row>
    <row r="143" spans="1:65" s="2" customFormat="1" ht="24" x14ac:dyDescent="0.2">
      <c r="A143" s="202"/>
      <c r="B143" s="135"/>
      <c r="C143" s="248">
        <v>6</v>
      </c>
      <c r="D143" s="248" t="s">
        <v>115</v>
      </c>
      <c r="E143" s="247" t="s">
        <v>908</v>
      </c>
      <c r="F143" s="246" t="s">
        <v>909</v>
      </c>
      <c r="G143" s="245" t="s">
        <v>151</v>
      </c>
      <c r="H143" s="244">
        <v>231.8</v>
      </c>
      <c r="I143" s="243"/>
      <c r="J143" s="243">
        <f>ROUND(I143*H143,2)</f>
        <v>0</v>
      </c>
      <c r="K143" s="142"/>
      <c r="L143" s="29"/>
      <c r="M143" s="242" t="s">
        <v>1</v>
      </c>
      <c r="N143" s="241"/>
      <c r="O143" s="238"/>
      <c r="P143" s="238"/>
      <c r="Q143" s="238"/>
      <c r="R143" s="238"/>
      <c r="S143" s="238"/>
      <c r="T143" s="237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R143" s="228" t="s">
        <v>119</v>
      </c>
      <c r="AT143" s="228" t="s">
        <v>115</v>
      </c>
      <c r="AU143" s="228" t="s">
        <v>120</v>
      </c>
      <c r="AY143" s="16" t="s">
        <v>113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6" t="s">
        <v>120</v>
      </c>
      <c r="BK143" s="148">
        <f>ROUND(I143*H143,2)</f>
        <v>0</v>
      </c>
      <c r="BL143" s="16" t="s">
        <v>119</v>
      </c>
      <c r="BM143" s="228" t="s">
        <v>910</v>
      </c>
    </row>
    <row r="144" spans="1:65" s="336" customFormat="1" x14ac:dyDescent="0.2">
      <c r="B144" s="337"/>
      <c r="D144" s="338" t="s">
        <v>122</v>
      </c>
      <c r="E144" s="339" t="s">
        <v>1</v>
      </c>
      <c r="F144" s="340">
        <v>213.8</v>
      </c>
      <c r="H144" s="341">
        <v>231.8</v>
      </c>
      <c r="L144" s="337"/>
      <c r="M144" s="342"/>
      <c r="N144" s="343"/>
      <c r="O144" s="343"/>
      <c r="P144" s="343"/>
      <c r="Q144" s="343"/>
      <c r="R144" s="343"/>
      <c r="S144" s="343"/>
      <c r="T144" s="344"/>
      <c r="AT144" s="339" t="s">
        <v>122</v>
      </c>
      <c r="AU144" s="339" t="s">
        <v>120</v>
      </c>
      <c r="AV144" s="336" t="s">
        <v>120</v>
      </c>
      <c r="AW144" s="336" t="s">
        <v>28</v>
      </c>
      <c r="AX144" s="336" t="s">
        <v>77</v>
      </c>
      <c r="AY144" s="339" t="s">
        <v>113</v>
      </c>
    </row>
    <row r="145" spans="1:65" s="2" customFormat="1" ht="24" customHeight="1" x14ac:dyDescent="0.2">
      <c r="A145" s="202"/>
      <c r="B145" s="135"/>
      <c r="C145" s="353">
        <v>7</v>
      </c>
      <c r="D145" s="248" t="s">
        <v>115</v>
      </c>
      <c r="E145" s="247" t="s">
        <v>911</v>
      </c>
      <c r="F145" s="246" t="s">
        <v>912</v>
      </c>
      <c r="G145" s="245" t="s">
        <v>161</v>
      </c>
      <c r="H145" s="244">
        <v>13</v>
      </c>
      <c r="I145" s="243"/>
      <c r="J145" s="243">
        <f>ROUND(I145*H145,2)</f>
        <v>0</v>
      </c>
      <c r="K145" s="142"/>
      <c r="L145" s="29"/>
      <c r="M145" s="242" t="s">
        <v>1</v>
      </c>
      <c r="N145" s="241"/>
      <c r="O145" s="238"/>
      <c r="P145" s="238"/>
      <c r="Q145" s="238"/>
      <c r="R145" s="238"/>
      <c r="S145" s="238"/>
      <c r="T145" s="237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R145" s="228" t="s">
        <v>119</v>
      </c>
      <c r="AT145" s="228" t="s">
        <v>115</v>
      </c>
      <c r="AU145" s="228" t="s">
        <v>120</v>
      </c>
      <c r="AY145" s="16" t="s">
        <v>113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6" t="s">
        <v>120</v>
      </c>
      <c r="BK145" s="148">
        <f>ROUND(I145*H145,2)</f>
        <v>0</v>
      </c>
      <c r="BL145" s="16" t="s">
        <v>119</v>
      </c>
      <c r="BM145" s="228" t="s">
        <v>913</v>
      </c>
    </row>
    <row r="146" spans="1:65" s="354" customFormat="1" x14ac:dyDescent="0.2">
      <c r="B146" s="355"/>
      <c r="D146" s="338" t="s">
        <v>122</v>
      </c>
      <c r="E146" s="356" t="s">
        <v>1</v>
      </c>
      <c r="F146" s="340" t="s">
        <v>914</v>
      </c>
      <c r="H146" s="356" t="s">
        <v>1</v>
      </c>
      <c r="L146" s="355"/>
      <c r="M146" s="357"/>
      <c r="N146" s="358"/>
      <c r="O146" s="358"/>
      <c r="P146" s="358"/>
      <c r="Q146" s="358"/>
      <c r="R146" s="358"/>
      <c r="S146" s="358"/>
      <c r="T146" s="359"/>
      <c r="AT146" s="356" t="s">
        <v>122</v>
      </c>
      <c r="AU146" s="356" t="s">
        <v>120</v>
      </c>
      <c r="AV146" s="354" t="s">
        <v>77</v>
      </c>
      <c r="AW146" s="354" t="s">
        <v>28</v>
      </c>
      <c r="AX146" s="354" t="s">
        <v>72</v>
      </c>
      <c r="AY146" s="356" t="s">
        <v>113</v>
      </c>
    </row>
    <row r="147" spans="1:65" s="336" customFormat="1" x14ac:dyDescent="0.2">
      <c r="B147" s="337"/>
      <c r="D147" s="338" t="s">
        <v>122</v>
      </c>
      <c r="E147" s="339" t="s">
        <v>1</v>
      </c>
      <c r="F147" s="340" t="s">
        <v>915</v>
      </c>
      <c r="H147" s="341">
        <f>(((1.5+1.8)*2)*5)*0.25</f>
        <v>8.25</v>
      </c>
      <c r="L147" s="337"/>
      <c r="M147" s="342"/>
      <c r="N147" s="343"/>
      <c r="O147" s="343"/>
      <c r="P147" s="343"/>
      <c r="Q147" s="343"/>
      <c r="R147" s="343"/>
      <c r="S147" s="343"/>
      <c r="T147" s="344"/>
      <c r="AT147" s="339" t="s">
        <v>122</v>
      </c>
      <c r="AU147" s="339" t="s">
        <v>120</v>
      </c>
      <c r="AV147" s="336" t="s">
        <v>120</v>
      </c>
      <c r="AW147" s="336" t="s">
        <v>28</v>
      </c>
      <c r="AX147" s="336" t="s">
        <v>72</v>
      </c>
      <c r="AY147" s="339" t="s">
        <v>113</v>
      </c>
    </row>
    <row r="148" spans="1:65" s="336" customFormat="1" x14ac:dyDescent="0.2">
      <c r="B148" s="337"/>
      <c r="D148" s="338" t="s">
        <v>122</v>
      </c>
      <c r="E148" s="339" t="s">
        <v>1</v>
      </c>
      <c r="F148" s="340" t="s">
        <v>916</v>
      </c>
      <c r="H148" s="341">
        <f>((1.2+1.8)*2)*0.25</f>
        <v>1.5</v>
      </c>
      <c r="L148" s="337"/>
      <c r="M148" s="342"/>
      <c r="N148" s="343"/>
      <c r="O148" s="343"/>
      <c r="P148" s="343"/>
      <c r="Q148" s="343"/>
      <c r="R148" s="343"/>
      <c r="S148" s="343"/>
      <c r="T148" s="344"/>
      <c r="V148" s="340"/>
      <c r="AT148" s="339" t="s">
        <v>122</v>
      </c>
      <c r="AU148" s="339" t="s">
        <v>120</v>
      </c>
      <c r="AV148" s="336" t="s">
        <v>120</v>
      </c>
      <c r="AW148" s="336" t="s">
        <v>28</v>
      </c>
      <c r="AX148" s="336" t="s">
        <v>72</v>
      </c>
      <c r="AY148" s="339" t="s">
        <v>113</v>
      </c>
    </row>
    <row r="149" spans="1:65" s="354" customFormat="1" x14ac:dyDescent="0.2">
      <c r="B149" s="355"/>
      <c r="D149" s="338" t="s">
        <v>122</v>
      </c>
      <c r="E149" s="356" t="s">
        <v>1</v>
      </c>
      <c r="F149" s="340" t="s">
        <v>917</v>
      </c>
      <c r="H149" s="341">
        <f>((1.3+2.1)*2)*0.25</f>
        <v>1.7000000000000002</v>
      </c>
      <c r="L149" s="355"/>
      <c r="M149" s="357"/>
      <c r="N149" s="358"/>
      <c r="O149" s="358"/>
      <c r="P149" s="358"/>
      <c r="Q149" s="358"/>
      <c r="R149" s="358"/>
      <c r="S149" s="358"/>
      <c r="T149" s="359"/>
      <c r="AT149" s="356" t="s">
        <v>122</v>
      </c>
      <c r="AU149" s="356" t="s">
        <v>120</v>
      </c>
      <c r="AV149" s="354" t="s">
        <v>77</v>
      </c>
      <c r="AW149" s="354" t="s">
        <v>28</v>
      </c>
      <c r="AX149" s="354" t="s">
        <v>72</v>
      </c>
      <c r="AY149" s="356" t="s">
        <v>113</v>
      </c>
    </row>
    <row r="150" spans="1:65" s="336" customFormat="1" x14ac:dyDescent="0.2">
      <c r="B150" s="337"/>
      <c r="D150" s="338" t="s">
        <v>122</v>
      </c>
      <c r="E150" s="339" t="s">
        <v>1</v>
      </c>
      <c r="F150" s="340" t="s">
        <v>918</v>
      </c>
      <c r="H150" s="341">
        <f>((1+2.1)*2)*0.25</f>
        <v>1.55</v>
      </c>
      <c r="L150" s="337"/>
      <c r="M150" s="342"/>
      <c r="N150" s="343"/>
      <c r="O150" s="343"/>
      <c r="P150" s="343"/>
      <c r="Q150" s="343"/>
      <c r="R150" s="343"/>
      <c r="S150" s="343"/>
      <c r="T150" s="344"/>
      <c r="AT150" s="339" t="s">
        <v>122</v>
      </c>
      <c r="AU150" s="339" t="s">
        <v>120</v>
      </c>
      <c r="AV150" s="336" t="s">
        <v>120</v>
      </c>
      <c r="AW150" s="336" t="s">
        <v>28</v>
      </c>
      <c r="AX150" s="336" t="s">
        <v>72</v>
      </c>
      <c r="AY150" s="339" t="s">
        <v>113</v>
      </c>
    </row>
    <row r="151" spans="1:65" s="345" customFormat="1" x14ac:dyDescent="0.2">
      <c r="B151" s="346"/>
      <c r="D151" s="338" t="s">
        <v>122</v>
      </c>
      <c r="E151" s="347" t="s">
        <v>1</v>
      </c>
      <c r="F151" s="348" t="s">
        <v>128</v>
      </c>
      <c r="H151" s="349">
        <f>SUM(H147:H150)</f>
        <v>13</v>
      </c>
      <c r="L151" s="346"/>
      <c r="M151" s="350"/>
      <c r="N151" s="351"/>
      <c r="O151" s="351"/>
      <c r="P151" s="351"/>
      <c r="Q151" s="351"/>
      <c r="R151" s="351"/>
      <c r="S151" s="351"/>
      <c r="T151" s="352"/>
      <c r="AT151" s="347" t="s">
        <v>122</v>
      </c>
      <c r="AU151" s="347" t="s">
        <v>120</v>
      </c>
      <c r="AV151" s="345" t="s">
        <v>119</v>
      </c>
      <c r="AW151" s="345" t="s">
        <v>28</v>
      </c>
      <c r="AX151" s="345" t="s">
        <v>77</v>
      </c>
      <c r="AY151" s="347" t="s">
        <v>113</v>
      </c>
    </row>
    <row r="152" spans="1:65" s="2" customFormat="1" ht="24" x14ac:dyDescent="0.2">
      <c r="A152" s="202"/>
      <c r="B152" s="135"/>
      <c r="C152" s="248">
        <v>8</v>
      </c>
      <c r="D152" s="248" t="s">
        <v>115</v>
      </c>
      <c r="E152" s="247" t="s">
        <v>919</v>
      </c>
      <c r="F152" s="246" t="s">
        <v>920</v>
      </c>
      <c r="G152" s="245" t="s">
        <v>161</v>
      </c>
      <c r="H152" s="244">
        <v>72.989999999999995</v>
      </c>
      <c r="I152" s="243"/>
      <c r="J152" s="243">
        <f>ROUND(I152*H152,2)</f>
        <v>0</v>
      </c>
      <c r="K152" s="142"/>
      <c r="L152" s="29"/>
      <c r="M152" s="242" t="s">
        <v>1</v>
      </c>
      <c r="N152" s="241"/>
      <c r="O152" s="238"/>
      <c r="P152" s="238"/>
      <c r="Q152" s="238"/>
      <c r="R152" s="238"/>
      <c r="S152" s="238"/>
      <c r="T152" s="237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R152" s="228" t="s">
        <v>119</v>
      </c>
      <c r="AT152" s="228" t="s">
        <v>115</v>
      </c>
      <c r="AU152" s="228" t="s">
        <v>120</v>
      </c>
      <c r="AY152" s="16" t="s">
        <v>113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6" t="s">
        <v>120</v>
      </c>
      <c r="BK152" s="148">
        <f>ROUND(I152*H152,2)</f>
        <v>0</v>
      </c>
      <c r="BL152" s="16" t="s">
        <v>119</v>
      </c>
      <c r="BM152" s="228" t="s">
        <v>921</v>
      </c>
    </row>
    <row r="153" spans="1:65" s="354" customFormat="1" x14ac:dyDescent="0.2">
      <c r="B153" s="355"/>
      <c r="D153" s="338" t="s">
        <v>122</v>
      </c>
      <c r="E153" s="356" t="s">
        <v>1</v>
      </c>
      <c r="F153" s="360" t="s">
        <v>922</v>
      </c>
      <c r="H153" s="356" t="s">
        <v>1</v>
      </c>
      <c r="L153" s="355"/>
      <c r="M153" s="357"/>
      <c r="N153" s="358"/>
      <c r="O153" s="358"/>
      <c r="P153" s="358"/>
      <c r="Q153" s="358"/>
      <c r="R153" s="358"/>
      <c r="S153" s="358"/>
      <c r="T153" s="359"/>
      <c r="AT153" s="356" t="s">
        <v>122</v>
      </c>
      <c r="AU153" s="356" t="s">
        <v>120</v>
      </c>
      <c r="AV153" s="354" t="s">
        <v>77</v>
      </c>
      <c r="AW153" s="354" t="s">
        <v>28</v>
      </c>
      <c r="AX153" s="354" t="s">
        <v>72</v>
      </c>
      <c r="AY153" s="356" t="s">
        <v>113</v>
      </c>
    </row>
    <row r="154" spans="1:65" s="336" customFormat="1" x14ac:dyDescent="0.2">
      <c r="B154" s="337"/>
      <c r="D154" s="338" t="s">
        <v>122</v>
      </c>
      <c r="E154" s="339" t="s">
        <v>1</v>
      </c>
      <c r="F154" s="340" t="s">
        <v>923</v>
      </c>
      <c r="H154" s="341">
        <f>14.4*4.1</f>
        <v>59.04</v>
      </c>
      <c r="L154" s="337"/>
      <c r="M154" s="342"/>
      <c r="N154" s="343"/>
      <c r="O154" s="343"/>
      <c r="P154" s="343"/>
      <c r="Q154" s="343"/>
      <c r="R154" s="343"/>
      <c r="S154" s="343"/>
      <c r="T154" s="344"/>
      <c r="AT154" s="339" t="s">
        <v>122</v>
      </c>
      <c r="AU154" s="339" t="s">
        <v>120</v>
      </c>
      <c r="AV154" s="336" t="s">
        <v>120</v>
      </c>
      <c r="AW154" s="336" t="s">
        <v>28</v>
      </c>
      <c r="AX154" s="336" t="s">
        <v>72</v>
      </c>
      <c r="AY154" s="339" t="s">
        <v>113</v>
      </c>
    </row>
    <row r="155" spans="1:65" s="336" customFormat="1" x14ac:dyDescent="0.2">
      <c r="B155" s="337"/>
      <c r="D155" s="338" t="s">
        <v>122</v>
      </c>
      <c r="E155" s="339" t="s">
        <v>1</v>
      </c>
      <c r="F155" s="340" t="s">
        <v>924</v>
      </c>
      <c r="H155" s="341">
        <f>-((1.5*1.8)*5)-(1.2*1.8)</f>
        <v>-15.66</v>
      </c>
      <c r="L155" s="337"/>
      <c r="M155" s="342"/>
      <c r="N155" s="343"/>
      <c r="O155" s="343"/>
      <c r="P155" s="343"/>
      <c r="Q155" s="343"/>
      <c r="R155" s="343"/>
      <c r="S155" s="343"/>
      <c r="T155" s="344"/>
      <c r="AT155" s="339" t="s">
        <v>122</v>
      </c>
      <c r="AU155" s="339" t="s">
        <v>120</v>
      </c>
      <c r="AV155" s="336" t="s">
        <v>120</v>
      </c>
      <c r="AW155" s="336" t="s">
        <v>28</v>
      </c>
      <c r="AX155" s="336" t="s">
        <v>72</v>
      </c>
      <c r="AY155" s="339" t="s">
        <v>113</v>
      </c>
    </row>
    <row r="156" spans="1:65" s="354" customFormat="1" x14ac:dyDescent="0.2">
      <c r="B156" s="355"/>
      <c r="D156" s="338" t="s">
        <v>122</v>
      </c>
      <c r="E156" s="356" t="s">
        <v>1</v>
      </c>
      <c r="F156" s="360" t="s">
        <v>925</v>
      </c>
      <c r="H156" s="356" t="s">
        <v>1</v>
      </c>
      <c r="L156" s="355"/>
      <c r="M156" s="357"/>
      <c r="N156" s="358"/>
      <c r="O156" s="358"/>
      <c r="P156" s="358"/>
      <c r="Q156" s="358"/>
      <c r="R156" s="358"/>
      <c r="S156" s="358"/>
      <c r="T156" s="359"/>
      <c r="AT156" s="356" t="s">
        <v>122</v>
      </c>
      <c r="AU156" s="356" t="s">
        <v>120</v>
      </c>
      <c r="AV156" s="354" t="s">
        <v>77</v>
      </c>
      <c r="AW156" s="354" t="s">
        <v>28</v>
      </c>
      <c r="AX156" s="354" t="s">
        <v>72</v>
      </c>
      <c r="AY156" s="356" t="s">
        <v>113</v>
      </c>
    </row>
    <row r="157" spans="1:65" s="336" customFormat="1" x14ac:dyDescent="0.2">
      <c r="B157" s="337"/>
      <c r="D157" s="338" t="s">
        <v>122</v>
      </c>
      <c r="E157" s="339" t="s">
        <v>1</v>
      </c>
      <c r="F157" s="340" t="s">
        <v>926</v>
      </c>
      <c r="H157" s="341">
        <f>8.4*4.1</f>
        <v>34.44</v>
      </c>
      <c r="L157" s="337"/>
      <c r="M157" s="342"/>
      <c r="N157" s="343"/>
      <c r="O157" s="343"/>
      <c r="P157" s="343"/>
      <c r="Q157" s="343"/>
      <c r="R157" s="343"/>
      <c r="S157" s="343"/>
      <c r="T157" s="344"/>
      <c r="AT157" s="339" t="s">
        <v>122</v>
      </c>
      <c r="AU157" s="339" t="s">
        <v>120</v>
      </c>
      <c r="AV157" s="336" t="s">
        <v>120</v>
      </c>
      <c r="AW157" s="336" t="s">
        <v>28</v>
      </c>
      <c r="AX157" s="336" t="s">
        <v>72</v>
      </c>
      <c r="AY157" s="339" t="s">
        <v>113</v>
      </c>
    </row>
    <row r="158" spans="1:65" s="336" customFormat="1" x14ac:dyDescent="0.2">
      <c r="B158" s="337"/>
      <c r="D158" s="338" t="s">
        <v>122</v>
      </c>
      <c r="E158" s="339" t="s">
        <v>1</v>
      </c>
      <c r="F158" s="340" t="s">
        <v>927</v>
      </c>
      <c r="H158" s="341">
        <f>-(1.3*2.1)-(1*2.1)</f>
        <v>-4.83</v>
      </c>
      <c r="L158" s="337"/>
      <c r="M158" s="342"/>
      <c r="N158" s="343"/>
      <c r="O158" s="343"/>
      <c r="P158" s="343"/>
      <c r="Q158" s="343"/>
      <c r="R158" s="343"/>
      <c r="S158" s="343"/>
      <c r="T158" s="344"/>
      <c r="AT158" s="339" t="s">
        <v>122</v>
      </c>
      <c r="AU158" s="339" t="s">
        <v>120</v>
      </c>
      <c r="AV158" s="336" t="s">
        <v>120</v>
      </c>
      <c r="AW158" s="336" t="s">
        <v>28</v>
      </c>
      <c r="AX158" s="336" t="s">
        <v>72</v>
      </c>
      <c r="AY158" s="339" t="s">
        <v>113</v>
      </c>
    </row>
    <row r="159" spans="1:65" s="345" customFormat="1" x14ac:dyDescent="0.2">
      <c r="B159" s="346"/>
      <c r="D159" s="338" t="s">
        <v>122</v>
      </c>
      <c r="E159" s="347" t="s">
        <v>1</v>
      </c>
      <c r="F159" s="348" t="s">
        <v>128</v>
      </c>
      <c r="H159" s="349">
        <f>SUM(H154:H158)</f>
        <v>72.989999999999995</v>
      </c>
      <c r="L159" s="346"/>
      <c r="M159" s="350"/>
      <c r="N159" s="351"/>
      <c r="O159" s="351"/>
      <c r="P159" s="351"/>
      <c r="Q159" s="351"/>
      <c r="R159" s="351"/>
      <c r="S159" s="351"/>
      <c r="T159" s="352"/>
      <c r="AT159" s="347" t="s">
        <v>122</v>
      </c>
      <c r="AU159" s="347" t="s">
        <v>120</v>
      </c>
      <c r="AV159" s="345" t="s">
        <v>119</v>
      </c>
      <c r="AW159" s="345" t="s">
        <v>28</v>
      </c>
      <c r="AX159" s="345" t="s">
        <v>77</v>
      </c>
      <c r="AY159" s="347" t="s">
        <v>113</v>
      </c>
    </row>
    <row r="160" spans="1:65" s="2" customFormat="1" ht="36" customHeight="1" x14ac:dyDescent="0.2">
      <c r="A160" s="202"/>
      <c r="B160" s="135"/>
      <c r="C160" s="248">
        <v>9</v>
      </c>
      <c r="D160" s="248" t="s">
        <v>115</v>
      </c>
      <c r="E160" s="247" t="s">
        <v>928</v>
      </c>
      <c r="F160" s="246" t="s">
        <v>929</v>
      </c>
      <c r="G160" s="245" t="s">
        <v>161</v>
      </c>
      <c r="H160" s="244">
        <v>13.68</v>
      </c>
      <c r="I160" s="243"/>
      <c r="J160" s="243">
        <f>ROUND(I160*H160,2)</f>
        <v>0</v>
      </c>
      <c r="K160" s="142"/>
      <c r="L160" s="29"/>
      <c r="M160" s="242" t="s">
        <v>1</v>
      </c>
      <c r="N160" s="241"/>
      <c r="O160" s="238"/>
      <c r="P160" s="238"/>
      <c r="Q160" s="238"/>
      <c r="R160" s="238"/>
      <c r="S160" s="238"/>
      <c r="T160" s="237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R160" s="228" t="s">
        <v>119</v>
      </c>
      <c r="AT160" s="228" t="s">
        <v>115</v>
      </c>
      <c r="AU160" s="228" t="s">
        <v>120</v>
      </c>
      <c r="AY160" s="16" t="s">
        <v>113</v>
      </c>
      <c r="BE160" s="148">
        <f>IF(N160="základná",J160,0)</f>
        <v>0</v>
      </c>
      <c r="BF160" s="148">
        <f>IF(N160="znížená",J160,0)</f>
        <v>0</v>
      </c>
      <c r="BG160" s="148">
        <f>IF(N160="zákl. prenesená",J160,0)</f>
        <v>0</v>
      </c>
      <c r="BH160" s="148">
        <f>IF(N160="zníž. prenesená",J160,0)</f>
        <v>0</v>
      </c>
      <c r="BI160" s="148">
        <f>IF(N160="nulová",J160,0)</f>
        <v>0</v>
      </c>
      <c r="BJ160" s="16" t="s">
        <v>120</v>
      </c>
      <c r="BK160" s="148">
        <f>ROUND(I160*H160,2)</f>
        <v>0</v>
      </c>
      <c r="BL160" s="16" t="s">
        <v>119</v>
      </c>
      <c r="BM160" s="228" t="s">
        <v>930</v>
      </c>
    </row>
    <row r="161" spans="1:65" s="354" customFormat="1" x14ac:dyDescent="0.2">
      <c r="B161" s="355"/>
      <c r="D161" s="338" t="s">
        <v>122</v>
      </c>
      <c r="E161" s="356" t="s">
        <v>1</v>
      </c>
      <c r="F161" s="360" t="s">
        <v>922</v>
      </c>
      <c r="H161" s="356" t="s">
        <v>1</v>
      </c>
      <c r="L161" s="355"/>
      <c r="M161" s="357"/>
      <c r="N161" s="358"/>
      <c r="O161" s="358"/>
      <c r="P161" s="358"/>
      <c r="Q161" s="358"/>
      <c r="R161" s="358"/>
      <c r="S161" s="358"/>
      <c r="T161" s="359"/>
      <c r="AT161" s="356" t="s">
        <v>122</v>
      </c>
      <c r="AU161" s="356" t="s">
        <v>120</v>
      </c>
      <c r="AV161" s="354" t="s">
        <v>77</v>
      </c>
      <c r="AW161" s="354" t="s">
        <v>28</v>
      </c>
      <c r="AX161" s="354" t="s">
        <v>72</v>
      </c>
      <c r="AY161" s="356" t="s">
        <v>113</v>
      </c>
    </row>
    <row r="162" spans="1:65" s="336" customFormat="1" x14ac:dyDescent="0.2">
      <c r="B162" s="337"/>
      <c r="D162" s="338" t="s">
        <v>122</v>
      </c>
      <c r="E162" s="339" t="s">
        <v>1</v>
      </c>
      <c r="F162" s="340" t="s">
        <v>931</v>
      </c>
      <c r="H162" s="341">
        <f>14.4*0.6</f>
        <v>8.64</v>
      </c>
      <c r="L162" s="337"/>
      <c r="M162" s="342"/>
      <c r="N162" s="343"/>
      <c r="O162" s="343"/>
      <c r="P162" s="343"/>
      <c r="Q162" s="343"/>
      <c r="R162" s="343"/>
      <c r="S162" s="343"/>
      <c r="T162" s="344"/>
      <c r="V162" s="340"/>
      <c r="AT162" s="339" t="s">
        <v>122</v>
      </c>
      <c r="AU162" s="339" t="s">
        <v>120</v>
      </c>
      <c r="AV162" s="336" t="s">
        <v>120</v>
      </c>
      <c r="AW162" s="336" t="s">
        <v>28</v>
      </c>
      <c r="AX162" s="336" t="s">
        <v>72</v>
      </c>
      <c r="AY162" s="339" t="s">
        <v>113</v>
      </c>
    </row>
    <row r="163" spans="1:65" s="354" customFormat="1" x14ac:dyDescent="0.2">
      <c r="B163" s="355"/>
      <c r="D163" s="338" t="s">
        <v>122</v>
      </c>
      <c r="E163" s="356" t="s">
        <v>1</v>
      </c>
      <c r="F163" s="360" t="s">
        <v>925</v>
      </c>
      <c r="H163" s="356" t="s">
        <v>1</v>
      </c>
      <c r="L163" s="355"/>
      <c r="M163" s="357"/>
      <c r="N163" s="358"/>
      <c r="O163" s="358"/>
      <c r="P163" s="358"/>
      <c r="Q163" s="358"/>
      <c r="R163" s="358"/>
      <c r="S163" s="358"/>
      <c r="T163" s="359"/>
      <c r="AT163" s="356" t="s">
        <v>122</v>
      </c>
      <c r="AU163" s="356" t="s">
        <v>120</v>
      </c>
      <c r="AV163" s="354" t="s">
        <v>77</v>
      </c>
      <c r="AW163" s="354" t="s">
        <v>28</v>
      </c>
      <c r="AX163" s="354" t="s">
        <v>72</v>
      </c>
      <c r="AY163" s="356" t="s">
        <v>113</v>
      </c>
    </row>
    <row r="164" spans="1:65" s="336" customFormat="1" x14ac:dyDescent="0.2">
      <c r="B164" s="337"/>
      <c r="D164" s="338" t="s">
        <v>122</v>
      </c>
      <c r="E164" s="339" t="s">
        <v>1</v>
      </c>
      <c r="F164" s="340" t="s">
        <v>932</v>
      </c>
      <c r="H164" s="341">
        <f>8.4*0.6</f>
        <v>5.04</v>
      </c>
      <c r="L164" s="337"/>
      <c r="M164" s="342"/>
      <c r="N164" s="343"/>
      <c r="O164" s="343"/>
      <c r="P164" s="343"/>
      <c r="Q164" s="343"/>
      <c r="R164" s="343"/>
      <c r="S164" s="343"/>
      <c r="T164" s="344"/>
      <c r="V164" s="340"/>
      <c r="AT164" s="339" t="s">
        <v>122</v>
      </c>
      <c r="AU164" s="339" t="s">
        <v>120</v>
      </c>
      <c r="AV164" s="336" t="s">
        <v>120</v>
      </c>
      <c r="AW164" s="336" t="s">
        <v>28</v>
      </c>
      <c r="AX164" s="336" t="s">
        <v>72</v>
      </c>
      <c r="AY164" s="339" t="s">
        <v>113</v>
      </c>
    </row>
    <row r="165" spans="1:65" s="345" customFormat="1" x14ac:dyDescent="0.2">
      <c r="B165" s="346"/>
      <c r="D165" s="338" t="s">
        <v>122</v>
      </c>
      <c r="E165" s="347" t="s">
        <v>1</v>
      </c>
      <c r="F165" s="348" t="s">
        <v>128</v>
      </c>
      <c r="H165" s="349">
        <f>SUM(H162:H164)</f>
        <v>13.68</v>
      </c>
      <c r="L165" s="346"/>
      <c r="M165" s="350"/>
      <c r="N165" s="351"/>
      <c r="O165" s="351"/>
      <c r="P165" s="351"/>
      <c r="Q165" s="351"/>
      <c r="R165" s="351"/>
      <c r="S165" s="351"/>
      <c r="T165" s="352"/>
      <c r="AT165" s="347" t="s">
        <v>122</v>
      </c>
      <c r="AU165" s="347" t="s">
        <v>120</v>
      </c>
      <c r="AV165" s="345" t="s">
        <v>119</v>
      </c>
      <c r="AW165" s="345" t="s">
        <v>28</v>
      </c>
      <c r="AX165" s="345" t="s">
        <v>77</v>
      </c>
      <c r="AY165" s="347" t="s">
        <v>113</v>
      </c>
    </row>
    <row r="166" spans="1:65" s="2" customFormat="1" ht="36" customHeight="1" x14ac:dyDescent="0.2">
      <c r="A166" s="202"/>
      <c r="B166" s="135"/>
      <c r="C166" s="248">
        <v>10</v>
      </c>
      <c r="D166" s="248" t="s">
        <v>115</v>
      </c>
      <c r="E166" s="247" t="s">
        <v>933</v>
      </c>
      <c r="F166" s="246" t="s">
        <v>934</v>
      </c>
      <c r="G166" s="245" t="s">
        <v>161</v>
      </c>
      <c r="H166" s="244">
        <v>85.99</v>
      </c>
      <c r="I166" s="243"/>
      <c r="J166" s="243">
        <f>ROUND(I166*H166,2)</f>
        <v>0</v>
      </c>
      <c r="K166" s="142"/>
      <c r="L166" s="29"/>
      <c r="M166" s="242" t="s">
        <v>1</v>
      </c>
      <c r="N166" s="241"/>
      <c r="O166" s="238"/>
      <c r="P166" s="238"/>
      <c r="Q166" s="238"/>
      <c r="R166" s="238"/>
      <c r="S166" s="238"/>
      <c r="T166" s="237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R166" s="228" t="s">
        <v>119</v>
      </c>
      <c r="AT166" s="228" t="s">
        <v>115</v>
      </c>
      <c r="AU166" s="228" t="s">
        <v>120</v>
      </c>
      <c r="AY166" s="16" t="s">
        <v>113</v>
      </c>
      <c r="BE166" s="148">
        <f>IF(N166="základná",J166,0)</f>
        <v>0</v>
      </c>
      <c r="BF166" s="148">
        <f>IF(N166="znížená",J166,0)</f>
        <v>0</v>
      </c>
      <c r="BG166" s="148">
        <f>IF(N166="zákl. prenesená",J166,0)</f>
        <v>0</v>
      </c>
      <c r="BH166" s="148">
        <f>IF(N166="zníž. prenesená",J166,0)</f>
        <v>0</v>
      </c>
      <c r="BI166" s="148">
        <f>IF(N166="nulová",J166,0)</f>
        <v>0</v>
      </c>
      <c r="BJ166" s="16" t="s">
        <v>120</v>
      </c>
      <c r="BK166" s="148">
        <f>ROUND(I166*H166,2)</f>
        <v>0</v>
      </c>
      <c r="BL166" s="16" t="s">
        <v>119</v>
      </c>
      <c r="BM166" s="228" t="s">
        <v>935</v>
      </c>
    </row>
    <row r="167" spans="1:65" s="336" customFormat="1" x14ac:dyDescent="0.2">
      <c r="B167" s="337"/>
      <c r="D167" s="338" t="s">
        <v>122</v>
      </c>
      <c r="E167" s="339" t="s">
        <v>1</v>
      </c>
      <c r="F167" s="340">
        <v>72.989999999999995</v>
      </c>
      <c r="H167" s="341">
        <v>72.989999999999995</v>
      </c>
      <c r="L167" s="337"/>
      <c r="M167" s="342"/>
      <c r="N167" s="343"/>
      <c r="O167" s="343"/>
      <c r="P167" s="343"/>
      <c r="Q167" s="343"/>
      <c r="R167" s="343"/>
      <c r="S167" s="343"/>
      <c r="T167" s="344"/>
      <c r="AT167" s="339" t="s">
        <v>122</v>
      </c>
      <c r="AU167" s="339" t="s">
        <v>120</v>
      </c>
      <c r="AV167" s="336" t="s">
        <v>120</v>
      </c>
      <c r="AW167" s="336" t="s">
        <v>28</v>
      </c>
      <c r="AX167" s="336" t="s">
        <v>72</v>
      </c>
      <c r="AY167" s="339" t="s">
        <v>113</v>
      </c>
    </row>
    <row r="168" spans="1:65" s="336" customFormat="1" x14ac:dyDescent="0.2">
      <c r="B168" s="337"/>
      <c r="D168" s="338" t="s">
        <v>122</v>
      </c>
      <c r="E168" s="339" t="s">
        <v>1</v>
      </c>
      <c r="F168" s="340">
        <v>13</v>
      </c>
      <c r="H168" s="341">
        <v>13</v>
      </c>
      <c r="L168" s="337"/>
      <c r="M168" s="342"/>
      <c r="N168" s="343"/>
      <c r="O168" s="343"/>
      <c r="P168" s="343"/>
      <c r="Q168" s="343"/>
      <c r="R168" s="343"/>
      <c r="S168" s="343"/>
      <c r="T168" s="344"/>
      <c r="AT168" s="339" t="s">
        <v>122</v>
      </c>
      <c r="AU168" s="339" t="s">
        <v>120</v>
      </c>
      <c r="AV168" s="336" t="s">
        <v>120</v>
      </c>
      <c r="AW168" s="336" t="s">
        <v>28</v>
      </c>
      <c r="AX168" s="336" t="s">
        <v>72</v>
      </c>
      <c r="AY168" s="339" t="s">
        <v>113</v>
      </c>
    </row>
    <row r="169" spans="1:65" s="345" customFormat="1" x14ac:dyDescent="0.2">
      <c r="B169" s="346"/>
      <c r="D169" s="338" t="s">
        <v>122</v>
      </c>
      <c r="E169" s="347" t="s">
        <v>1</v>
      </c>
      <c r="F169" s="348" t="s">
        <v>128</v>
      </c>
      <c r="H169" s="349">
        <f>SUM(H167:H168)</f>
        <v>85.99</v>
      </c>
      <c r="L169" s="346"/>
      <c r="M169" s="350"/>
      <c r="N169" s="351"/>
      <c r="O169" s="351"/>
      <c r="P169" s="351"/>
      <c r="Q169" s="351"/>
      <c r="R169" s="351"/>
      <c r="S169" s="351"/>
      <c r="T169" s="352"/>
      <c r="AT169" s="347" t="s">
        <v>122</v>
      </c>
      <c r="AU169" s="347" t="s">
        <v>120</v>
      </c>
      <c r="AV169" s="345" t="s">
        <v>119</v>
      </c>
      <c r="AW169" s="345" t="s">
        <v>28</v>
      </c>
      <c r="AX169" s="345" t="s">
        <v>77</v>
      </c>
      <c r="AY169" s="347" t="s">
        <v>113</v>
      </c>
    </row>
    <row r="170" spans="1:65" s="2" customFormat="1" ht="24" customHeight="1" x14ac:dyDescent="0.2">
      <c r="A170" s="202"/>
      <c r="B170" s="135"/>
      <c r="C170" s="248">
        <v>11</v>
      </c>
      <c r="D170" s="248" t="s">
        <v>115</v>
      </c>
      <c r="E170" s="247" t="s">
        <v>936</v>
      </c>
      <c r="F170" s="246" t="s">
        <v>937</v>
      </c>
      <c r="G170" s="245" t="s">
        <v>161</v>
      </c>
      <c r="H170" s="244">
        <v>13.68</v>
      </c>
      <c r="I170" s="243"/>
      <c r="J170" s="243">
        <f>ROUND(I170*H170,2)</f>
        <v>0</v>
      </c>
      <c r="K170" s="142"/>
      <c r="L170" s="29"/>
      <c r="M170" s="242" t="s">
        <v>1</v>
      </c>
      <c r="N170" s="241"/>
      <c r="O170" s="238"/>
      <c r="P170" s="238"/>
      <c r="Q170" s="238"/>
      <c r="R170" s="238"/>
      <c r="S170" s="238"/>
      <c r="T170" s="237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R170" s="228" t="s">
        <v>119</v>
      </c>
      <c r="AT170" s="228" t="s">
        <v>115</v>
      </c>
      <c r="AU170" s="228" t="s">
        <v>120</v>
      </c>
      <c r="AY170" s="16" t="s">
        <v>113</v>
      </c>
      <c r="BE170" s="148">
        <f>IF(N170="základná",J170,0)</f>
        <v>0</v>
      </c>
      <c r="BF170" s="148">
        <f>IF(N170="znížená",J170,0)</f>
        <v>0</v>
      </c>
      <c r="BG170" s="148">
        <f>IF(N170="zákl. prenesená",J170,0)</f>
        <v>0</v>
      </c>
      <c r="BH170" s="148">
        <f>IF(N170="zníž. prenesená",J170,0)</f>
        <v>0</v>
      </c>
      <c r="BI170" s="148">
        <f>IF(N170="nulová",J170,0)</f>
        <v>0</v>
      </c>
      <c r="BJ170" s="16" t="s">
        <v>120</v>
      </c>
      <c r="BK170" s="148">
        <f>ROUND(I170*H170,2)</f>
        <v>0</v>
      </c>
      <c r="BL170" s="16" t="s">
        <v>119</v>
      </c>
      <c r="BM170" s="228" t="s">
        <v>938</v>
      </c>
    </row>
    <row r="171" spans="1:65" s="336" customFormat="1" x14ac:dyDescent="0.2">
      <c r="B171" s="337"/>
      <c r="D171" s="338" t="s">
        <v>122</v>
      </c>
      <c r="E171" s="339" t="s">
        <v>1</v>
      </c>
      <c r="F171" s="340">
        <v>13.68</v>
      </c>
      <c r="H171" s="341">
        <v>13.68</v>
      </c>
      <c r="L171" s="337"/>
      <c r="M171" s="342"/>
      <c r="N171" s="343"/>
      <c r="O171" s="343"/>
      <c r="P171" s="343"/>
      <c r="Q171" s="343"/>
      <c r="R171" s="343"/>
      <c r="S171" s="343"/>
      <c r="T171" s="344"/>
      <c r="AT171" s="339" t="s">
        <v>122</v>
      </c>
      <c r="AU171" s="339" t="s">
        <v>120</v>
      </c>
      <c r="AV171" s="336" t="s">
        <v>120</v>
      </c>
      <c r="AW171" s="336" t="s">
        <v>28</v>
      </c>
      <c r="AX171" s="336" t="s">
        <v>72</v>
      </c>
      <c r="AY171" s="339" t="s">
        <v>113</v>
      </c>
    </row>
    <row r="172" spans="1:65" s="2" customFormat="1" ht="36" x14ac:dyDescent="0.2">
      <c r="A172" s="202"/>
      <c r="B172" s="135"/>
      <c r="C172" s="248">
        <v>12</v>
      </c>
      <c r="D172" s="248" t="s">
        <v>115</v>
      </c>
      <c r="E172" s="247" t="s">
        <v>939</v>
      </c>
      <c r="F172" s="246" t="s">
        <v>940</v>
      </c>
      <c r="G172" s="245" t="s">
        <v>161</v>
      </c>
      <c r="H172" s="244">
        <v>85.99</v>
      </c>
      <c r="I172" s="243"/>
      <c r="J172" s="243">
        <f>ROUND(I172*H172,2)</f>
        <v>0</v>
      </c>
      <c r="K172" s="142"/>
      <c r="L172" s="29"/>
      <c r="M172" s="242" t="s">
        <v>1</v>
      </c>
      <c r="N172" s="241"/>
      <c r="O172" s="238"/>
      <c r="P172" s="238"/>
      <c r="Q172" s="238"/>
      <c r="R172" s="238"/>
      <c r="S172" s="238"/>
      <c r="T172" s="237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R172" s="228" t="s">
        <v>119</v>
      </c>
      <c r="AT172" s="228" t="s">
        <v>115</v>
      </c>
      <c r="AU172" s="228" t="s">
        <v>120</v>
      </c>
      <c r="AY172" s="16" t="s">
        <v>113</v>
      </c>
      <c r="BE172" s="148">
        <f>IF(N172="základná",J172,0)</f>
        <v>0</v>
      </c>
      <c r="BF172" s="148">
        <f>IF(N172="znížená",J172,0)</f>
        <v>0</v>
      </c>
      <c r="BG172" s="148">
        <f>IF(N172="zákl. prenesená",J172,0)</f>
        <v>0</v>
      </c>
      <c r="BH172" s="148">
        <f>IF(N172="zníž. prenesená",J172,0)</f>
        <v>0</v>
      </c>
      <c r="BI172" s="148">
        <f>IF(N172="nulová",J172,0)</f>
        <v>0</v>
      </c>
      <c r="BJ172" s="16" t="s">
        <v>120</v>
      </c>
      <c r="BK172" s="148">
        <f>ROUND(I172*H172,2)</f>
        <v>0</v>
      </c>
      <c r="BL172" s="16" t="s">
        <v>119</v>
      </c>
      <c r="BM172" s="228" t="s">
        <v>941</v>
      </c>
    </row>
    <row r="173" spans="1:65" s="336" customFormat="1" x14ac:dyDescent="0.2">
      <c r="B173" s="337"/>
      <c r="D173" s="338" t="s">
        <v>122</v>
      </c>
      <c r="E173" s="339" t="s">
        <v>1</v>
      </c>
      <c r="F173" s="340" t="s">
        <v>942</v>
      </c>
      <c r="H173" s="341">
        <v>72.989999999999995</v>
      </c>
      <c r="L173" s="337"/>
      <c r="M173" s="342"/>
      <c r="N173" s="343"/>
      <c r="O173" s="343"/>
      <c r="P173" s="343"/>
      <c r="Q173" s="343"/>
      <c r="R173" s="343"/>
      <c r="S173" s="343"/>
      <c r="T173" s="344"/>
      <c r="AT173" s="339" t="s">
        <v>122</v>
      </c>
      <c r="AU173" s="339" t="s">
        <v>120</v>
      </c>
      <c r="AV173" s="336" t="s">
        <v>120</v>
      </c>
      <c r="AW173" s="336" t="s">
        <v>28</v>
      </c>
      <c r="AX173" s="336" t="s">
        <v>72</v>
      </c>
      <c r="AY173" s="339" t="s">
        <v>113</v>
      </c>
    </row>
    <row r="174" spans="1:65" s="336" customFormat="1" x14ac:dyDescent="0.2">
      <c r="B174" s="337"/>
      <c r="D174" s="338" t="s">
        <v>122</v>
      </c>
      <c r="E174" s="339" t="s">
        <v>1</v>
      </c>
      <c r="F174" s="340" t="s">
        <v>943</v>
      </c>
      <c r="H174" s="341">
        <v>13</v>
      </c>
      <c r="L174" s="337"/>
      <c r="M174" s="342"/>
      <c r="N174" s="343"/>
      <c r="O174" s="343"/>
      <c r="P174" s="343"/>
      <c r="Q174" s="343"/>
      <c r="R174" s="343"/>
      <c r="S174" s="343"/>
      <c r="T174" s="344"/>
      <c r="AT174" s="339" t="s">
        <v>122</v>
      </c>
      <c r="AU174" s="339" t="s">
        <v>120</v>
      </c>
      <c r="AV174" s="336" t="s">
        <v>120</v>
      </c>
      <c r="AW174" s="336" t="s">
        <v>28</v>
      </c>
      <c r="AX174" s="336" t="s">
        <v>72</v>
      </c>
      <c r="AY174" s="339" t="s">
        <v>113</v>
      </c>
    </row>
    <row r="175" spans="1:65" s="345" customFormat="1" x14ac:dyDescent="0.2">
      <c r="B175" s="346"/>
      <c r="D175" s="338" t="s">
        <v>122</v>
      </c>
      <c r="E175" s="347" t="s">
        <v>1</v>
      </c>
      <c r="F175" s="348" t="s">
        <v>128</v>
      </c>
      <c r="H175" s="349">
        <f>SUM(H173:H174)</f>
        <v>85.99</v>
      </c>
      <c r="L175" s="346"/>
      <c r="M175" s="350"/>
      <c r="N175" s="351"/>
      <c r="O175" s="351"/>
      <c r="P175" s="351"/>
      <c r="Q175" s="351"/>
      <c r="R175" s="351"/>
      <c r="S175" s="351"/>
      <c r="T175" s="352"/>
      <c r="AT175" s="347" t="s">
        <v>122</v>
      </c>
      <c r="AU175" s="347" t="s">
        <v>120</v>
      </c>
      <c r="AV175" s="345" t="s">
        <v>119</v>
      </c>
      <c r="AW175" s="345" t="s">
        <v>28</v>
      </c>
      <c r="AX175" s="345" t="s">
        <v>77</v>
      </c>
      <c r="AY175" s="347" t="s">
        <v>113</v>
      </c>
    </row>
    <row r="176" spans="1:65" s="249" customFormat="1" ht="22.9" customHeight="1" x14ac:dyDescent="0.2">
      <c r="B176" s="257"/>
      <c r="D176" s="251" t="s">
        <v>71</v>
      </c>
      <c r="E176" s="334" t="s">
        <v>158</v>
      </c>
      <c r="F176" s="334" t="s">
        <v>181</v>
      </c>
      <c r="J176" s="335">
        <f>SUM(J177,J179,J181,J183:J184,J191,J200,J207:J210,J212:J213,J215:J217)</f>
        <v>0</v>
      </c>
      <c r="L176" s="257"/>
      <c r="M176" s="256"/>
      <c r="N176" s="254"/>
      <c r="O176" s="254"/>
      <c r="P176" s="255"/>
      <c r="Q176" s="254"/>
      <c r="R176" s="255"/>
      <c r="S176" s="254"/>
      <c r="T176" s="253"/>
      <c r="AR176" s="251" t="s">
        <v>77</v>
      </c>
      <c r="AT176" s="252" t="s">
        <v>71</v>
      </c>
      <c r="AU176" s="252" t="s">
        <v>77</v>
      </c>
      <c r="AY176" s="251" t="s">
        <v>113</v>
      </c>
      <c r="BK176" s="250">
        <f>SUM(BK177:BK217)</f>
        <v>0</v>
      </c>
    </row>
    <row r="177" spans="1:65" s="2" customFormat="1" ht="24" customHeight="1" x14ac:dyDescent="0.2">
      <c r="A177" s="202"/>
      <c r="B177" s="135"/>
      <c r="C177" s="248">
        <v>13</v>
      </c>
      <c r="D177" s="248" t="s">
        <v>115</v>
      </c>
      <c r="E177" s="247" t="s">
        <v>944</v>
      </c>
      <c r="F177" s="246" t="s">
        <v>945</v>
      </c>
      <c r="G177" s="245" t="s">
        <v>161</v>
      </c>
      <c r="H177" s="244">
        <v>104.88</v>
      </c>
      <c r="I177" s="243"/>
      <c r="J177" s="243">
        <f>ROUND(I177*H177,2)</f>
        <v>0</v>
      </c>
      <c r="K177" s="142"/>
      <c r="L177" s="29"/>
      <c r="M177" s="242" t="s">
        <v>1</v>
      </c>
      <c r="N177" s="241"/>
      <c r="O177" s="238"/>
      <c r="P177" s="238"/>
      <c r="Q177" s="238"/>
      <c r="R177" s="238"/>
      <c r="S177" s="238"/>
      <c r="T177" s="237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R177" s="228" t="s">
        <v>119</v>
      </c>
      <c r="AT177" s="228" t="s">
        <v>115</v>
      </c>
      <c r="AU177" s="228" t="s">
        <v>120</v>
      </c>
      <c r="AY177" s="16" t="s">
        <v>113</v>
      </c>
      <c r="BE177" s="148">
        <f>IF(N177="základná",J177,0)</f>
        <v>0</v>
      </c>
      <c r="BF177" s="148">
        <f>IF(N177="znížená",J177,0)</f>
        <v>0</v>
      </c>
      <c r="BG177" s="148">
        <f>IF(N177="zákl. prenesená",J177,0)</f>
        <v>0</v>
      </c>
      <c r="BH177" s="148">
        <f>IF(N177="zníž. prenesená",J177,0)</f>
        <v>0</v>
      </c>
      <c r="BI177" s="148">
        <f>IF(N177="nulová",J177,0)</f>
        <v>0</v>
      </c>
      <c r="BJ177" s="16" t="s">
        <v>120</v>
      </c>
      <c r="BK177" s="148">
        <f>ROUND(I177*H177,2)</f>
        <v>0</v>
      </c>
      <c r="BL177" s="16" t="s">
        <v>119</v>
      </c>
      <c r="BM177" s="228" t="s">
        <v>946</v>
      </c>
    </row>
    <row r="178" spans="1:65" s="336" customFormat="1" x14ac:dyDescent="0.2">
      <c r="B178" s="337"/>
      <c r="D178" s="338" t="s">
        <v>122</v>
      </c>
      <c r="E178" s="339" t="s">
        <v>1</v>
      </c>
      <c r="F178" s="340" t="s">
        <v>947</v>
      </c>
      <c r="H178" s="341">
        <f>(14.4+8.4)*4.6</f>
        <v>104.88</v>
      </c>
      <c r="L178" s="337"/>
      <c r="M178" s="342"/>
      <c r="N178" s="343"/>
      <c r="O178" s="343"/>
      <c r="P178" s="343"/>
      <c r="Q178" s="343"/>
      <c r="R178" s="343"/>
      <c r="S178" s="343"/>
      <c r="T178" s="344"/>
      <c r="V178" s="340"/>
      <c r="AT178" s="339" t="s">
        <v>122</v>
      </c>
      <c r="AU178" s="339" t="s">
        <v>120</v>
      </c>
      <c r="AV178" s="336" t="s">
        <v>120</v>
      </c>
      <c r="AW178" s="336" t="s">
        <v>28</v>
      </c>
      <c r="AX178" s="336" t="s">
        <v>72</v>
      </c>
      <c r="AY178" s="339" t="s">
        <v>113</v>
      </c>
    </row>
    <row r="179" spans="1:65" s="2" customFormat="1" ht="24" customHeight="1" x14ac:dyDescent="0.2">
      <c r="A179" s="202"/>
      <c r="B179" s="135"/>
      <c r="C179" s="248">
        <v>14</v>
      </c>
      <c r="D179" s="248" t="s">
        <v>115</v>
      </c>
      <c r="E179" s="247" t="s">
        <v>948</v>
      </c>
      <c r="F179" s="246" t="s">
        <v>949</v>
      </c>
      <c r="G179" s="245" t="s">
        <v>161</v>
      </c>
      <c r="H179" s="244">
        <v>104.88</v>
      </c>
      <c r="I179" s="243"/>
      <c r="J179" s="243">
        <f>ROUND(I179*H179,2)</f>
        <v>0</v>
      </c>
      <c r="K179" s="142"/>
      <c r="L179" s="29"/>
      <c r="M179" s="242" t="s">
        <v>1</v>
      </c>
      <c r="N179" s="241"/>
      <c r="O179" s="238"/>
      <c r="P179" s="238"/>
      <c r="Q179" s="238"/>
      <c r="R179" s="238"/>
      <c r="S179" s="238"/>
      <c r="T179" s="237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R179" s="228" t="s">
        <v>119</v>
      </c>
      <c r="AT179" s="228" t="s">
        <v>115</v>
      </c>
      <c r="AU179" s="228" t="s">
        <v>120</v>
      </c>
      <c r="AY179" s="16" t="s">
        <v>113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6" t="s">
        <v>120</v>
      </c>
      <c r="BK179" s="148">
        <f>ROUND(I179*H179,2)</f>
        <v>0</v>
      </c>
      <c r="BL179" s="16" t="s">
        <v>119</v>
      </c>
      <c r="BM179" s="228" t="s">
        <v>950</v>
      </c>
    </row>
    <row r="180" spans="1:65" s="336" customFormat="1" x14ac:dyDescent="0.2">
      <c r="B180" s="337"/>
      <c r="D180" s="338" t="s">
        <v>122</v>
      </c>
      <c r="E180" s="339" t="s">
        <v>1</v>
      </c>
      <c r="F180" s="340">
        <v>307.2</v>
      </c>
      <c r="H180" s="341">
        <v>307.2</v>
      </c>
      <c r="L180" s="337"/>
      <c r="M180" s="342"/>
      <c r="N180" s="343"/>
      <c r="O180" s="343"/>
      <c r="P180" s="343"/>
      <c r="Q180" s="343"/>
      <c r="R180" s="343"/>
      <c r="S180" s="343"/>
      <c r="T180" s="344"/>
      <c r="AT180" s="339" t="s">
        <v>122</v>
      </c>
      <c r="AU180" s="339" t="s">
        <v>120</v>
      </c>
      <c r="AV180" s="336" t="s">
        <v>120</v>
      </c>
      <c r="AW180" s="336" t="s">
        <v>28</v>
      </c>
      <c r="AX180" s="336" t="s">
        <v>77</v>
      </c>
      <c r="AY180" s="339" t="s">
        <v>113</v>
      </c>
    </row>
    <row r="181" spans="1:65" s="2" customFormat="1" ht="36" customHeight="1" x14ac:dyDescent="0.2">
      <c r="A181" s="202"/>
      <c r="B181" s="135"/>
      <c r="C181" s="248">
        <v>15</v>
      </c>
      <c r="D181" s="248" t="s">
        <v>115</v>
      </c>
      <c r="E181" s="247" t="s">
        <v>951</v>
      </c>
      <c r="F181" s="246" t="s">
        <v>952</v>
      </c>
      <c r="G181" s="245" t="s">
        <v>161</v>
      </c>
      <c r="H181" s="244">
        <v>104.88</v>
      </c>
      <c r="I181" s="243"/>
      <c r="J181" s="243">
        <f>ROUND(I181*H181,2)</f>
        <v>0</v>
      </c>
      <c r="K181" s="142"/>
      <c r="L181" s="29"/>
      <c r="M181" s="242" t="s">
        <v>1</v>
      </c>
      <c r="N181" s="241"/>
      <c r="O181" s="238"/>
      <c r="P181" s="238"/>
      <c r="Q181" s="238"/>
      <c r="R181" s="238"/>
      <c r="S181" s="238"/>
      <c r="T181" s="237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R181" s="228" t="s">
        <v>119</v>
      </c>
      <c r="AT181" s="228" t="s">
        <v>115</v>
      </c>
      <c r="AU181" s="228" t="s">
        <v>120</v>
      </c>
      <c r="AY181" s="16" t="s">
        <v>113</v>
      </c>
      <c r="BE181" s="148">
        <f>IF(N181="základná",J181,0)</f>
        <v>0</v>
      </c>
      <c r="BF181" s="148">
        <f>IF(N181="znížená",J181,0)</f>
        <v>0</v>
      </c>
      <c r="BG181" s="148">
        <f>IF(N181="zákl. prenesená",J181,0)</f>
        <v>0</v>
      </c>
      <c r="BH181" s="148">
        <f>IF(N181="zníž. prenesená",J181,0)</f>
        <v>0</v>
      </c>
      <c r="BI181" s="148">
        <f>IF(N181="nulová",J181,0)</f>
        <v>0</v>
      </c>
      <c r="BJ181" s="16" t="s">
        <v>120</v>
      </c>
      <c r="BK181" s="148">
        <f>ROUND(I181*H181,2)</f>
        <v>0</v>
      </c>
      <c r="BL181" s="16" t="s">
        <v>119</v>
      </c>
      <c r="BM181" s="228" t="s">
        <v>953</v>
      </c>
    </row>
    <row r="182" spans="1:65" s="336" customFormat="1" x14ac:dyDescent="0.2">
      <c r="B182" s="337"/>
      <c r="D182" s="338" t="s">
        <v>122</v>
      </c>
      <c r="E182" s="339" t="s">
        <v>1</v>
      </c>
      <c r="F182" s="340">
        <v>104.88</v>
      </c>
      <c r="H182" s="341">
        <v>104.88</v>
      </c>
      <c r="L182" s="337"/>
      <c r="M182" s="342"/>
      <c r="N182" s="343"/>
      <c r="O182" s="343"/>
      <c r="P182" s="343"/>
      <c r="Q182" s="343"/>
      <c r="R182" s="343"/>
      <c r="S182" s="343"/>
      <c r="T182" s="344"/>
      <c r="V182" s="340"/>
      <c r="AT182" s="339" t="s">
        <v>122</v>
      </c>
      <c r="AU182" s="339" t="s">
        <v>120</v>
      </c>
      <c r="AV182" s="336" t="s">
        <v>120</v>
      </c>
      <c r="AW182" s="336" t="s">
        <v>28</v>
      </c>
      <c r="AX182" s="336" t="s">
        <v>77</v>
      </c>
      <c r="AY182" s="339" t="s">
        <v>113</v>
      </c>
    </row>
    <row r="183" spans="1:65" s="2" customFormat="1" ht="24" x14ac:dyDescent="0.2">
      <c r="A183" s="202"/>
      <c r="B183" s="135"/>
      <c r="C183" s="248">
        <v>16</v>
      </c>
      <c r="D183" s="248" t="s">
        <v>115</v>
      </c>
      <c r="E183" s="247" t="s">
        <v>954</v>
      </c>
      <c r="F183" s="246" t="s">
        <v>955</v>
      </c>
      <c r="G183" s="245" t="s">
        <v>161</v>
      </c>
      <c r="H183" s="244">
        <f>(14.4+8.4)*2</f>
        <v>45.6</v>
      </c>
      <c r="I183" s="243"/>
      <c r="J183" s="243">
        <f>ROUND(I183*H183,2)</f>
        <v>0</v>
      </c>
      <c r="K183" s="142"/>
      <c r="L183" s="29"/>
      <c r="M183" s="242" t="s">
        <v>1</v>
      </c>
      <c r="N183" s="241"/>
      <c r="O183" s="238"/>
      <c r="P183" s="238"/>
      <c r="Q183" s="238"/>
      <c r="R183" s="238"/>
      <c r="S183" s="238"/>
      <c r="T183" s="237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R183" s="228" t="s">
        <v>119</v>
      </c>
      <c r="AT183" s="228" t="s">
        <v>115</v>
      </c>
      <c r="AU183" s="228" t="s">
        <v>120</v>
      </c>
      <c r="AY183" s="16" t="s">
        <v>113</v>
      </c>
      <c r="BE183" s="148">
        <f>IF(N183="základná",J183,0)</f>
        <v>0</v>
      </c>
      <c r="BF183" s="148">
        <f>IF(N183="znížená",J183,0)</f>
        <v>0</v>
      </c>
      <c r="BG183" s="148">
        <f>IF(N183="zákl. prenesená",J183,0)</f>
        <v>0</v>
      </c>
      <c r="BH183" s="148">
        <f>IF(N183="zníž. prenesená",J183,0)</f>
        <v>0</v>
      </c>
      <c r="BI183" s="148">
        <f>IF(N183="nulová",J183,0)</f>
        <v>0</v>
      </c>
      <c r="BJ183" s="16" t="s">
        <v>120</v>
      </c>
      <c r="BK183" s="148">
        <f>ROUND(I183*H183,2)</f>
        <v>0</v>
      </c>
      <c r="BL183" s="16" t="s">
        <v>119</v>
      </c>
      <c r="BM183" s="228" t="s">
        <v>956</v>
      </c>
    </row>
    <row r="184" spans="1:65" s="2" customFormat="1" ht="16.5" customHeight="1" x14ac:dyDescent="0.2">
      <c r="A184" s="202"/>
      <c r="B184" s="135"/>
      <c r="C184" s="248">
        <v>17</v>
      </c>
      <c r="D184" s="248" t="s">
        <v>115</v>
      </c>
      <c r="E184" s="247" t="s">
        <v>957</v>
      </c>
      <c r="F184" s="246" t="s">
        <v>958</v>
      </c>
      <c r="G184" s="245" t="s">
        <v>151</v>
      </c>
      <c r="H184" s="244">
        <v>41</v>
      </c>
      <c r="I184" s="243"/>
      <c r="J184" s="243">
        <f>ROUND(I184*H184,2)</f>
        <v>0</v>
      </c>
      <c r="K184" s="142"/>
      <c r="L184" s="29"/>
      <c r="M184" s="242" t="s">
        <v>1</v>
      </c>
      <c r="N184" s="241"/>
      <c r="O184" s="238"/>
      <c r="P184" s="238"/>
      <c r="Q184" s="238"/>
      <c r="R184" s="238"/>
      <c r="S184" s="238"/>
      <c r="T184" s="237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R184" s="228" t="s">
        <v>119</v>
      </c>
      <c r="AT184" s="228" t="s">
        <v>115</v>
      </c>
      <c r="AU184" s="228" t="s">
        <v>120</v>
      </c>
      <c r="AY184" s="16" t="s">
        <v>113</v>
      </c>
      <c r="BE184" s="148">
        <f>IF(N184="základná",J184,0)</f>
        <v>0</v>
      </c>
      <c r="BF184" s="148">
        <f>IF(N184="znížená",J184,0)</f>
        <v>0</v>
      </c>
      <c r="BG184" s="148">
        <f>IF(N184="zákl. prenesená",J184,0)</f>
        <v>0</v>
      </c>
      <c r="BH184" s="148">
        <f>IF(N184="zníž. prenesená",J184,0)</f>
        <v>0</v>
      </c>
      <c r="BI184" s="148">
        <f>IF(N184="nulová",J184,0)</f>
        <v>0</v>
      </c>
      <c r="BJ184" s="16" t="s">
        <v>120</v>
      </c>
      <c r="BK184" s="148">
        <f>ROUND(I184*H184,2)</f>
        <v>0</v>
      </c>
      <c r="BL184" s="16" t="s">
        <v>119</v>
      </c>
      <c r="BM184" s="228" t="s">
        <v>956</v>
      </c>
    </row>
    <row r="185" spans="1:65" s="354" customFormat="1" x14ac:dyDescent="0.2">
      <c r="B185" s="355"/>
      <c r="D185" s="338" t="s">
        <v>122</v>
      </c>
      <c r="E185" s="356" t="s">
        <v>1</v>
      </c>
      <c r="F185" s="340" t="s">
        <v>914</v>
      </c>
      <c r="H185" s="356" t="s">
        <v>1</v>
      </c>
      <c r="L185" s="355"/>
      <c r="M185" s="357"/>
      <c r="N185" s="358"/>
      <c r="O185" s="358"/>
      <c r="P185" s="358"/>
      <c r="Q185" s="358"/>
      <c r="R185" s="358"/>
      <c r="S185" s="358"/>
      <c r="T185" s="359"/>
      <c r="AT185" s="356" t="s">
        <v>122</v>
      </c>
      <c r="AU185" s="356" t="s">
        <v>120</v>
      </c>
      <c r="AV185" s="354" t="s">
        <v>77</v>
      </c>
      <c r="AW185" s="354" t="s">
        <v>28</v>
      </c>
      <c r="AX185" s="354" t="s">
        <v>72</v>
      </c>
      <c r="AY185" s="356" t="s">
        <v>113</v>
      </c>
    </row>
    <row r="186" spans="1:65" s="336" customFormat="1" x14ac:dyDescent="0.2">
      <c r="B186" s="337"/>
      <c r="D186" s="338" t="s">
        <v>122</v>
      </c>
      <c r="E186" s="339" t="s">
        <v>1</v>
      </c>
      <c r="F186" s="340" t="s">
        <v>959</v>
      </c>
      <c r="H186" s="341">
        <f>(1.8+1.5+1.8)*5</f>
        <v>25.5</v>
      </c>
      <c r="L186" s="337"/>
      <c r="M186" s="342"/>
      <c r="N186" s="343"/>
      <c r="O186" s="343"/>
      <c r="P186" s="343"/>
      <c r="Q186" s="343"/>
      <c r="R186" s="343"/>
      <c r="S186" s="343"/>
      <c r="T186" s="344"/>
      <c r="AT186" s="339" t="s">
        <v>122</v>
      </c>
      <c r="AU186" s="339" t="s">
        <v>120</v>
      </c>
      <c r="AV186" s="336" t="s">
        <v>120</v>
      </c>
      <c r="AW186" s="336" t="s">
        <v>28</v>
      </c>
      <c r="AX186" s="336" t="s">
        <v>72</v>
      </c>
      <c r="AY186" s="339" t="s">
        <v>113</v>
      </c>
    </row>
    <row r="187" spans="1:65" s="354" customFormat="1" x14ac:dyDescent="0.2">
      <c r="B187" s="355"/>
      <c r="D187" s="338" t="s">
        <v>122</v>
      </c>
      <c r="E187" s="356" t="s">
        <v>1</v>
      </c>
      <c r="F187" s="340" t="s">
        <v>960</v>
      </c>
      <c r="H187" s="341">
        <f>1.8+1.2+1.8</f>
        <v>4.8</v>
      </c>
      <c r="L187" s="355"/>
      <c r="M187" s="357"/>
      <c r="N187" s="358"/>
      <c r="O187" s="358"/>
      <c r="P187" s="358"/>
      <c r="Q187" s="358"/>
      <c r="R187" s="358"/>
      <c r="S187" s="358"/>
      <c r="T187" s="359"/>
      <c r="AT187" s="356" t="s">
        <v>122</v>
      </c>
      <c r="AU187" s="356" t="s">
        <v>120</v>
      </c>
      <c r="AV187" s="354" t="s">
        <v>77</v>
      </c>
      <c r="AW187" s="354" t="s">
        <v>28</v>
      </c>
      <c r="AX187" s="354" t="s">
        <v>72</v>
      </c>
      <c r="AY187" s="356" t="s">
        <v>113</v>
      </c>
    </row>
    <row r="188" spans="1:65" s="354" customFormat="1" x14ac:dyDescent="0.2">
      <c r="B188" s="355"/>
      <c r="D188" s="338" t="s">
        <v>122</v>
      </c>
      <c r="E188" s="356"/>
      <c r="F188" s="340" t="s">
        <v>961</v>
      </c>
      <c r="H188" s="341">
        <f>2.1+1.3+2.1</f>
        <v>5.5</v>
      </c>
      <c r="L188" s="355"/>
      <c r="M188" s="357"/>
      <c r="N188" s="358"/>
      <c r="O188" s="358"/>
      <c r="P188" s="358"/>
      <c r="Q188" s="358"/>
      <c r="R188" s="358"/>
      <c r="S188" s="358"/>
      <c r="T188" s="359"/>
      <c r="AT188" s="356"/>
      <c r="AU188" s="356"/>
      <c r="AY188" s="356"/>
    </row>
    <row r="189" spans="1:65" s="336" customFormat="1" x14ac:dyDescent="0.2">
      <c r="B189" s="337"/>
      <c r="D189" s="338" t="s">
        <v>122</v>
      </c>
      <c r="E189" s="339" t="s">
        <v>1</v>
      </c>
      <c r="F189" s="340" t="s">
        <v>962</v>
      </c>
      <c r="H189" s="341">
        <f>2.1+1+2.1</f>
        <v>5.2</v>
      </c>
      <c r="L189" s="337"/>
      <c r="M189" s="342"/>
      <c r="N189" s="343"/>
      <c r="O189" s="343"/>
      <c r="P189" s="343"/>
      <c r="Q189" s="343"/>
      <c r="R189" s="343"/>
      <c r="S189" s="343"/>
      <c r="T189" s="344"/>
      <c r="AT189" s="339" t="s">
        <v>122</v>
      </c>
      <c r="AU189" s="339" t="s">
        <v>120</v>
      </c>
      <c r="AV189" s="336" t="s">
        <v>120</v>
      </c>
      <c r="AW189" s="336" t="s">
        <v>28</v>
      </c>
      <c r="AX189" s="336" t="s">
        <v>72</v>
      </c>
      <c r="AY189" s="339" t="s">
        <v>113</v>
      </c>
    </row>
    <row r="190" spans="1:65" s="345" customFormat="1" x14ac:dyDescent="0.2">
      <c r="B190" s="346"/>
      <c r="D190" s="338" t="s">
        <v>122</v>
      </c>
      <c r="E190" s="347" t="s">
        <v>1</v>
      </c>
      <c r="F190" s="348" t="s">
        <v>128</v>
      </c>
      <c r="H190" s="349">
        <f>SUM(H186:H189)</f>
        <v>41</v>
      </c>
      <c r="L190" s="346"/>
      <c r="M190" s="350"/>
      <c r="N190" s="351"/>
      <c r="O190" s="351"/>
      <c r="P190" s="351"/>
      <c r="Q190" s="351"/>
      <c r="R190" s="351"/>
      <c r="S190" s="351"/>
      <c r="T190" s="352"/>
      <c r="AT190" s="347" t="s">
        <v>122</v>
      </c>
      <c r="AU190" s="347" t="s">
        <v>120</v>
      </c>
      <c r="AV190" s="345" t="s">
        <v>119</v>
      </c>
      <c r="AW190" s="345" t="s">
        <v>28</v>
      </c>
      <c r="AX190" s="345" t="s">
        <v>77</v>
      </c>
      <c r="AY190" s="347" t="s">
        <v>113</v>
      </c>
    </row>
    <row r="191" spans="1:65" s="2" customFormat="1" ht="24" customHeight="1" x14ac:dyDescent="0.2">
      <c r="A191" s="202"/>
      <c r="B191" s="135"/>
      <c r="C191" s="248">
        <v>18</v>
      </c>
      <c r="D191" s="248" t="s">
        <v>115</v>
      </c>
      <c r="E191" s="247" t="s">
        <v>963</v>
      </c>
      <c r="F191" s="246" t="s">
        <v>964</v>
      </c>
      <c r="G191" s="245" t="s">
        <v>151</v>
      </c>
      <c r="H191" s="244">
        <v>50.2</v>
      </c>
      <c r="I191" s="243"/>
      <c r="J191" s="243">
        <f>ROUND(I191*H191,2)</f>
        <v>0</v>
      </c>
      <c r="K191" s="142"/>
      <c r="L191" s="29"/>
      <c r="M191" s="242" t="s">
        <v>1</v>
      </c>
      <c r="N191" s="241"/>
      <c r="O191" s="238"/>
      <c r="P191" s="238"/>
      <c r="Q191" s="238"/>
      <c r="R191" s="238"/>
      <c r="S191" s="238"/>
      <c r="T191" s="237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R191" s="228" t="s">
        <v>119</v>
      </c>
      <c r="AT191" s="228" t="s">
        <v>115</v>
      </c>
      <c r="AU191" s="228" t="s">
        <v>120</v>
      </c>
      <c r="AY191" s="16" t="s">
        <v>113</v>
      </c>
      <c r="BE191" s="148">
        <f>IF(N191="základná",J191,0)</f>
        <v>0</v>
      </c>
      <c r="BF191" s="148">
        <f>IF(N191="znížená",J191,0)</f>
        <v>0</v>
      </c>
      <c r="BG191" s="148">
        <f>IF(N191="zákl. prenesená",J191,0)</f>
        <v>0</v>
      </c>
      <c r="BH191" s="148">
        <f>IF(N191="zníž. prenesená",J191,0)</f>
        <v>0</v>
      </c>
      <c r="BI191" s="148">
        <f>IF(N191="nulová",J191,0)</f>
        <v>0</v>
      </c>
      <c r="BJ191" s="16" t="s">
        <v>120</v>
      </c>
      <c r="BK191" s="148">
        <f>ROUND(I191*H191,2)</f>
        <v>0</v>
      </c>
      <c r="BL191" s="16" t="s">
        <v>119</v>
      </c>
      <c r="BM191" s="228" t="s">
        <v>965</v>
      </c>
    </row>
    <row r="192" spans="1:65" s="354" customFormat="1" x14ac:dyDescent="0.2">
      <c r="B192" s="355"/>
      <c r="D192" s="338" t="s">
        <v>122</v>
      </c>
      <c r="E192" s="356" t="s">
        <v>1</v>
      </c>
      <c r="F192" s="340" t="s">
        <v>914</v>
      </c>
      <c r="H192" s="356" t="s">
        <v>1</v>
      </c>
      <c r="L192" s="355"/>
      <c r="M192" s="357"/>
      <c r="N192" s="358"/>
      <c r="O192" s="358"/>
      <c r="P192" s="358"/>
      <c r="Q192" s="358"/>
      <c r="R192" s="358"/>
      <c r="S192" s="358"/>
      <c r="T192" s="359"/>
      <c r="AT192" s="356" t="s">
        <v>122</v>
      </c>
      <c r="AU192" s="356" t="s">
        <v>120</v>
      </c>
      <c r="AV192" s="354" t="s">
        <v>77</v>
      </c>
      <c r="AW192" s="354" t="s">
        <v>28</v>
      </c>
      <c r="AX192" s="354" t="s">
        <v>72</v>
      </c>
      <c r="AY192" s="356" t="s">
        <v>113</v>
      </c>
    </row>
    <row r="193" spans="1:65" s="336" customFormat="1" x14ac:dyDescent="0.2">
      <c r="B193" s="337"/>
      <c r="D193" s="338" t="s">
        <v>122</v>
      </c>
      <c r="E193" s="339" t="s">
        <v>1</v>
      </c>
      <c r="F193" s="340" t="s">
        <v>959</v>
      </c>
      <c r="H193" s="341">
        <f>(1.8+1.5+1.8)*5</f>
        <v>25.5</v>
      </c>
      <c r="L193" s="337"/>
      <c r="M193" s="342"/>
      <c r="N193" s="343"/>
      <c r="O193" s="343"/>
      <c r="P193" s="343"/>
      <c r="Q193" s="343"/>
      <c r="R193" s="343"/>
      <c r="S193" s="343"/>
      <c r="T193" s="344"/>
      <c r="AT193" s="339" t="s">
        <v>122</v>
      </c>
      <c r="AU193" s="339" t="s">
        <v>120</v>
      </c>
      <c r="AV193" s="336" t="s">
        <v>120</v>
      </c>
      <c r="AW193" s="336" t="s">
        <v>28</v>
      </c>
      <c r="AX193" s="336" t="s">
        <v>72</v>
      </c>
      <c r="AY193" s="339" t="s">
        <v>113</v>
      </c>
    </row>
    <row r="194" spans="1:65" s="354" customFormat="1" x14ac:dyDescent="0.2">
      <c r="B194" s="355"/>
      <c r="D194" s="338" t="s">
        <v>122</v>
      </c>
      <c r="E194" s="356" t="s">
        <v>1</v>
      </c>
      <c r="F194" s="340" t="s">
        <v>960</v>
      </c>
      <c r="H194" s="341">
        <f>1.8+1.2+1.8</f>
        <v>4.8</v>
      </c>
      <c r="L194" s="355"/>
      <c r="M194" s="357"/>
      <c r="N194" s="358"/>
      <c r="O194" s="358"/>
      <c r="P194" s="358"/>
      <c r="Q194" s="358"/>
      <c r="R194" s="358"/>
      <c r="S194" s="358"/>
      <c r="T194" s="359"/>
      <c r="AT194" s="356" t="s">
        <v>122</v>
      </c>
      <c r="AU194" s="356" t="s">
        <v>120</v>
      </c>
      <c r="AV194" s="354" t="s">
        <v>77</v>
      </c>
      <c r="AW194" s="354" t="s">
        <v>28</v>
      </c>
      <c r="AX194" s="354" t="s">
        <v>72</v>
      </c>
      <c r="AY194" s="356" t="s">
        <v>113</v>
      </c>
    </row>
    <row r="195" spans="1:65" s="354" customFormat="1" x14ac:dyDescent="0.2">
      <c r="B195" s="355"/>
      <c r="D195" s="338" t="s">
        <v>122</v>
      </c>
      <c r="E195" s="356"/>
      <c r="F195" s="340" t="s">
        <v>961</v>
      </c>
      <c r="H195" s="341">
        <f>2.1+1.3+2.1</f>
        <v>5.5</v>
      </c>
      <c r="L195" s="355"/>
      <c r="M195" s="357"/>
      <c r="N195" s="358"/>
      <c r="O195" s="358"/>
      <c r="P195" s="358"/>
      <c r="Q195" s="358"/>
      <c r="R195" s="358"/>
      <c r="S195" s="358"/>
      <c r="T195" s="359"/>
      <c r="AT195" s="356"/>
      <c r="AU195" s="356"/>
      <c r="AY195" s="356"/>
    </row>
    <row r="196" spans="1:65" s="354" customFormat="1" x14ac:dyDescent="0.2">
      <c r="B196" s="355"/>
      <c r="D196" s="338" t="s">
        <v>122</v>
      </c>
      <c r="E196" s="339" t="s">
        <v>1</v>
      </c>
      <c r="F196" s="340" t="s">
        <v>962</v>
      </c>
      <c r="G196" s="336"/>
      <c r="H196" s="341">
        <f>2.1+1+2.1</f>
        <v>5.2</v>
      </c>
      <c r="L196" s="355"/>
      <c r="M196" s="357"/>
      <c r="N196" s="358"/>
      <c r="O196" s="358"/>
      <c r="P196" s="358"/>
      <c r="Q196" s="358"/>
      <c r="R196" s="358"/>
      <c r="S196" s="358"/>
      <c r="T196" s="359"/>
      <c r="AT196" s="356"/>
      <c r="AU196" s="356"/>
      <c r="AY196" s="356"/>
    </row>
    <row r="197" spans="1:65" s="354" customFormat="1" x14ac:dyDescent="0.2">
      <c r="B197" s="355"/>
      <c r="D197" s="338"/>
      <c r="E197" s="339"/>
      <c r="F197" s="340" t="s">
        <v>966</v>
      </c>
      <c r="G197" s="336"/>
      <c r="H197" s="341"/>
      <c r="L197" s="355"/>
      <c r="M197" s="357"/>
      <c r="N197" s="358"/>
      <c r="O197" s="358"/>
      <c r="P197" s="358"/>
      <c r="Q197" s="358"/>
      <c r="R197" s="358"/>
      <c r="S197" s="358"/>
      <c r="T197" s="359"/>
      <c r="AT197" s="356"/>
      <c r="AU197" s="356"/>
      <c r="AY197" s="356"/>
    </row>
    <row r="198" spans="1:65" s="336" customFormat="1" x14ac:dyDescent="0.2">
      <c r="B198" s="337"/>
      <c r="D198" s="338" t="s">
        <v>122</v>
      </c>
      <c r="E198" s="339" t="s">
        <v>1</v>
      </c>
      <c r="F198" s="340" t="s">
        <v>967</v>
      </c>
      <c r="H198" s="341">
        <f>4.6+4.6</f>
        <v>9.1999999999999993</v>
      </c>
      <c r="L198" s="337"/>
      <c r="M198" s="342"/>
      <c r="N198" s="343"/>
      <c r="O198" s="343"/>
      <c r="P198" s="343"/>
      <c r="Q198" s="343"/>
      <c r="R198" s="343"/>
      <c r="S198" s="343"/>
      <c r="T198" s="344"/>
      <c r="AT198" s="339" t="s">
        <v>122</v>
      </c>
      <c r="AU198" s="339" t="s">
        <v>120</v>
      </c>
      <c r="AV198" s="336" t="s">
        <v>120</v>
      </c>
      <c r="AW198" s="336" t="s">
        <v>28</v>
      </c>
      <c r="AX198" s="336" t="s">
        <v>72</v>
      </c>
      <c r="AY198" s="339" t="s">
        <v>113</v>
      </c>
    </row>
    <row r="199" spans="1:65" s="345" customFormat="1" x14ac:dyDescent="0.2">
      <c r="B199" s="346"/>
      <c r="D199" s="338" t="s">
        <v>122</v>
      </c>
      <c r="E199" s="347" t="s">
        <v>1</v>
      </c>
      <c r="F199" s="348" t="s">
        <v>128</v>
      </c>
      <c r="H199" s="349">
        <f>SUM(H193:H198)</f>
        <v>50.2</v>
      </c>
      <c r="L199" s="346"/>
      <c r="M199" s="350"/>
      <c r="N199" s="351"/>
      <c r="O199" s="351"/>
      <c r="P199" s="351"/>
      <c r="Q199" s="351"/>
      <c r="R199" s="351"/>
      <c r="S199" s="351"/>
      <c r="T199" s="352"/>
      <c r="AT199" s="347" t="s">
        <v>122</v>
      </c>
      <c r="AU199" s="347" t="s">
        <v>120</v>
      </c>
      <c r="AV199" s="345" t="s">
        <v>119</v>
      </c>
      <c r="AW199" s="345" t="s">
        <v>28</v>
      </c>
      <c r="AX199" s="345" t="s">
        <v>77</v>
      </c>
      <c r="AY199" s="347" t="s">
        <v>113</v>
      </c>
    </row>
    <row r="200" spans="1:65" s="2" customFormat="1" ht="24" customHeight="1" x14ac:dyDescent="0.2">
      <c r="A200" s="202"/>
      <c r="B200" s="135"/>
      <c r="C200" s="248">
        <v>19</v>
      </c>
      <c r="D200" s="248" t="s">
        <v>115</v>
      </c>
      <c r="E200" s="247" t="s">
        <v>968</v>
      </c>
      <c r="F200" s="246" t="s">
        <v>969</v>
      </c>
      <c r="G200" s="245" t="s">
        <v>151</v>
      </c>
      <c r="H200" s="244">
        <v>11</v>
      </c>
      <c r="I200" s="243"/>
      <c r="J200" s="243">
        <f>ROUND(I200*H200,2)</f>
        <v>0</v>
      </c>
      <c r="K200" s="142"/>
      <c r="L200" s="29"/>
      <c r="M200" s="242" t="s">
        <v>1</v>
      </c>
      <c r="N200" s="241"/>
      <c r="O200" s="238"/>
      <c r="P200" s="238"/>
      <c r="Q200" s="238"/>
      <c r="R200" s="238"/>
      <c r="S200" s="238"/>
      <c r="T200" s="237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R200" s="228" t="s">
        <v>119</v>
      </c>
      <c r="AT200" s="228" t="s">
        <v>115</v>
      </c>
      <c r="AU200" s="228" t="s">
        <v>120</v>
      </c>
      <c r="AY200" s="16" t="s">
        <v>113</v>
      </c>
      <c r="BE200" s="148">
        <f>IF(N200="základná",J200,0)</f>
        <v>0</v>
      </c>
      <c r="BF200" s="148">
        <f>IF(N200="znížená",J200,0)</f>
        <v>0</v>
      </c>
      <c r="BG200" s="148">
        <f>IF(N200="zákl. prenesená",J200,0)</f>
        <v>0</v>
      </c>
      <c r="BH200" s="148">
        <f>IF(N200="zníž. prenesená",J200,0)</f>
        <v>0</v>
      </c>
      <c r="BI200" s="148">
        <f>IF(N200="nulová",J200,0)</f>
        <v>0</v>
      </c>
      <c r="BJ200" s="16" t="s">
        <v>120</v>
      </c>
      <c r="BK200" s="148">
        <f>ROUND(I200*H200,2)</f>
        <v>0</v>
      </c>
      <c r="BL200" s="16" t="s">
        <v>119</v>
      </c>
      <c r="BM200" s="228" t="s">
        <v>970</v>
      </c>
    </row>
    <row r="201" spans="1:65" s="354" customFormat="1" x14ac:dyDescent="0.2">
      <c r="B201" s="355"/>
      <c r="D201" s="338" t="s">
        <v>122</v>
      </c>
      <c r="E201" s="356" t="s">
        <v>1</v>
      </c>
      <c r="F201" s="340" t="s">
        <v>914</v>
      </c>
      <c r="H201" s="356" t="s">
        <v>1</v>
      </c>
      <c r="L201" s="355"/>
      <c r="M201" s="357"/>
      <c r="N201" s="358"/>
      <c r="O201" s="358"/>
      <c r="P201" s="358"/>
      <c r="Q201" s="358"/>
      <c r="R201" s="358"/>
      <c r="S201" s="358"/>
      <c r="T201" s="359"/>
      <c r="AT201" s="356" t="s">
        <v>122</v>
      </c>
      <c r="AU201" s="356" t="s">
        <v>120</v>
      </c>
      <c r="AV201" s="354" t="s">
        <v>77</v>
      </c>
      <c r="AW201" s="354" t="s">
        <v>28</v>
      </c>
      <c r="AX201" s="354" t="s">
        <v>72</v>
      </c>
      <c r="AY201" s="356" t="s">
        <v>113</v>
      </c>
    </row>
    <row r="202" spans="1:65" s="336" customFormat="1" x14ac:dyDescent="0.2">
      <c r="B202" s="337"/>
      <c r="D202" s="338" t="s">
        <v>122</v>
      </c>
      <c r="E202" s="339" t="s">
        <v>1</v>
      </c>
      <c r="F202" s="340" t="s">
        <v>971</v>
      </c>
      <c r="H202" s="341">
        <f>1.5*5</f>
        <v>7.5</v>
      </c>
      <c r="L202" s="337"/>
      <c r="M202" s="342"/>
      <c r="N202" s="343"/>
      <c r="O202" s="343"/>
      <c r="P202" s="343"/>
      <c r="Q202" s="343"/>
      <c r="R202" s="343"/>
      <c r="S202" s="343"/>
      <c r="T202" s="344"/>
      <c r="AT202" s="339" t="s">
        <v>122</v>
      </c>
      <c r="AU202" s="339" t="s">
        <v>120</v>
      </c>
      <c r="AV202" s="336" t="s">
        <v>120</v>
      </c>
      <c r="AW202" s="336" t="s">
        <v>28</v>
      </c>
      <c r="AX202" s="336" t="s">
        <v>72</v>
      </c>
      <c r="AY202" s="339" t="s">
        <v>113</v>
      </c>
    </row>
    <row r="203" spans="1:65" s="354" customFormat="1" x14ac:dyDescent="0.2">
      <c r="B203" s="355"/>
      <c r="D203" s="338" t="s">
        <v>122</v>
      </c>
      <c r="E203" s="356" t="s">
        <v>1</v>
      </c>
      <c r="F203" s="340">
        <v>1.2</v>
      </c>
      <c r="H203" s="341">
        <v>1.2</v>
      </c>
      <c r="L203" s="355"/>
      <c r="M203" s="357"/>
      <c r="N203" s="358"/>
      <c r="O203" s="358"/>
      <c r="P203" s="358"/>
      <c r="Q203" s="358"/>
      <c r="R203" s="358"/>
      <c r="S203" s="358"/>
      <c r="T203" s="359"/>
      <c r="AT203" s="356" t="s">
        <v>122</v>
      </c>
      <c r="AU203" s="356" t="s">
        <v>120</v>
      </c>
      <c r="AV203" s="354" t="s">
        <v>77</v>
      </c>
      <c r="AW203" s="354" t="s">
        <v>28</v>
      </c>
      <c r="AX203" s="354" t="s">
        <v>72</v>
      </c>
      <c r="AY203" s="356" t="s">
        <v>113</v>
      </c>
    </row>
    <row r="204" spans="1:65" s="354" customFormat="1" x14ac:dyDescent="0.2">
      <c r="B204" s="355"/>
      <c r="D204" s="338" t="s">
        <v>122</v>
      </c>
      <c r="E204" s="356"/>
      <c r="F204" s="340">
        <v>1.3</v>
      </c>
      <c r="H204" s="341">
        <v>1.3</v>
      </c>
      <c r="L204" s="355"/>
      <c r="M204" s="357"/>
      <c r="N204" s="358"/>
      <c r="O204" s="358"/>
      <c r="P204" s="358"/>
      <c r="Q204" s="358"/>
      <c r="R204" s="358"/>
      <c r="S204" s="358"/>
      <c r="T204" s="359"/>
      <c r="AT204" s="356"/>
      <c r="AU204" s="356"/>
      <c r="AY204" s="356"/>
    </row>
    <row r="205" spans="1:65" s="336" customFormat="1" x14ac:dyDescent="0.2">
      <c r="B205" s="337"/>
      <c r="D205" s="338" t="s">
        <v>122</v>
      </c>
      <c r="E205" s="339" t="s">
        <v>1</v>
      </c>
      <c r="F205" s="340">
        <v>1</v>
      </c>
      <c r="H205" s="341">
        <v>1</v>
      </c>
      <c r="L205" s="337"/>
      <c r="M205" s="342"/>
      <c r="N205" s="343"/>
      <c r="O205" s="343"/>
      <c r="P205" s="343"/>
      <c r="Q205" s="343"/>
      <c r="R205" s="343"/>
      <c r="S205" s="343"/>
      <c r="T205" s="344"/>
      <c r="AT205" s="339" t="s">
        <v>122</v>
      </c>
      <c r="AU205" s="339" t="s">
        <v>120</v>
      </c>
      <c r="AV205" s="336" t="s">
        <v>120</v>
      </c>
      <c r="AW205" s="336" t="s">
        <v>28</v>
      </c>
      <c r="AX205" s="336" t="s">
        <v>72</v>
      </c>
      <c r="AY205" s="339" t="s">
        <v>113</v>
      </c>
    </row>
    <row r="206" spans="1:65" s="345" customFormat="1" x14ac:dyDescent="0.2">
      <c r="B206" s="346"/>
      <c r="D206" s="338" t="s">
        <v>122</v>
      </c>
      <c r="E206" s="347" t="s">
        <v>1</v>
      </c>
      <c r="F206" s="348" t="s">
        <v>128</v>
      </c>
      <c r="H206" s="349">
        <f>SUM(H202:H205)</f>
        <v>11</v>
      </c>
      <c r="L206" s="346"/>
      <c r="M206" s="350"/>
      <c r="N206" s="351"/>
      <c r="O206" s="351"/>
      <c r="P206" s="351"/>
      <c r="Q206" s="351"/>
      <c r="R206" s="351"/>
      <c r="S206" s="351"/>
      <c r="T206" s="352"/>
      <c r="AT206" s="347" t="s">
        <v>122</v>
      </c>
      <c r="AU206" s="347" t="s">
        <v>120</v>
      </c>
      <c r="AV206" s="345" t="s">
        <v>119</v>
      </c>
      <c r="AW206" s="345" t="s">
        <v>28</v>
      </c>
      <c r="AX206" s="345" t="s">
        <v>77</v>
      </c>
      <c r="AY206" s="347" t="s">
        <v>113</v>
      </c>
    </row>
    <row r="207" spans="1:65" s="2" customFormat="1" ht="24" customHeight="1" x14ac:dyDescent="0.2">
      <c r="A207" s="202"/>
      <c r="B207" s="135"/>
      <c r="C207" s="248">
        <v>20</v>
      </c>
      <c r="D207" s="248" t="s">
        <v>115</v>
      </c>
      <c r="E207" s="247" t="s">
        <v>972</v>
      </c>
      <c r="F207" s="246" t="s">
        <v>973</v>
      </c>
      <c r="G207" s="245" t="s">
        <v>161</v>
      </c>
      <c r="H207" s="244">
        <f>1*2.1</f>
        <v>2.1</v>
      </c>
      <c r="I207" s="243"/>
      <c r="J207" s="243">
        <f>ROUND(I207*H207,2)</f>
        <v>0</v>
      </c>
      <c r="K207" s="142"/>
      <c r="L207" s="29"/>
      <c r="M207" s="242" t="s">
        <v>1</v>
      </c>
      <c r="N207" s="241"/>
      <c r="O207" s="238"/>
      <c r="P207" s="238"/>
      <c r="Q207" s="238"/>
      <c r="R207" s="238"/>
      <c r="S207" s="238"/>
      <c r="T207" s="237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R207" s="228" t="s">
        <v>119</v>
      </c>
      <c r="AT207" s="228" t="s">
        <v>115</v>
      </c>
      <c r="AU207" s="228" t="s">
        <v>120</v>
      </c>
      <c r="AY207" s="16" t="s">
        <v>113</v>
      </c>
      <c r="BE207" s="148">
        <f>IF(N207="základná",J207,0)</f>
        <v>0</v>
      </c>
      <c r="BF207" s="148">
        <f>IF(N207="znížená",J207,0)</f>
        <v>0</v>
      </c>
      <c r="BG207" s="148">
        <f>IF(N207="zákl. prenesená",J207,0)</f>
        <v>0</v>
      </c>
      <c r="BH207" s="148">
        <f>IF(N207="zníž. prenesená",J207,0)</f>
        <v>0</v>
      </c>
      <c r="BI207" s="148">
        <f>IF(N207="nulová",J207,0)</f>
        <v>0</v>
      </c>
      <c r="BJ207" s="16" t="s">
        <v>120</v>
      </c>
      <c r="BK207" s="148">
        <f>ROUND(I207*H207,2)</f>
        <v>0</v>
      </c>
      <c r="BL207" s="16" t="s">
        <v>119</v>
      </c>
      <c r="BM207" s="228" t="s">
        <v>974</v>
      </c>
    </row>
    <row r="208" spans="1:65" s="2" customFormat="1" ht="24" customHeight="1" x14ac:dyDescent="0.2">
      <c r="A208" s="202"/>
      <c r="B208" s="135"/>
      <c r="C208" s="248">
        <v>21</v>
      </c>
      <c r="D208" s="248" t="s">
        <v>115</v>
      </c>
      <c r="E208" s="247" t="s">
        <v>975</v>
      </c>
      <c r="F208" s="246" t="s">
        <v>976</v>
      </c>
      <c r="G208" s="245" t="s">
        <v>161</v>
      </c>
      <c r="H208" s="244">
        <v>99.67</v>
      </c>
      <c r="I208" s="243"/>
      <c r="J208" s="243">
        <f>ROUND(I208*H208,2)</f>
        <v>0</v>
      </c>
      <c r="K208" s="142"/>
      <c r="L208" s="29"/>
      <c r="M208" s="242" t="s">
        <v>1</v>
      </c>
      <c r="N208" s="241"/>
      <c r="O208" s="238"/>
      <c r="P208" s="238"/>
      <c r="Q208" s="238"/>
      <c r="R208" s="238"/>
      <c r="S208" s="238"/>
      <c r="T208" s="237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R208" s="228" t="s">
        <v>119</v>
      </c>
      <c r="AT208" s="228" t="s">
        <v>115</v>
      </c>
      <c r="AU208" s="228" t="s">
        <v>120</v>
      </c>
      <c r="AY208" s="16" t="s">
        <v>113</v>
      </c>
      <c r="BE208" s="148">
        <f>IF(N208="základná",J208,0)</f>
        <v>0</v>
      </c>
      <c r="BF208" s="148">
        <f>IF(N208="znížená",J208,0)</f>
        <v>0</v>
      </c>
      <c r="BG208" s="148">
        <f>IF(N208="zákl. prenesená",J208,0)</f>
        <v>0</v>
      </c>
      <c r="BH208" s="148">
        <f>IF(N208="zníž. prenesená",J208,0)</f>
        <v>0</v>
      </c>
      <c r="BI208" s="148">
        <f>IF(N208="nulová",J208,0)</f>
        <v>0</v>
      </c>
      <c r="BJ208" s="16" t="s">
        <v>120</v>
      </c>
      <c r="BK208" s="148">
        <f>ROUND(I208*H208,2)</f>
        <v>0</v>
      </c>
      <c r="BL208" s="16" t="s">
        <v>119</v>
      </c>
      <c r="BM208" s="228" t="s">
        <v>974</v>
      </c>
    </row>
    <row r="209" spans="1:65" s="2" customFormat="1" ht="24" customHeight="1" x14ac:dyDescent="0.2">
      <c r="A209" s="202"/>
      <c r="B209" s="135"/>
      <c r="C209" s="353">
        <v>22</v>
      </c>
      <c r="D209" s="248" t="s">
        <v>115</v>
      </c>
      <c r="E209" s="247" t="s">
        <v>227</v>
      </c>
      <c r="F209" s="246" t="s">
        <v>228</v>
      </c>
      <c r="G209" s="245" t="s">
        <v>229</v>
      </c>
      <c r="H209" s="244">
        <f>H208*0.05</f>
        <v>4.9835000000000003</v>
      </c>
      <c r="I209" s="243"/>
      <c r="J209" s="243">
        <f>ROUND(I209*H209,2)</f>
        <v>0</v>
      </c>
      <c r="K209" s="142"/>
      <c r="L209" s="29"/>
      <c r="M209" s="242" t="s">
        <v>1</v>
      </c>
      <c r="N209" s="241"/>
      <c r="O209" s="238"/>
      <c r="P209" s="238"/>
      <c r="Q209" s="238"/>
      <c r="R209" s="238"/>
      <c r="S209" s="238"/>
      <c r="T209" s="237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R209" s="228" t="s">
        <v>119</v>
      </c>
      <c r="AT209" s="228" t="s">
        <v>115</v>
      </c>
      <c r="AU209" s="228" t="s">
        <v>120</v>
      </c>
      <c r="AY209" s="16" t="s">
        <v>113</v>
      </c>
      <c r="BE209" s="148">
        <f>IF(N209="základná",J209,0)</f>
        <v>0</v>
      </c>
      <c r="BF209" s="148">
        <f>IF(N209="znížená",J209,0)</f>
        <v>0</v>
      </c>
      <c r="BG209" s="148">
        <f>IF(N209="zákl. prenesená",J209,0)</f>
        <v>0</v>
      </c>
      <c r="BH209" s="148">
        <f>IF(N209="zníž. prenesená",J209,0)</f>
        <v>0</v>
      </c>
      <c r="BI209" s="148">
        <f>IF(N209="nulová",J209,0)</f>
        <v>0</v>
      </c>
      <c r="BJ209" s="16" t="s">
        <v>120</v>
      </c>
      <c r="BK209" s="148">
        <f>ROUND(I209*H209,2)</f>
        <v>0</v>
      </c>
      <c r="BL209" s="16" t="s">
        <v>119</v>
      </c>
      <c r="BM209" s="228" t="s">
        <v>974</v>
      </c>
    </row>
    <row r="210" spans="1:65" s="2" customFormat="1" ht="24" customHeight="1" x14ac:dyDescent="0.2">
      <c r="A210" s="202"/>
      <c r="B210" s="135"/>
      <c r="C210" s="353">
        <v>23</v>
      </c>
      <c r="D210" s="248" t="s">
        <v>115</v>
      </c>
      <c r="E210" s="247" t="s">
        <v>977</v>
      </c>
      <c r="F210" s="246" t="s">
        <v>978</v>
      </c>
      <c r="G210" s="245" t="s">
        <v>229</v>
      </c>
      <c r="H210" s="244">
        <v>4.984</v>
      </c>
      <c r="I210" s="243"/>
      <c r="J210" s="243">
        <f>ROUND(I210*H210,2)</f>
        <v>0</v>
      </c>
      <c r="K210" s="142"/>
      <c r="L210" s="29"/>
      <c r="M210" s="242" t="s">
        <v>1</v>
      </c>
      <c r="N210" s="241"/>
      <c r="O210" s="238"/>
      <c r="P210" s="238"/>
      <c r="Q210" s="238"/>
      <c r="R210" s="238"/>
      <c r="S210" s="238"/>
      <c r="T210" s="237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R210" s="228" t="s">
        <v>119</v>
      </c>
      <c r="AT210" s="228" t="s">
        <v>115</v>
      </c>
      <c r="AU210" s="228" t="s">
        <v>120</v>
      </c>
      <c r="AY210" s="16" t="s">
        <v>113</v>
      </c>
      <c r="BE210" s="148">
        <f>IF(N210="základná",J210,0)</f>
        <v>0</v>
      </c>
      <c r="BF210" s="148">
        <f>IF(N210="znížená",J210,0)</f>
        <v>0</v>
      </c>
      <c r="BG210" s="148">
        <f>IF(N210="zákl. prenesená",J210,0)</f>
        <v>0</v>
      </c>
      <c r="BH210" s="148">
        <f>IF(N210="zníž. prenesená",J210,0)</f>
        <v>0</v>
      </c>
      <c r="BI210" s="148">
        <f>IF(N210="nulová",J210,0)</f>
        <v>0</v>
      </c>
      <c r="BJ210" s="16" t="s">
        <v>120</v>
      </c>
      <c r="BK210" s="148">
        <f>ROUND(I210*H210,2)</f>
        <v>0</v>
      </c>
      <c r="BL210" s="16" t="s">
        <v>119</v>
      </c>
      <c r="BM210" s="228" t="s">
        <v>979</v>
      </c>
    </row>
    <row r="211" spans="1:65" s="336" customFormat="1" x14ac:dyDescent="0.2">
      <c r="B211" s="337"/>
      <c r="C211" s="361"/>
      <c r="D211" s="338" t="s">
        <v>122</v>
      </c>
      <c r="F211" s="340" t="s">
        <v>980</v>
      </c>
      <c r="H211" s="341">
        <v>4.984</v>
      </c>
      <c r="L211" s="337"/>
      <c r="M211" s="342"/>
      <c r="N211" s="343"/>
      <c r="O211" s="343"/>
      <c r="P211" s="343"/>
      <c r="Q211" s="343"/>
      <c r="R211" s="343"/>
      <c r="S211" s="343"/>
      <c r="T211" s="344"/>
      <c r="AT211" s="339" t="s">
        <v>122</v>
      </c>
      <c r="AU211" s="339" t="s">
        <v>120</v>
      </c>
      <c r="AV211" s="336" t="s">
        <v>120</v>
      </c>
      <c r="AW211" s="336" t="s">
        <v>3</v>
      </c>
      <c r="AX211" s="336" t="s">
        <v>77</v>
      </c>
      <c r="AY211" s="339" t="s">
        <v>113</v>
      </c>
    </row>
    <row r="212" spans="1:65" s="2" customFormat="1" ht="16.5" customHeight="1" x14ac:dyDescent="0.2">
      <c r="A212" s="202"/>
      <c r="B212" s="135"/>
      <c r="C212" s="353">
        <v>24</v>
      </c>
      <c r="D212" s="248" t="s">
        <v>115</v>
      </c>
      <c r="E212" s="247" t="s">
        <v>231</v>
      </c>
      <c r="F212" s="246" t="s">
        <v>232</v>
      </c>
      <c r="G212" s="245" t="s">
        <v>229</v>
      </c>
      <c r="H212" s="244">
        <v>4.984</v>
      </c>
      <c r="I212" s="243"/>
      <c r="J212" s="243">
        <f>ROUND(I212*H212,2)</f>
        <v>0</v>
      </c>
      <c r="K212" s="142"/>
      <c r="L212" s="29"/>
      <c r="M212" s="242" t="s">
        <v>1</v>
      </c>
      <c r="N212" s="241"/>
      <c r="O212" s="238"/>
      <c r="P212" s="238"/>
      <c r="Q212" s="238"/>
      <c r="R212" s="238"/>
      <c r="S212" s="238"/>
      <c r="T212" s="237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R212" s="228" t="s">
        <v>119</v>
      </c>
      <c r="AT212" s="228" t="s">
        <v>115</v>
      </c>
      <c r="AU212" s="228" t="s">
        <v>120</v>
      </c>
      <c r="AY212" s="16" t="s">
        <v>113</v>
      </c>
      <c r="BE212" s="148">
        <f>IF(N212="základná",J212,0)</f>
        <v>0</v>
      </c>
      <c r="BF212" s="148">
        <f>IF(N212="znížená",J212,0)</f>
        <v>0</v>
      </c>
      <c r="BG212" s="148">
        <f>IF(N212="zákl. prenesená",J212,0)</f>
        <v>0</v>
      </c>
      <c r="BH212" s="148">
        <f>IF(N212="zníž. prenesená",J212,0)</f>
        <v>0</v>
      </c>
      <c r="BI212" s="148">
        <f>IF(N212="nulová",J212,0)</f>
        <v>0</v>
      </c>
      <c r="BJ212" s="16" t="s">
        <v>120</v>
      </c>
      <c r="BK212" s="148">
        <f>ROUND(I212*H212,2)</f>
        <v>0</v>
      </c>
      <c r="BL212" s="16" t="s">
        <v>119</v>
      </c>
      <c r="BM212" s="228" t="s">
        <v>981</v>
      </c>
    </row>
    <row r="213" spans="1:65" s="2" customFormat="1" ht="24" customHeight="1" x14ac:dyDescent="0.2">
      <c r="A213" s="202"/>
      <c r="B213" s="135"/>
      <c r="C213" s="353">
        <v>25</v>
      </c>
      <c r="D213" s="248" t="s">
        <v>115</v>
      </c>
      <c r="E213" s="247" t="s">
        <v>234</v>
      </c>
      <c r="F213" s="246" t="s">
        <v>235</v>
      </c>
      <c r="G213" s="245" t="s">
        <v>229</v>
      </c>
      <c r="H213" s="244">
        <v>74.760000000000005</v>
      </c>
      <c r="I213" s="243"/>
      <c r="J213" s="243">
        <f>ROUND(I213*H213,2)</f>
        <v>0</v>
      </c>
      <c r="K213" s="142"/>
      <c r="L213" s="29"/>
      <c r="M213" s="242" t="s">
        <v>1</v>
      </c>
      <c r="N213" s="241"/>
      <c r="O213" s="238"/>
      <c r="P213" s="238"/>
      <c r="Q213" s="238"/>
      <c r="R213" s="238"/>
      <c r="S213" s="238"/>
      <c r="T213" s="237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R213" s="228" t="s">
        <v>119</v>
      </c>
      <c r="AT213" s="228" t="s">
        <v>115</v>
      </c>
      <c r="AU213" s="228" t="s">
        <v>120</v>
      </c>
      <c r="AY213" s="16" t="s">
        <v>113</v>
      </c>
      <c r="BE213" s="148">
        <f>IF(N213="základná",J213,0)</f>
        <v>0</v>
      </c>
      <c r="BF213" s="148">
        <f>IF(N213="znížená",J213,0)</f>
        <v>0</v>
      </c>
      <c r="BG213" s="148">
        <f>IF(N213="zákl. prenesená",J213,0)</f>
        <v>0</v>
      </c>
      <c r="BH213" s="148">
        <f>IF(N213="zníž. prenesená",J213,0)</f>
        <v>0</v>
      </c>
      <c r="BI213" s="148">
        <f>IF(N213="nulová",J213,0)</f>
        <v>0</v>
      </c>
      <c r="BJ213" s="16" t="s">
        <v>120</v>
      </c>
      <c r="BK213" s="148">
        <f>ROUND(I213*H213,2)</f>
        <v>0</v>
      </c>
      <c r="BL213" s="16" t="s">
        <v>119</v>
      </c>
      <c r="BM213" s="228" t="s">
        <v>982</v>
      </c>
    </row>
    <row r="214" spans="1:65" s="336" customFormat="1" x14ac:dyDescent="0.2">
      <c r="B214" s="337"/>
      <c r="C214" s="361"/>
      <c r="D214" s="338" t="s">
        <v>122</v>
      </c>
      <c r="F214" s="340" t="s">
        <v>983</v>
      </c>
      <c r="H214" s="341">
        <f>4.984*15</f>
        <v>74.760000000000005</v>
      </c>
      <c r="L214" s="337"/>
      <c r="M214" s="342"/>
      <c r="N214" s="343"/>
      <c r="O214" s="343"/>
      <c r="P214" s="343"/>
      <c r="Q214" s="343"/>
      <c r="R214" s="343"/>
      <c r="S214" s="343"/>
      <c r="T214" s="344"/>
      <c r="AT214" s="339" t="s">
        <v>122</v>
      </c>
      <c r="AU214" s="339" t="s">
        <v>120</v>
      </c>
      <c r="AV214" s="336" t="s">
        <v>120</v>
      </c>
      <c r="AW214" s="336" t="s">
        <v>3</v>
      </c>
      <c r="AX214" s="336" t="s">
        <v>77</v>
      </c>
      <c r="AY214" s="339" t="s">
        <v>113</v>
      </c>
    </row>
    <row r="215" spans="1:65" s="2" customFormat="1" ht="24" customHeight="1" x14ac:dyDescent="0.2">
      <c r="A215" s="202"/>
      <c r="B215" s="135"/>
      <c r="C215" s="353">
        <v>26</v>
      </c>
      <c r="D215" s="248" t="s">
        <v>115</v>
      </c>
      <c r="E215" s="247" t="s">
        <v>238</v>
      </c>
      <c r="F215" s="246" t="s">
        <v>239</v>
      </c>
      <c r="G215" s="245" t="s">
        <v>229</v>
      </c>
      <c r="H215" s="244">
        <v>4.984</v>
      </c>
      <c r="I215" s="243"/>
      <c r="J215" s="243">
        <f>ROUND(I215*H215,2)</f>
        <v>0</v>
      </c>
      <c r="K215" s="142"/>
      <c r="L215" s="29"/>
      <c r="M215" s="242" t="s">
        <v>1</v>
      </c>
      <c r="N215" s="241"/>
      <c r="O215" s="238"/>
      <c r="P215" s="238"/>
      <c r="Q215" s="238"/>
      <c r="R215" s="238"/>
      <c r="S215" s="238"/>
      <c r="T215" s="237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R215" s="228" t="s">
        <v>119</v>
      </c>
      <c r="AT215" s="228" t="s">
        <v>115</v>
      </c>
      <c r="AU215" s="228" t="s">
        <v>120</v>
      </c>
      <c r="AY215" s="16" t="s">
        <v>113</v>
      </c>
      <c r="BE215" s="148">
        <f>IF(N215="základná",J215,0)</f>
        <v>0</v>
      </c>
      <c r="BF215" s="148">
        <f>IF(N215="znížená",J215,0)</f>
        <v>0</v>
      </c>
      <c r="BG215" s="148">
        <f>IF(N215="zákl. prenesená",J215,0)</f>
        <v>0</v>
      </c>
      <c r="BH215" s="148">
        <f>IF(N215="zníž. prenesená",J215,0)</f>
        <v>0</v>
      </c>
      <c r="BI215" s="148">
        <f>IF(N215="nulová",J215,0)</f>
        <v>0</v>
      </c>
      <c r="BJ215" s="16" t="s">
        <v>120</v>
      </c>
      <c r="BK215" s="148">
        <f>ROUND(I215*H215,2)</f>
        <v>0</v>
      </c>
      <c r="BL215" s="16" t="s">
        <v>119</v>
      </c>
      <c r="BM215" s="228" t="s">
        <v>984</v>
      </c>
    </row>
    <row r="216" spans="1:65" s="2" customFormat="1" ht="24" customHeight="1" x14ac:dyDescent="0.2">
      <c r="A216" s="202"/>
      <c r="B216" s="135"/>
      <c r="C216" s="353">
        <v>27</v>
      </c>
      <c r="D216" s="248" t="s">
        <v>115</v>
      </c>
      <c r="E216" s="247" t="s">
        <v>244</v>
      </c>
      <c r="F216" s="246" t="s">
        <v>245</v>
      </c>
      <c r="G216" s="245" t="s">
        <v>229</v>
      </c>
      <c r="H216" s="244">
        <v>4.984</v>
      </c>
      <c r="I216" s="243"/>
      <c r="J216" s="243">
        <f>ROUND(I216*H216,2)</f>
        <v>0</v>
      </c>
      <c r="K216" s="142"/>
      <c r="L216" s="29"/>
      <c r="M216" s="242" t="s">
        <v>1</v>
      </c>
      <c r="N216" s="241"/>
      <c r="O216" s="238"/>
      <c r="P216" s="238"/>
      <c r="Q216" s="238"/>
      <c r="R216" s="238"/>
      <c r="S216" s="238"/>
      <c r="T216" s="237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R216" s="228" t="s">
        <v>119</v>
      </c>
      <c r="AT216" s="228" t="s">
        <v>115</v>
      </c>
      <c r="AU216" s="228" t="s">
        <v>120</v>
      </c>
      <c r="AY216" s="16" t="s">
        <v>113</v>
      </c>
      <c r="BE216" s="148">
        <f>IF(N216="základná",J216,0)</f>
        <v>0</v>
      </c>
      <c r="BF216" s="148">
        <f>IF(N216="znížená",J216,0)</f>
        <v>0</v>
      </c>
      <c r="BG216" s="148">
        <f>IF(N216="zákl. prenesená",J216,0)</f>
        <v>0</v>
      </c>
      <c r="BH216" s="148">
        <f>IF(N216="zníž. prenesená",J216,0)</f>
        <v>0</v>
      </c>
      <c r="BI216" s="148">
        <f>IF(N216="nulová",J216,0)</f>
        <v>0</v>
      </c>
      <c r="BJ216" s="16" t="s">
        <v>120</v>
      </c>
      <c r="BK216" s="148">
        <f>ROUND(I216*H216,2)</f>
        <v>0</v>
      </c>
      <c r="BL216" s="16" t="s">
        <v>119</v>
      </c>
      <c r="BM216" s="228" t="s">
        <v>985</v>
      </c>
    </row>
    <row r="217" spans="1:65" s="2" customFormat="1" ht="16.5" customHeight="1" x14ac:dyDescent="0.2">
      <c r="A217" s="202"/>
      <c r="B217" s="135"/>
      <c r="C217" s="353">
        <v>28</v>
      </c>
      <c r="D217" s="248" t="s">
        <v>115</v>
      </c>
      <c r="E217" s="247" t="s">
        <v>247</v>
      </c>
      <c r="F217" s="246" t="s">
        <v>986</v>
      </c>
      <c r="G217" s="245" t="s">
        <v>146</v>
      </c>
      <c r="H217" s="244">
        <v>1</v>
      </c>
      <c r="I217" s="243"/>
      <c r="J217" s="243">
        <f>ROUND(I217*H217,2)</f>
        <v>0</v>
      </c>
      <c r="K217" s="142"/>
      <c r="L217" s="29"/>
      <c r="M217" s="242" t="s">
        <v>1</v>
      </c>
      <c r="N217" s="241"/>
      <c r="O217" s="238"/>
      <c r="P217" s="238"/>
      <c r="Q217" s="238"/>
      <c r="R217" s="238"/>
      <c r="S217" s="238"/>
      <c r="T217" s="237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R217" s="228" t="s">
        <v>119</v>
      </c>
      <c r="AT217" s="228" t="s">
        <v>115</v>
      </c>
      <c r="AU217" s="228" t="s">
        <v>120</v>
      </c>
      <c r="AY217" s="16" t="s">
        <v>113</v>
      </c>
      <c r="BE217" s="148">
        <f>IF(N217="základná",J217,0)</f>
        <v>0</v>
      </c>
      <c r="BF217" s="148">
        <f>IF(N217="znížená",J217,0)</f>
        <v>0</v>
      </c>
      <c r="BG217" s="148">
        <f>IF(N217="zákl. prenesená",J217,0)</f>
        <v>0</v>
      </c>
      <c r="BH217" s="148">
        <f>IF(N217="zníž. prenesená",J217,0)</f>
        <v>0</v>
      </c>
      <c r="BI217" s="148">
        <f>IF(N217="nulová",J217,0)</f>
        <v>0</v>
      </c>
      <c r="BJ217" s="16" t="s">
        <v>120</v>
      </c>
      <c r="BK217" s="148">
        <f>ROUND(I217*H217,2)</f>
        <v>0</v>
      </c>
      <c r="BL217" s="16" t="s">
        <v>119</v>
      </c>
      <c r="BM217" s="228" t="s">
        <v>987</v>
      </c>
    </row>
    <row r="218" spans="1:65" s="249" customFormat="1" ht="22.9" customHeight="1" x14ac:dyDescent="0.2">
      <c r="B218" s="257"/>
      <c r="D218" s="251" t="s">
        <v>71</v>
      </c>
      <c r="E218" s="334" t="s">
        <v>250</v>
      </c>
      <c r="F218" s="334" t="s">
        <v>251</v>
      </c>
      <c r="J218" s="335">
        <f>SUM(J219)</f>
        <v>0</v>
      </c>
      <c r="L218" s="257"/>
      <c r="M218" s="256"/>
      <c r="N218" s="254"/>
      <c r="O218" s="254"/>
      <c r="P218" s="255"/>
      <c r="Q218" s="254"/>
      <c r="R218" s="255"/>
      <c r="S218" s="254"/>
      <c r="T218" s="253"/>
      <c r="AR218" s="251" t="s">
        <v>77</v>
      </c>
      <c r="AT218" s="252" t="s">
        <v>71</v>
      </c>
      <c r="AU218" s="252" t="s">
        <v>77</v>
      </c>
      <c r="AY218" s="251" t="s">
        <v>113</v>
      </c>
      <c r="BK218" s="250">
        <f>SUM(BK219:BK219)</f>
        <v>0</v>
      </c>
    </row>
    <row r="219" spans="1:65" s="2" customFormat="1" ht="24" customHeight="1" x14ac:dyDescent="0.2">
      <c r="A219" s="202"/>
      <c r="B219" s="135"/>
      <c r="C219" s="248">
        <v>29</v>
      </c>
      <c r="D219" s="248" t="s">
        <v>115</v>
      </c>
      <c r="E219" s="247" t="s">
        <v>988</v>
      </c>
      <c r="F219" s="246" t="s">
        <v>989</v>
      </c>
      <c r="G219" s="245" t="s">
        <v>229</v>
      </c>
      <c r="H219" s="362">
        <v>22.181999999999999</v>
      </c>
      <c r="I219" s="243"/>
      <c r="J219" s="243">
        <f>ROUND(I219*H219,2)</f>
        <v>0</v>
      </c>
      <c r="K219" s="142"/>
      <c r="L219" s="29"/>
      <c r="M219" s="242" t="s">
        <v>1</v>
      </c>
      <c r="N219" s="241"/>
      <c r="O219" s="238"/>
      <c r="P219" s="238"/>
      <c r="Q219" s="238"/>
      <c r="R219" s="238"/>
      <c r="S219" s="238"/>
      <c r="T219" s="237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R219" s="228" t="s">
        <v>119</v>
      </c>
      <c r="AT219" s="228" t="s">
        <v>115</v>
      </c>
      <c r="AU219" s="228" t="s">
        <v>120</v>
      </c>
      <c r="AY219" s="16" t="s">
        <v>113</v>
      </c>
      <c r="BE219" s="148">
        <f>IF(N219="základná",J219,0)</f>
        <v>0</v>
      </c>
      <c r="BF219" s="148">
        <f>IF(N219="znížená",J219,0)</f>
        <v>0</v>
      </c>
      <c r="BG219" s="148">
        <f>IF(N219="zákl. prenesená",J219,0)</f>
        <v>0</v>
      </c>
      <c r="BH219" s="148">
        <f>IF(N219="zníž. prenesená",J219,0)</f>
        <v>0</v>
      </c>
      <c r="BI219" s="148">
        <f>IF(N219="nulová",J219,0)</f>
        <v>0</v>
      </c>
      <c r="BJ219" s="16" t="s">
        <v>120</v>
      </c>
      <c r="BK219" s="148">
        <f>ROUND(I219*H219,2)</f>
        <v>0</v>
      </c>
      <c r="BL219" s="16" t="s">
        <v>119</v>
      </c>
      <c r="BM219" s="228" t="s">
        <v>990</v>
      </c>
    </row>
    <row r="220" spans="1:65" s="249" customFormat="1" ht="25.9" customHeight="1" x14ac:dyDescent="0.2">
      <c r="B220" s="257"/>
      <c r="D220" s="251" t="s">
        <v>71</v>
      </c>
      <c r="E220" s="259" t="s">
        <v>261</v>
      </c>
      <c r="F220" s="259" t="s">
        <v>262</v>
      </c>
      <c r="J220" s="258">
        <f>SUM(J221)</f>
        <v>0</v>
      </c>
      <c r="L220" s="257"/>
      <c r="M220" s="256"/>
      <c r="N220" s="254"/>
      <c r="O220" s="254"/>
      <c r="P220" s="255" t="e">
        <f>#REF!+#REF!</f>
        <v>#REF!</v>
      </c>
      <c r="Q220" s="254"/>
      <c r="R220" s="255" t="e">
        <f>#REF!+#REF!</f>
        <v>#REF!</v>
      </c>
      <c r="S220" s="254"/>
      <c r="T220" s="253" t="e">
        <f>#REF!+#REF!</f>
        <v>#REF!</v>
      </c>
      <c r="AR220" s="251" t="s">
        <v>120</v>
      </c>
      <c r="AT220" s="252" t="s">
        <v>71</v>
      </c>
      <c r="AU220" s="252" t="s">
        <v>72</v>
      </c>
      <c r="AY220" s="251" t="s">
        <v>113</v>
      </c>
      <c r="BK220" s="250" t="e">
        <f>#REF!+#REF!</f>
        <v>#REF!</v>
      </c>
    </row>
    <row r="221" spans="1:65" s="249" customFormat="1" ht="22.9" customHeight="1" x14ac:dyDescent="0.2">
      <c r="B221" s="257"/>
      <c r="D221" s="251" t="s">
        <v>71</v>
      </c>
      <c r="E221" s="334" t="s">
        <v>307</v>
      </c>
      <c r="F221" s="334" t="s">
        <v>308</v>
      </c>
      <c r="J221" s="335">
        <f>SUM(J222:J224)</f>
        <v>0</v>
      </c>
      <c r="L221" s="257"/>
      <c r="M221" s="256"/>
      <c r="N221" s="254"/>
      <c r="O221" s="254"/>
      <c r="P221" s="255">
        <f>SUM(P222:P224)</f>
        <v>0</v>
      </c>
      <c r="Q221" s="254"/>
      <c r="R221" s="255">
        <f>SUM(R222:R224)</f>
        <v>0</v>
      </c>
      <c r="S221" s="254"/>
      <c r="T221" s="253">
        <f>SUM(T222:T224)</f>
        <v>0</v>
      </c>
      <c r="AR221" s="251" t="s">
        <v>120</v>
      </c>
      <c r="AT221" s="252" t="s">
        <v>71</v>
      </c>
      <c r="AU221" s="252" t="s">
        <v>77</v>
      </c>
      <c r="AY221" s="251" t="s">
        <v>113</v>
      </c>
      <c r="BK221" s="250">
        <f>SUM(BK222:BK224)</f>
        <v>0</v>
      </c>
    </row>
    <row r="222" spans="1:65" s="2" customFormat="1" ht="24" customHeight="1" x14ac:dyDescent="0.2">
      <c r="A222" s="202"/>
      <c r="B222" s="135"/>
      <c r="C222" s="248">
        <v>30</v>
      </c>
      <c r="D222" s="248" t="s">
        <v>115</v>
      </c>
      <c r="E222" s="247" t="s">
        <v>991</v>
      </c>
      <c r="F222" s="246" t="s">
        <v>992</v>
      </c>
      <c r="G222" s="245" t="s">
        <v>151</v>
      </c>
      <c r="H222" s="244">
        <f>2.1+1+2.1+1</f>
        <v>6.2</v>
      </c>
      <c r="I222" s="243"/>
      <c r="J222" s="243">
        <f t="shared" ref="J222:J224" si="0">ROUND(I222*H222,2)</f>
        <v>0</v>
      </c>
      <c r="K222" s="142"/>
      <c r="L222" s="29"/>
      <c r="M222" s="242" t="s">
        <v>1</v>
      </c>
      <c r="N222" s="241"/>
      <c r="O222" s="238"/>
      <c r="P222" s="238"/>
      <c r="Q222" s="238"/>
      <c r="R222" s="238"/>
      <c r="S222" s="238"/>
      <c r="T222" s="237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R222" s="228" t="s">
        <v>186</v>
      </c>
      <c r="AT222" s="228" t="s">
        <v>115</v>
      </c>
      <c r="AU222" s="228" t="s">
        <v>120</v>
      </c>
      <c r="AY222" s="16" t="s">
        <v>113</v>
      </c>
      <c r="BE222" s="148">
        <f t="shared" ref="BE222:BE224" si="1">IF(N222="základná",J222,0)</f>
        <v>0</v>
      </c>
      <c r="BF222" s="148">
        <f t="shared" ref="BF222:BF224" si="2">IF(N222="znížená",J222,0)</f>
        <v>0</v>
      </c>
      <c r="BG222" s="148">
        <f t="shared" ref="BG222:BG224" si="3">IF(N222="zákl. prenesená",J222,0)</f>
        <v>0</v>
      </c>
      <c r="BH222" s="148">
        <f t="shared" ref="BH222:BH224" si="4">IF(N222="zníž. prenesená",J222,0)</f>
        <v>0</v>
      </c>
      <c r="BI222" s="148">
        <f t="shared" ref="BI222:BI224" si="5">IF(N222="nulová",J222,0)</f>
        <v>0</v>
      </c>
      <c r="BJ222" s="16" t="s">
        <v>120</v>
      </c>
      <c r="BK222" s="148">
        <f t="shared" ref="BK222:BK224" si="6">ROUND(I222*H222,2)</f>
        <v>0</v>
      </c>
      <c r="BL222" s="16" t="s">
        <v>186</v>
      </c>
      <c r="BM222" s="228" t="s">
        <v>993</v>
      </c>
    </row>
    <row r="223" spans="1:65" s="2" customFormat="1" ht="24" customHeight="1" x14ac:dyDescent="0.2">
      <c r="A223" s="202"/>
      <c r="B223" s="135"/>
      <c r="C223" s="236">
        <v>31</v>
      </c>
      <c r="D223" s="236" t="s">
        <v>268</v>
      </c>
      <c r="E223" s="235" t="s">
        <v>994</v>
      </c>
      <c r="F223" s="234" t="s">
        <v>995</v>
      </c>
      <c r="G223" s="233" t="s">
        <v>146</v>
      </c>
      <c r="H223" s="232">
        <v>1</v>
      </c>
      <c r="I223" s="243"/>
      <c r="J223" s="243">
        <f t="shared" si="0"/>
        <v>0</v>
      </c>
      <c r="K223" s="142"/>
      <c r="L223" s="29"/>
      <c r="M223" s="242" t="s">
        <v>1</v>
      </c>
      <c r="N223" s="241"/>
      <c r="O223" s="238"/>
      <c r="P223" s="238"/>
      <c r="Q223" s="238"/>
      <c r="R223" s="238"/>
      <c r="S223" s="238"/>
      <c r="T223" s="237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R223" s="228" t="s">
        <v>186</v>
      </c>
      <c r="AT223" s="228" t="s">
        <v>115</v>
      </c>
      <c r="AU223" s="228" t="s">
        <v>120</v>
      </c>
      <c r="AY223" s="16" t="s">
        <v>113</v>
      </c>
      <c r="BE223" s="148">
        <f t="shared" si="1"/>
        <v>0</v>
      </c>
      <c r="BF223" s="148">
        <f t="shared" si="2"/>
        <v>0</v>
      </c>
      <c r="BG223" s="148">
        <f t="shared" si="3"/>
        <v>0</v>
      </c>
      <c r="BH223" s="148">
        <f t="shared" si="4"/>
        <v>0</v>
      </c>
      <c r="BI223" s="148">
        <f t="shared" si="5"/>
        <v>0</v>
      </c>
      <c r="BJ223" s="16" t="s">
        <v>120</v>
      </c>
      <c r="BK223" s="148">
        <f t="shared" si="6"/>
        <v>0</v>
      </c>
      <c r="BL223" s="16" t="s">
        <v>186</v>
      </c>
      <c r="BM223" s="228" t="s">
        <v>996</v>
      </c>
    </row>
    <row r="224" spans="1:65" s="2" customFormat="1" ht="24" customHeight="1" x14ac:dyDescent="0.2">
      <c r="A224" s="202"/>
      <c r="B224" s="135"/>
      <c r="C224" s="248">
        <v>32</v>
      </c>
      <c r="D224" s="248" t="s">
        <v>115</v>
      </c>
      <c r="E224" s="247" t="s">
        <v>997</v>
      </c>
      <c r="F224" s="246" t="s">
        <v>998</v>
      </c>
      <c r="G224" s="245" t="s">
        <v>583</v>
      </c>
      <c r="H224" s="244">
        <v>11.47</v>
      </c>
      <c r="I224" s="243"/>
      <c r="J224" s="243">
        <f t="shared" si="0"/>
        <v>0</v>
      </c>
      <c r="K224" s="142"/>
      <c r="L224" s="29"/>
      <c r="M224" s="242" t="s">
        <v>1</v>
      </c>
      <c r="N224" s="241"/>
      <c r="O224" s="238"/>
      <c r="P224" s="238"/>
      <c r="Q224" s="238"/>
      <c r="R224" s="238"/>
      <c r="S224" s="238"/>
      <c r="T224" s="237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R224" s="228" t="s">
        <v>186</v>
      </c>
      <c r="AT224" s="228" t="s">
        <v>115</v>
      </c>
      <c r="AU224" s="228" t="s">
        <v>120</v>
      </c>
      <c r="AY224" s="16" t="s">
        <v>113</v>
      </c>
      <c r="BE224" s="148">
        <f t="shared" si="1"/>
        <v>0</v>
      </c>
      <c r="BF224" s="148">
        <f t="shared" si="2"/>
        <v>0</v>
      </c>
      <c r="BG224" s="148">
        <f t="shared" si="3"/>
        <v>0</v>
      </c>
      <c r="BH224" s="148">
        <f t="shared" si="4"/>
        <v>0</v>
      </c>
      <c r="BI224" s="148">
        <f t="shared" si="5"/>
        <v>0</v>
      </c>
      <c r="BJ224" s="16" t="s">
        <v>120</v>
      </c>
      <c r="BK224" s="148">
        <f t="shared" si="6"/>
        <v>0</v>
      </c>
      <c r="BL224" s="16" t="s">
        <v>186</v>
      </c>
      <c r="BM224" s="228" t="s">
        <v>999</v>
      </c>
    </row>
    <row r="225" spans="1:31" s="2" customFormat="1" ht="6.95" customHeight="1" x14ac:dyDescent="0.2">
      <c r="A225" s="202"/>
      <c r="B225" s="43"/>
      <c r="C225" s="44"/>
      <c r="D225" s="44"/>
      <c r="E225" s="44"/>
      <c r="F225" s="44"/>
      <c r="G225" s="44"/>
      <c r="H225" s="44"/>
      <c r="I225" s="44"/>
      <c r="J225" s="44"/>
      <c r="K225" s="44"/>
      <c r="L225" s="29"/>
      <c r="M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</row>
  </sheetData>
  <autoFilter ref="C124:K220" xr:uid="{00000000-0009-0000-0000-000004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copies="2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EAF4-7D0C-42AA-8923-491AB50B9026}">
  <sheetPr>
    <pageSetUpPr fitToPage="1"/>
  </sheetPr>
  <dimension ref="A1:BM185"/>
  <sheetViews>
    <sheetView showGridLines="0" topLeftCell="A155" workbookViewId="0">
      <selection activeCell="W114" sqref="W114"/>
    </sheetView>
  </sheetViews>
  <sheetFormatPr defaultRowHeight="11.25" x14ac:dyDescent="0.2"/>
  <cols>
    <col min="1" max="1" width="8.33203125" style="211" customWidth="1"/>
    <col min="2" max="2" width="1.6640625" style="211" customWidth="1"/>
    <col min="3" max="3" width="4.1640625" style="211" customWidth="1"/>
    <col min="4" max="4" width="4.33203125" style="211" customWidth="1"/>
    <col min="5" max="5" width="17.1640625" style="211" customWidth="1"/>
    <col min="6" max="6" width="50.83203125" style="211" customWidth="1"/>
    <col min="7" max="7" width="7" style="211" customWidth="1"/>
    <col min="8" max="8" width="11.5" style="211" customWidth="1"/>
    <col min="9" max="10" width="20.1640625" style="211" customWidth="1"/>
    <col min="11" max="11" width="20.1640625" style="211" hidden="1" customWidth="1"/>
    <col min="12" max="12" width="9.33203125" style="211" customWidth="1"/>
    <col min="13" max="13" width="10.83203125" style="211" hidden="1" customWidth="1"/>
    <col min="14" max="14" width="9.33203125" style="211"/>
    <col min="15" max="20" width="14.1640625" style="211" hidden="1" customWidth="1"/>
    <col min="21" max="21" width="16.33203125" style="211" hidden="1" customWidth="1"/>
    <col min="22" max="22" width="12.33203125" style="211" customWidth="1"/>
    <col min="23" max="23" width="16.33203125" style="211" customWidth="1"/>
    <col min="24" max="24" width="12.33203125" style="211" customWidth="1"/>
    <col min="25" max="25" width="15" style="211" customWidth="1"/>
    <col min="26" max="26" width="11" style="211" customWidth="1"/>
    <col min="27" max="27" width="15" style="211" customWidth="1"/>
    <col min="28" max="28" width="16.33203125" style="211" customWidth="1"/>
    <col min="29" max="29" width="11" style="211" customWidth="1"/>
    <col min="30" max="30" width="15" style="211" customWidth="1"/>
    <col min="31" max="31" width="16.33203125" style="211" customWidth="1"/>
    <col min="32" max="16384" width="9.33203125" style="211"/>
  </cols>
  <sheetData>
    <row r="1" spans="1:46" x14ac:dyDescent="0.2">
      <c r="A1" s="84"/>
    </row>
    <row r="2" spans="1:46" ht="36.950000000000003" customHeight="1" x14ac:dyDescent="0.2">
      <c r="L2" s="401"/>
      <c r="M2" s="399"/>
      <c r="N2" s="399"/>
      <c r="O2" s="399"/>
      <c r="P2" s="399"/>
      <c r="Q2" s="399"/>
      <c r="R2" s="399"/>
      <c r="S2" s="399"/>
      <c r="T2" s="399"/>
      <c r="U2" s="399"/>
      <c r="V2" s="399"/>
      <c r="AT2" s="16" t="s">
        <v>511</v>
      </c>
    </row>
    <row r="3" spans="1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ht="24.95" customHeight="1" x14ac:dyDescent="0.2">
      <c r="B4" s="19"/>
      <c r="D4" s="20" t="s">
        <v>1134</v>
      </c>
      <c r="L4" s="19"/>
      <c r="M4" s="85" t="s">
        <v>9</v>
      </c>
      <c r="AT4" s="16" t="s">
        <v>3</v>
      </c>
    </row>
    <row r="5" spans="1:46" ht="6.95" customHeight="1" x14ac:dyDescent="0.2">
      <c r="B5" s="19"/>
      <c r="L5" s="19"/>
    </row>
    <row r="6" spans="1:46" s="2" customFormat="1" ht="12" customHeight="1" x14ac:dyDescent="0.2">
      <c r="A6" s="215"/>
      <c r="B6" s="29"/>
      <c r="C6" s="215"/>
      <c r="D6" s="25" t="s">
        <v>12</v>
      </c>
      <c r="E6" s="215"/>
      <c r="F6" s="215"/>
      <c r="G6" s="215"/>
      <c r="H6" s="215"/>
      <c r="I6" s="215"/>
      <c r="J6" s="215"/>
      <c r="K6" s="215"/>
      <c r="L6" s="38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</row>
    <row r="7" spans="1:46" s="2" customFormat="1" ht="28.5" customHeight="1" x14ac:dyDescent="0.2">
      <c r="A7" s="215"/>
      <c r="B7" s="29"/>
      <c r="C7" s="215"/>
      <c r="D7" s="215"/>
      <c r="E7" s="382" t="s">
        <v>1008</v>
      </c>
      <c r="F7" s="413"/>
      <c r="G7" s="413"/>
      <c r="H7" s="413"/>
      <c r="I7" s="215"/>
      <c r="J7" s="215"/>
      <c r="K7" s="215"/>
      <c r="L7" s="38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</row>
    <row r="8" spans="1:46" s="2" customFormat="1" x14ac:dyDescent="0.2">
      <c r="A8" s="215"/>
      <c r="B8" s="29"/>
      <c r="C8" s="215"/>
      <c r="D8" s="215"/>
      <c r="E8" s="215"/>
      <c r="F8" s="215"/>
      <c r="G8" s="215"/>
      <c r="H8" s="215"/>
      <c r="I8" s="215"/>
      <c r="J8" s="215"/>
      <c r="K8" s="215"/>
      <c r="L8" s="38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</row>
    <row r="9" spans="1:46" s="2" customFormat="1" ht="12" customHeight="1" x14ac:dyDescent="0.2">
      <c r="A9" s="215"/>
      <c r="B9" s="29"/>
      <c r="C9" s="215"/>
      <c r="D9" s="25" t="s">
        <v>14</v>
      </c>
      <c r="E9" s="215"/>
      <c r="F9" s="210" t="s">
        <v>1</v>
      </c>
      <c r="G9" s="215"/>
      <c r="H9" s="215"/>
      <c r="I9" s="25" t="s">
        <v>15</v>
      </c>
      <c r="J9" s="210" t="s">
        <v>1</v>
      </c>
      <c r="K9" s="215"/>
      <c r="L9" s="38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</row>
    <row r="10" spans="1:46" s="2" customFormat="1" ht="12" customHeight="1" x14ac:dyDescent="0.2">
      <c r="A10" s="215"/>
      <c r="B10" s="29"/>
      <c r="C10" s="215"/>
      <c r="D10" s="25" t="s">
        <v>16</v>
      </c>
      <c r="E10" s="215"/>
      <c r="F10" s="210" t="s">
        <v>17</v>
      </c>
      <c r="G10" s="215"/>
      <c r="H10" s="215"/>
      <c r="I10" s="25" t="s">
        <v>18</v>
      </c>
      <c r="J10" s="208"/>
      <c r="K10" s="215"/>
      <c r="L10" s="38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</row>
    <row r="11" spans="1:46" s="2" customFormat="1" ht="10.9" customHeight="1" x14ac:dyDescent="0.2">
      <c r="A11" s="215"/>
      <c r="B11" s="29"/>
      <c r="C11" s="215"/>
      <c r="D11" s="215"/>
      <c r="E11" s="215"/>
      <c r="F11" s="215"/>
      <c r="G11" s="215"/>
      <c r="H11" s="215"/>
      <c r="I11" s="215"/>
      <c r="J11" s="215"/>
      <c r="K11" s="215"/>
      <c r="L11" s="38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</row>
    <row r="12" spans="1:46" s="2" customFormat="1" ht="12" customHeight="1" x14ac:dyDescent="0.2">
      <c r="A12" s="215"/>
      <c r="B12" s="29"/>
      <c r="C12" s="215"/>
      <c r="D12" s="25" t="s">
        <v>19</v>
      </c>
      <c r="E12" s="215"/>
      <c r="F12" s="215"/>
      <c r="G12" s="215"/>
      <c r="H12" s="215"/>
      <c r="I12" s="25" t="s">
        <v>20</v>
      </c>
      <c r="J12" s="210" t="s">
        <v>1</v>
      </c>
      <c r="K12" s="215"/>
      <c r="L12" s="38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</row>
    <row r="13" spans="1:46" s="2" customFormat="1" ht="18" customHeight="1" x14ac:dyDescent="0.2">
      <c r="A13" s="215"/>
      <c r="B13" s="29"/>
      <c r="C13" s="215"/>
      <c r="D13" s="215"/>
      <c r="E13" s="210"/>
      <c r="F13" s="375" t="s">
        <v>1137</v>
      </c>
      <c r="G13" s="215"/>
      <c r="H13" s="215"/>
      <c r="I13" s="25" t="s">
        <v>22</v>
      </c>
      <c r="J13" s="210" t="s">
        <v>1</v>
      </c>
      <c r="K13" s="215"/>
      <c r="L13" s="38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</row>
    <row r="14" spans="1:46" s="2" customFormat="1" ht="6.95" customHeight="1" x14ac:dyDescent="0.2">
      <c r="A14" s="215"/>
      <c r="B14" s="29"/>
      <c r="C14" s="215"/>
      <c r="D14" s="215"/>
      <c r="E14" s="215"/>
      <c r="F14" s="215"/>
      <c r="G14" s="215"/>
      <c r="H14" s="215"/>
      <c r="I14" s="215"/>
      <c r="J14" s="215"/>
      <c r="K14" s="215"/>
      <c r="L14" s="38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</row>
    <row r="15" spans="1:46" s="2" customFormat="1" ht="12" customHeight="1" x14ac:dyDescent="0.2">
      <c r="A15" s="215"/>
      <c r="B15" s="29"/>
      <c r="C15" s="215"/>
      <c r="D15" s="25" t="s">
        <v>23</v>
      </c>
      <c r="E15" s="215"/>
      <c r="F15" s="215"/>
      <c r="G15" s="215"/>
      <c r="H15" s="215"/>
      <c r="I15" s="25" t="s">
        <v>20</v>
      </c>
      <c r="J15" s="210" t="str">
        <f>'[1]Rekapitulácia stavby'!AN13</f>
        <v/>
      </c>
      <c r="K15" s="215"/>
      <c r="L15" s="38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</row>
    <row r="16" spans="1:46" s="2" customFormat="1" ht="18" customHeight="1" x14ac:dyDescent="0.2">
      <c r="A16" s="215"/>
      <c r="B16" s="29"/>
      <c r="C16" s="215"/>
      <c r="D16" s="215"/>
      <c r="E16" s="398" t="str">
        <f>'[1]Rekapitulácia stavby'!E14</f>
        <v xml:space="preserve"> </v>
      </c>
      <c r="F16" s="398"/>
      <c r="G16" s="398"/>
      <c r="H16" s="398"/>
      <c r="I16" s="25" t="s">
        <v>22</v>
      </c>
      <c r="J16" s="210" t="str">
        <f>'[1]Rekapitulácia stavby'!AN14</f>
        <v/>
      </c>
      <c r="K16" s="215"/>
      <c r="L16" s="38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</row>
    <row r="17" spans="1:31" s="2" customFormat="1" ht="6.95" customHeight="1" x14ac:dyDescent="0.2">
      <c r="A17" s="215"/>
      <c r="B17" s="29"/>
      <c r="C17" s="215"/>
      <c r="D17" s="215"/>
      <c r="E17" s="215"/>
      <c r="F17" s="215"/>
      <c r="G17" s="215"/>
      <c r="H17" s="215"/>
      <c r="I17" s="215"/>
      <c r="J17" s="215"/>
      <c r="K17" s="215"/>
      <c r="L17" s="38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</row>
    <row r="18" spans="1:31" s="2" customFormat="1" ht="12" customHeight="1" x14ac:dyDescent="0.2">
      <c r="A18" s="215"/>
      <c r="B18" s="29"/>
      <c r="C18" s="215"/>
      <c r="D18" s="25" t="s">
        <v>24</v>
      </c>
      <c r="E18" s="215"/>
      <c r="F18" s="215"/>
      <c r="G18" s="215"/>
      <c r="H18" s="215"/>
      <c r="I18" s="25" t="s">
        <v>20</v>
      </c>
      <c r="J18" s="210" t="str">
        <f>IF('[1]Rekapitulácia stavby'!AN16="","",'[1]Rekapitulácia stavby'!AN16)</f>
        <v/>
      </c>
      <c r="K18" s="215"/>
      <c r="L18" s="38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</row>
    <row r="19" spans="1:31" s="2" customFormat="1" ht="18" customHeight="1" x14ac:dyDescent="0.2">
      <c r="A19" s="215"/>
      <c r="B19" s="29"/>
      <c r="C19" s="215"/>
      <c r="D19" s="215"/>
      <c r="E19" s="210" t="str">
        <f>IF('[1]Rekapitulácia stavby'!E17="","",'[1]Rekapitulácia stavby'!E17)</f>
        <v xml:space="preserve"> </v>
      </c>
      <c r="F19" s="215"/>
      <c r="G19" s="215"/>
      <c r="H19" s="215"/>
      <c r="I19" s="25" t="s">
        <v>22</v>
      </c>
      <c r="J19" s="210" t="str">
        <f>IF('[1]Rekapitulácia stavby'!AN17="","",'[1]Rekapitulácia stavby'!AN17)</f>
        <v/>
      </c>
      <c r="K19" s="215"/>
      <c r="L19" s="38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</row>
    <row r="20" spans="1:31" s="2" customFormat="1" ht="6.95" customHeight="1" x14ac:dyDescent="0.2">
      <c r="A20" s="215"/>
      <c r="B20" s="29"/>
      <c r="C20" s="215"/>
      <c r="D20" s="215"/>
      <c r="E20" s="215"/>
      <c r="F20" s="215"/>
      <c r="G20" s="215"/>
      <c r="H20" s="215"/>
      <c r="I20" s="215"/>
      <c r="J20" s="215"/>
      <c r="K20" s="215"/>
      <c r="L20" s="38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</row>
    <row r="21" spans="1:31" s="2" customFormat="1" ht="12" customHeight="1" x14ac:dyDescent="0.2">
      <c r="A21" s="215"/>
      <c r="B21" s="29"/>
      <c r="C21" s="215"/>
      <c r="D21" s="25" t="s">
        <v>29</v>
      </c>
      <c r="E21" s="215"/>
      <c r="F21" s="215"/>
      <c r="G21" s="215"/>
      <c r="H21" s="215"/>
      <c r="I21" s="25" t="s">
        <v>20</v>
      </c>
      <c r="J21" s="210" t="str">
        <f>IF('[1]Rekapitulácia stavby'!AN19="","",'[1]Rekapitulácia stavby'!AN19)</f>
        <v/>
      </c>
      <c r="K21" s="215"/>
      <c r="L21" s="38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</row>
    <row r="22" spans="1:31" s="2" customFormat="1" ht="18" customHeight="1" x14ac:dyDescent="0.2">
      <c r="A22" s="215"/>
      <c r="B22" s="29"/>
      <c r="C22" s="215"/>
      <c r="D22" s="215"/>
      <c r="E22" s="210" t="str">
        <f>IF('[1]Rekapitulácia stavby'!E20="","",'[1]Rekapitulácia stavby'!E20)</f>
        <v xml:space="preserve"> </v>
      </c>
      <c r="F22" s="215"/>
      <c r="G22" s="215"/>
      <c r="H22" s="215"/>
      <c r="I22" s="25" t="s">
        <v>22</v>
      </c>
      <c r="J22" s="210" t="str">
        <f>IF('[1]Rekapitulácia stavby'!AN20="","",'[1]Rekapitulácia stavby'!AN20)</f>
        <v/>
      </c>
      <c r="K22" s="215"/>
      <c r="L22" s="38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</row>
    <row r="23" spans="1:31" s="2" customFormat="1" ht="6.95" customHeight="1" x14ac:dyDescent="0.2">
      <c r="A23" s="215"/>
      <c r="B23" s="29"/>
      <c r="C23" s="215"/>
      <c r="D23" s="215"/>
      <c r="E23" s="215"/>
      <c r="F23" s="215"/>
      <c r="G23" s="215"/>
      <c r="H23" s="215"/>
      <c r="I23" s="215"/>
      <c r="J23" s="215"/>
      <c r="K23" s="215"/>
      <c r="L23" s="38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</row>
    <row r="24" spans="1:31" s="2" customFormat="1" ht="12" customHeight="1" x14ac:dyDescent="0.2">
      <c r="A24" s="215"/>
      <c r="B24" s="29"/>
      <c r="C24" s="215"/>
      <c r="D24" s="25" t="s">
        <v>30</v>
      </c>
      <c r="E24" s="215"/>
      <c r="F24" s="215"/>
      <c r="G24" s="215"/>
      <c r="H24" s="215"/>
      <c r="I24" s="215"/>
      <c r="J24" s="215"/>
      <c r="K24" s="215"/>
      <c r="L24" s="38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</row>
    <row r="25" spans="1:31" s="8" customFormat="1" ht="16.5" customHeight="1" x14ac:dyDescent="0.2">
      <c r="A25" s="86"/>
      <c r="B25" s="87"/>
      <c r="C25" s="86"/>
      <c r="D25" s="86"/>
      <c r="E25" s="402" t="s">
        <v>1</v>
      </c>
      <c r="F25" s="402"/>
      <c r="G25" s="402"/>
      <c r="H25" s="402"/>
      <c r="I25" s="86"/>
      <c r="J25" s="86"/>
      <c r="K25" s="86"/>
      <c r="L25" s="88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2" customFormat="1" ht="6.95" customHeight="1" x14ac:dyDescent="0.2">
      <c r="A26" s="215"/>
      <c r="B26" s="29"/>
      <c r="C26" s="215"/>
      <c r="D26" s="215"/>
      <c r="E26" s="215"/>
      <c r="F26" s="215"/>
      <c r="G26" s="215"/>
      <c r="H26" s="215"/>
      <c r="I26" s="215"/>
      <c r="J26" s="215"/>
      <c r="K26" s="215"/>
      <c r="L26" s="38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</row>
    <row r="27" spans="1:31" s="2" customFormat="1" ht="6.95" customHeight="1" x14ac:dyDescent="0.2">
      <c r="A27" s="215"/>
      <c r="B27" s="29"/>
      <c r="C27" s="215"/>
      <c r="D27" s="62"/>
      <c r="E27" s="62"/>
      <c r="F27" s="62"/>
      <c r="G27" s="62"/>
      <c r="H27" s="62"/>
      <c r="I27" s="62"/>
      <c r="J27" s="62"/>
      <c r="K27" s="62"/>
      <c r="L27" s="38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</row>
    <row r="28" spans="1:31" s="2" customFormat="1" ht="14.45" customHeight="1" x14ac:dyDescent="0.2">
      <c r="A28" s="215"/>
      <c r="B28" s="29"/>
      <c r="C28" s="215"/>
      <c r="D28" s="210" t="s">
        <v>82</v>
      </c>
      <c r="E28" s="215"/>
      <c r="F28" s="215"/>
      <c r="G28" s="215"/>
      <c r="H28" s="215"/>
      <c r="I28" s="215"/>
      <c r="J28" s="216">
        <f>J94</f>
        <v>0</v>
      </c>
      <c r="K28" s="215"/>
      <c r="L28" s="38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</row>
    <row r="29" spans="1:31" s="2" customFormat="1" ht="14.45" customHeight="1" x14ac:dyDescent="0.2">
      <c r="A29" s="215"/>
      <c r="B29" s="29"/>
      <c r="C29" s="215"/>
      <c r="D29" s="217" t="s">
        <v>513</v>
      </c>
      <c r="E29" s="215"/>
      <c r="F29" s="215"/>
      <c r="G29" s="215"/>
      <c r="H29" s="215"/>
      <c r="I29" s="215"/>
      <c r="J29" s="216">
        <f>J106</f>
        <v>0</v>
      </c>
      <c r="K29" s="215"/>
      <c r="L29" s="38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</row>
    <row r="30" spans="1:31" s="2" customFormat="1" ht="25.35" customHeight="1" x14ac:dyDescent="0.2">
      <c r="A30" s="215"/>
      <c r="B30" s="29"/>
      <c r="C30" s="215"/>
      <c r="D30" s="89" t="s">
        <v>32</v>
      </c>
      <c r="E30" s="215"/>
      <c r="F30" s="215"/>
      <c r="G30" s="215"/>
      <c r="H30" s="215"/>
      <c r="I30" s="215"/>
      <c r="J30" s="209">
        <f>ROUND(J28 + J29, 2)</f>
        <v>0</v>
      </c>
      <c r="K30" s="215"/>
      <c r="L30" s="38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</row>
    <row r="31" spans="1:31" s="2" customFormat="1" ht="6.95" customHeight="1" x14ac:dyDescent="0.2">
      <c r="A31" s="215"/>
      <c r="B31" s="29"/>
      <c r="C31" s="215"/>
      <c r="D31" s="62"/>
      <c r="E31" s="62"/>
      <c r="F31" s="62"/>
      <c r="G31" s="62"/>
      <c r="H31" s="62"/>
      <c r="I31" s="62"/>
      <c r="J31" s="62"/>
      <c r="K31" s="62"/>
      <c r="L31" s="38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</row>
    <row r="32" spans="1:31" s="2" customFormat="1" ht="14.45" customHeight="1" x14ac:dyDescent="0.2">
      <c r="A32" s="215"/>
      <c r="B32" s="29"/>
      <c r="C32" s="215"/>
      <c r="D32" s="215"/>
      <c r="E32" s="215"/>
      <c r="F32" s="214" t="s">
        <v>34</v>
      </c>
      <c r="G32" s="215"/>
      <c r="H32" s="215"/>
      <c r="I32" s="214" t="s">
        <v>33</v>
      </c>
      <c r="J32" s="214" t="s">
        <v>35</v>
      </c>
      <c r="K32" s="215"/>
      <c r="L32" s="38"/>
      <c r="N32" s="327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</row>
    <row r="33" spans="1:31" s="2" customFormat="1" ht="14.45" customHeight="1" x14ac:dyDescent="0.2">
      <c r="A33" s="215"/>
      <c r="B33" s="29"/>
      <c r="C33" s="215"/>
      <c r="D33" s="90" t="s">
        <v>36</v>
      </c>
      <c r="E33" s="25" t="s">
        <v>37</v>
      </c>
      <c r="F33" s="91">
        <f>J30</f>
        <v>0</v>
      </c>
      <c r="G33" s="215"/>
      <c r="H33" s="215"/>
      <c r="I33" s="92">
        <v>0.2</v>
      </c>
      <c r="J33" s="91">
        <f>F33*0.02</f>
        <v>0</v>
      </c>
      <c r="K33" s="215"/>
      <c r="L33" s="38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</row>
    <row r="34" spans="1:31" s="2" customFormat="1" ht="14.45" customHeight="1" x14ac:dyDescent="0.2">
      <c r="A34" s="215"/>
      <c r="B34" s="29"/>
      <c r="C34" s="215"/>
      <c r="D34" s="215"/>
      <c r="E34" s="25" t="s">
        <v>38</v>
      </c>
      <c r="F34" s="91">
        <f>ROUND((SUM(BF106:BF107) + SUM(BF125:BF184)),  2)</f>
        <v>0</v>
      </c>
      <c r="G34" s="215"/>
      <c r="H34" s="215"/>
      <c r="I34" s="92">
        <v>0.2</v>
      </c>
      <c r="J34" s="91">
        <f>ROUND(((SUM(BF106:BF107) + SUM(BF125:BF184))*I34),  2)</f>
        <v>0</v>
      </c>
      <c r="K34" s="215"/>
      <c r="L34" s="38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</row>
    <row r="35" spans="1:31" s="2" customFormat="1" ht="14.45" hidden="1" customHeight="1" x14ac:dyDescent="0.2">
      <c r="A35" s="215"/>
      <c r="B35" s="29"/>
      <c r="C35" s="215"/>
      <c r="D35" s="215"/>
      <c r="E35" s="25" t="s">
        <v>39</v>
      </c>
      <c r="F35" s="91">
        <f>ROUND((SUM(BG106:BG107) + SUM(BG125:BG184)),  2)</f>
        <v>0</v>
      </c>
      <c r="G35" s="215"/>
      <c r="H35" s="215"/>
      <c r="I35" s="92">
        <v>0.2</v>
      </c>
      <c r="J35" s="91">
        <f>0</f>
        <v>0</v>
      </c>
      <c r="K35" s="215"/>
      <c r="L35" s="38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</row>
    <row r="36" spans="1:31" s="2" customFormat="1" ht="14.45" hidden="1" customHeight="1" x14ac:dyDescent="0.2">
      <c r="A36" s="215"/>
      <c r="B36" s="29"/>
      <c r="C36" s="215"/>
      <c r="D36" s="215"/>
      <c r="E36" s="25" t="s">
        <v>40</v>
      </c>
      <c r="F36" s="91">
        <f>ROUND((SUM(BH106:BH107) + SUM(BH125:BH184)),  2)</f>
        <v>0</v>
      </c>
      <c r="G36" s="215"/>
      <c r="H36" s="215"/>
      <c r="I36" s="92">
        <v>0.2</v>
      </c>
      <c r="J36" s="91">
        <f>0</f>
        <v>0</v>
      </c>
      <c r="K36" s="215"/>
      <c r="L36" s="38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</row>
    <row r="37" spans="1:31" s="2" customFormat="1" ht="14.45" hidden="1" customHeight="1" x14ac:dyDescent="0.2">
      <c r="A37" s="215"/>
      <c r="B37" s="29"/>
      <c r="C37" s="215"/>
      <c r="D37" s="215"/>
      <c r="E37" s="25" t="s">
        <v>41</v>
      </c>
      <c r="F37" s="91">
        <f>ROUND((SUM(BI106:BI107) + SUM(BI125:BI184)),  2)</f>
        <v>0</v>
      </c>
      <c r="G37" s="215"/>
      <c r="H37" s="215"/>
      <c r="I37" s="92">
        <v>0</v>
      </c>
      <c r="J37" s="91">
        <f>0</f>
        <v>0</v>
      </c>
      <c r="K37" s="215"/>
      <c r="L37" s="38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</row>
    <row r="38" spans="1:31" s="2" customFormat="1" ht="6.95" customHeight="1" x14ac:dyDescent="0.2">
      <c r="A38" s="215"/>
      <c r="B38" s="29"/>
      <c r="C38" s="215"/>
      <c r="D38" s="215"/>
      <c r="E38" s="215"/>
      <c r="F38" s="215"/>
      <c r="G38" s="215"/>
      <c r="H38" s="215"/>
      <c r="I38" s="215"/>
      <c r="J38" s="215"/>
      <c r="K38" s="215"/>
      <c r="L38" s="38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</row>
    <row r="39" spans="1:31" s="2" customFormat="1" ht="25.35" customHeight="1" x14ac:dyDescent="0.2">
      <c r="A39" s="215"/>
      <c r="B39" s="29"/>
      <c r="C39" s="93"/>
      <c r="D39" s="94" t="s">
        <v>42</v>
      </c>
      <c r="E39" s="56"/>
      <c r="F39" s="56"/>
      <c r="G39" s="95" t="s">
        <v>43</v>
      </c>
      <c r="H39" s="96" t="s">
        <v>44</v>
      </c>
      <c r="I39" s="56"/>
      <c r="J39" s="97">
        <f>J30*1.2</f>
        <v>0</v>
      </c>
      <c r="K39" s="98"/>
      <c r="L39" s="38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</row>
    <row r="40" spans="1:31" s="2" customFormat="1" ht="14.45" customHeight="1" x14ac:dyDescent="0.2">
      <c r="A40" s="215"/>
      <c r="B40" s="29"/>
      <c r="C40" s="215"/>
      <c r="D40" s="215"/>
      <c r="E40" s="215"/>
      <c r="F40" s="215"/>
      <c r="G40" s="215"/>
      <c r="H40" s="215"/>
      <c r="I40" s="215"/>
      <c r="J40" s="215"/>
      <c r="K40" s="215"/>
      <c r="L40" s="38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</row>
    <row r="41" spans="1:31" ht="14.45" customHeight="1" x14ac:dyDescent="0.2">
      <c r="B41" s="19"/>
      <c r="L41" s="19"/>
    </row>
    <row r="42" spans="1:31" ht="14.45" customHeight="1" x14ac:dyDescent="0.2">
      <c r="B42" s="19"/>
      <c r="L42" s="19"/>
    </row>
    <row r="43" spans="1:31" ht="14.45" customHeight="1" x14ac:dyDescent="0.2">
      <c r="B43" s="19"/>
      <c r="L43" s="19"/>
    </row>
    <row r="44" spans="1:31" ht="14.45" customHeight="1" x14ac:dyDescent="0.2">
      <c r="B44" s="19"/>
      <c r="L44" s="19"/>
    </row>
    <row r="45" spans="1:31" ht="14.45" customHeight="1" x14ac:dyDescent="0.2">
      <c r="B45" s="19"/>
      <c r="L45" s="19"/>
    </row>
    <row r="46" spans="1:31" ht="14.45" customHeight="1" x14ac:dyDescent="0.2">
      <c r="B46" s="19"/>
      <c r="L46" s="19"/>
    </row>
    <row r="47" spans="1:31" ht="14.45" customHeight="1" x14ac:dyDescent="0.2">
      <c r="B47" s="19"/>
      <c r="L47" s="19"/>
    </row>
    <row r="48" spans="1:31" ht="14.45" customHeight="1" x14ac:dyDescent="0.2">
      <c r="B48" s="19"/>
      <c r="L48" s="19"/>
    </row>
    <row r="49" spans="1:31" ht="14.45" customHeight="1" x14ac:dyDescent="0.2">
      <c r="B49" s="19"/>
      <c r="L49" s="19"/>
    </row>
    <row r="50" spans="1:31" s="2" customFormat="1" ht="14.45" customHeight="1" x14ac:dyDescent="0.2">
      <c r="B50" s="38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8"/>
    </row>
    <row r="51" spans="1:31" x14ac:dyDescent="0.2">
      <c r="B51" s="19"/>
      <c r="L51" s="19"/>
    </row>
    <row r="52" spans="1:31" x14ac:dyDescent="0.2">
      <c r="B52" s="19"/>
      <c r="L52" s="19"/>
    </row>
    <row r="53" spans="1:31" x14ac:dyDescent="0.2">
      <c r="B53" s="19"/>
      <c r="L53" s="19"/>
    </row>
    <row r="54" spans="1:31" x14ac:dyDescent="0.2">
      <c r="B54" s="19"/>
      <c r="L54" s="19"/>
    </row>
    <row r="55" spans="1:31" x14ac:dyDescent="0.2">
      <c r="B55" s="19"/>
      <c r="L55" s="19"/>
    </row>
    <row r="56" spans="1:31" x14ac:dyDescent="0.2">
      <c r="B56" s="19"/>
      <c r="L56" s="19"/>
    </row>
    <row r="57" spans="1:31" x14ac:dyDescent="0.2">
      <c r="B57" s="19"/>
      <c r="L57" s="19"/>
    </row>
    <row r="58" spans="1:31" x14ac:dyDescent="0.2">
      <c r="B58" s="19"/>
      <c r="L58" s="19"/>
    </row>
    <row r="59" spans="1:31" x14ac:dyDescent="0.2">
      <c r="B59" s="19"/>
      <c r="L59" s="19"/>
    </row>
    <row r="60" spans="1:31" x14ac:dyDescent="0.2">
      <c r="B60" s="19"/>
      <c r="L60" s="19"/>
    </row>
    <row r="61" spans="1:31" s="2" customFormat="1" ht="12.75" x14ac:dyDescent="0.2">
      <c r="A61" s="215"/>
      <c r="B61" s="29"/>
      <c r="C61" s="215"/>
      <c r="D61" s="41" t="s">
        <v>47</v>
      </c>
      <c r="E61" s="213"/>
      <c r="F61" s="99" t="s">
        <v>48</v>
      </c>
      <c r="G61" s="41" t="s">
        <v>47</v>
      </c>
      <c r="H61" s="213"/>
      <c r="I61" s="213"/>
      <c r="J61" s="100" t="s">
        <v>48</v>
      </c>
      <c r="K61" s="213"/>
      <c r="L61" s="38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</row>
    <row r="62" spans="1:31" x14ac:dyDescent="0.2">
      <c r="B62" s="19"/>
      <c r="L62" s="19"/>
    </row>
    <row r="63" spans="1:31" x14ac:dyDescent="0.2">
      <c r="B63" s="19"/>
      <c r="L63" s="19"/>
    </row>
    <row r="64" spans="1:31" x14ac:dyDescent="0.2">
      <c r="B64" s="19"/>
      <c r="L64" s="19"/>
    </row>
    <row r="65" spans="1:31" s="2" customFormat="1" ht="12.75" x14ac:dyDescent="0.2">
      <c r="A65" s="215"/>
      <c r="B65" s="29"/>
      <c r="C65" s="215"/>
      <c r="D65" s="39" t="s">
        <v>49</v>
      </c>
      <c r="E65" s="42"/>
      <c r="F65" s="42"/>
      <c r="G65" s="39" t="s">
        <v>50</v>
      </c>
      <c r="H65" s="42"/>
      <c r="I65" s="42"/>
      <c r="J65" s="42"/>
      <c r="K65" s="42"/>
      <c r="L65" s="38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</row>
    <row r="66" spans="1:31" x14ac:dyDescent="0.2">
      <c r="B66" s="19"/>
      <c r="L66" s="19"/>
    </row>
    <row r="67" spans="1:31" x14ac:dyDescent="0.2">
      <c r="B67" s="19"/>
      <c r="L67" s="19"/>
    </row>
    <row r="68" spans="1:31" x14ac:dyDescent="0.2">
      <c r="B68" s="19"/>
      <c r="L68" s="19"/>
    </row>
    <row r="69" spans="1:31" x14ac:dyDescent="0.2">
      <c r="B69" s="19"/>
      <c r="L69" s="19"/>
    </row>
    <row r="70" spans="1:31" x14ac:dyDescent="0.2">
      <c r="B70" s="19"/>
      <c r="L70" s="19"/>
    </row>
    <row r="71" spans="1:31" x14ac:dyDescent="0.2">
      <c r="B71" s="19"/>
      <c r="L71" s="19"/>
    </row>
    <row r="72" spans="1:31" x14ac:dyDescent="0.2">
      <c r="B72" s="19"/>
      <c r="L72" s="19"/>
    </row>
    <row r="73" spans="1:31" x14ac:dyDescent="0.2">
      <c r="B73" s="19"/>
      <c r="L73" s="19"/>
    </row>
    <row r="74" spans="1:31" x14ac:dyDescent="0.2">
      <c r="B74" s="19"/>
      <c r="L74" s="19"/>
    </row>
    <row r="75" spans="1:31" x14ac:dyDescent="0.2">
      <c r="B75" s="19"/>
      <c r="L75" s="19"/>
    </row>
    <row r="76" spans="1:31" s="2" customFormat="1" ht="12.75" x14ac:dyDescent="0.2">
      <c r="A76" s="215"/>
      <c r="B76" s="29"/>
      <c r="C76" s="215"/>
      <c r="D76" s="41" t="s">
        <v>47</v>
      </c>
      <c r="E76" s="213"/>
      <c r="F76" s="99" t="s">
        <v>48</v>
      </c>
      <c r="G76" s="41" t="s">
        <v>47</v>
      </c>
      <c r="H76" s="213"/>
      <c r="I76" s="213"/>
      <c r="J76" s="100" t="s">
        <v>48</v>
      </c>
      <c r="K76" s="213"/>
      <c r="L76" s="38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</row>
    <row r="77" spans="1:31" s="2" customFormat="1" ht="14.45" customHeight="1" x14ac:dyDescent="0.2">
      <c r="A77" s="215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</row>
    <row r="81" spans="1:47" s="2" customFormat="1" ht="6.95" customHeight="1" x14ac:dyDescent="0.2">
      <c r="A81" s="215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</row>
    <row r="82" spans="1:47" s="2" customFormat="1" ht="24.95" customHeight="1" x14ac:dyDescent="0.2">
      <c r="A82" s="215"/>
      <c r="B82" s="29"/>
      <c r="C82" s="20" t="s">
        <v>1135</v>
      </c>
      <c r="D82" s="215"/>
      <c r="E82" s="215"/>
      <c r="F82" s="215"/>
      <c r="G82" s="215"/>
      <c r="H82" s="215"/>
      <c r="I82" s="215"/>
      <c r="J82" s="215"/>
      <c r="K82" s="215"/>
      <c r="L82" s="38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</row>
    <row r="83" spans="1:47" s="2" customFormat="1" ht="6.95" customHeight="1" x14ac:dyDescent="0.2">
      <c r="A83" s="215"/>
      <c r="B83" s="29"/>
      <c r="C83" s="215"/>
      <c r="D83" s="215"/>
      <c r="E83" s="215"/>
      <c r="F83" s="215"/>
      <c r="G83" s="215"/>
      <c r="H83" s="215"/>
      <c r="I83" s="215"/>
      <c r="J83" s="215"/>
      <c r="K83" s="215"/>
      <c r="L83" s="38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</row>
    <row r="84" spans="1:47" s="2" customFormat="1" ht="12" customHeight="1" x14ac:dyDescent="0.2">
      <c r="A84" s="215"/>
      <c r="B84" s="29"/>
      <c r="C84" s="25" t="s">
        <v>12</v>
      </c>
      <c r="D84" s="215"/>
      <c r="E84" s="215"/>
      <c r="F84" s="215"/>
      <c r="G84" s="215"/>
      <c r="H84" s="215"/>
      <c r="I84" s="215"/>
      <c r="J84" s="215"/>
      <c r="K84" s="215"/>
      <c r="L84" s="38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</row>
    <row r="85" spans="1:47" s="2" customFormat="1" ht="29.25" customHeight="1" x14ac:dyDescent="0.2">
      <c r="A85" s="215"/>
      <c r="B85" s="29"/>
      <c r="C85" s="215"/>
      <c r="D85" s="215"/>
      <c r="E85" s="382" t="str">
        <f>E7</f>
        <v>Rekonštrukcia časti priestorov MŠ Čordákova 17, Košice - Ležatá kanalizácia</v>
      </c>
      <c r="F85" s="413"/>
      <c r="G85" s="413"/>
      <c r="H85" s="413"/>
      <c r="I85" s="215"/>
      <c r="J85" s="215"/>
      <c r="K85" s="215"/>
      <c r="L85" s="38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</row>
    <row r="86" spans="1:47" s="2" customFormat="1" ht="6.95" customHeight="1" x14ac:dyDescent="0.2">
      <c r="A86" s="215"/>
      <c r="B86" s="29"/>
      <c r="C86" s="215"/>
      <c r="D86" s="215"/>
      <c r="E86" s="215"/>
      <c r="F86" s="215"/>
      <c r="G86" s="215"/>
      <c r="H86" s="215"/>
      <c r="I86" s="215"/>
      <c r="J86" s="215"/>
      <c r="K86" s="215"/>
      <c r="L86" s="38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</row>
    <row r="87" spans="1:47" s="2" customFormat="1" ht="12" customHeight="1" x14ac:dyDescent="0.2">
      <c r="A87" s="215"/>
      <c r="B87" s="29"/>
      <c r="C87" s="25" t="s">
        <v>16</v>
      </c>
      <c r="D87" s="215"/>
      <c r="E87" s="215"/>
      <c r="F87" s="210" t="str">
        <f>F10</f>
        <v>Košice</v>
      </c>
      <c r="G87" s="215"/>
      <c r="H87" s="215"/>
      <c r="I87" s="25" t="s">
        <v>18</v>
      </c>
      <c r="J87" s="208" t="str">
        <f>IF(J10="","",J10)</f>
        <v/>
      </c>
      <c r="K87" s="215"/>
      <c r="L87" s="38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</row>
    <row r="88" spans="1:47" s="2" customFormat="1" ht="6.95" customHeight="1" x14ac:dyDescent="0.2">
      <c r="A88" s="215"/>
      <c r="B88" s="29"/>
      <c r="C88" s="215"/>
      <c r="D88" s="215"/>
      <c r="E88" s="215"/>
      <c r="F88" s="215"/>
      <c r="G88" s="215"/>
      <c r="H88" s="215"/>
      <c r="I88" s="215"/>
      <c r="J88" s="215"/>
      <c r="K88" s="215"/>
      <c r="L88" s="38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</row>
    <row r="89" spans="1:47" s="2" customFormat="1" ht="15.2" customHeight="1" x14ac:dyDescent="0.2">
      <c r="A89" s="215"/>
      <c r="B89" s="29"/>
      <c r="C89" s="25" t="s">
        <v>19</v>
      </c>
      <c r="D89" s="215"/>
      <c r="E89" s="215"/>
      <c r="F89" s="210" t="s">
        <v>1137</v>
      </c>
      <c r="G89" s="215"/>
      <c r="H89" s="215"/>
      <c r="I89" s="25" t="s">
        <v>24</v>
      </c>
      <c r="J89" s="212" t="str">
        <f>E19</f>
        <v xml:space="preserve"> </v>
      </c>
      <c r="K89" s="215"/>
      <c r="L89" s="38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</row>
    <row r="90" spans="1:47" s="2" customFormat="1" ht="15.2" customHeight="1" x14ac:dyDescent="0.2">
      <c r="A90" s="215"/>
      <c r="B90" s="29"/>
      <c r="C90" s="25" t="s">
        <v>23</v>
      </c>
      <c r="D90" s="215"/>
      <c r="E90" s="215"/>
      <c r="F90" s="210" t="str">
        <f>IF(E16="","",E16)</f>
        <v xml:space="preserve"> </v>
      </c>
      <c r="G90" s="215"/>
      <c r="H90" s="215"/>
      <c r="I90" s="25" t="s">
        <v>29</v>
      </c>
      <c r="J90" s="212" t="str">
        <f>E22</f>
        <v xml:space="preserve"> </v>
      </c>
      <c r="K90" s="215"/>
      <c r="L90" s="38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</row>
    <row r="91" spans="1:47" s="2" customFormat="1" ht="10.35" customHeight="1" x14ac:dyDescent="0.2">
      <c r="A91" s="215"/>
      <c r="B91" s="29"/>
      <c r="C91" s="215"/>
      <c r="D91" s="215"/>
      <c r="E91" s="215"/>
      <c r="F91" s="215"/>
      <c r="G91" s="215"/>
      <c r="H91" s="215"/>
      <c r="I91" s="215"/>
      <c r="J91" s="215"/>
      <c r="K91" s="215"/>
      <c r="L91" s="38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</row>
    <row r="92" spans="1:47" s="2" customFormat="1" ht="29.25" customHeight="1" x14ac:dyDescent="0.2">
      <c r="A92" s="215"/>
      <c r="B92" s="29"/>
      <c r="C92" s="101" t="s">
        <v>80</v>
      </c>
      <c r="D92" s="93"/>
      <c r="E92" s="93"/>
      <c r="F92" s="93"/>
      <c r="G92" s="93"/>
      <c r="H92" s="93"/>
      <c r="I92" s="93"/>
      <c r="J92" s="102" t="s">
        <v>81</v>
      </c>
      <c r="K92" s="93"/>
      <c r="L92" s="38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</row>
    <row r="93" spans="1:47" s="2" customFormat="1" ht="10.35" customHeight="1" x14ac:dyDescent="0.2">
      <c r="A93" s="215"/>
      <c r="B93" s="29"/>
      <c r="C93" s="215"/>
      <c r="D93" s="215"/>
      <c r="E93" s="215"/>
      <c r="F93" s="215"/>
      <c r="G93" s="215"/>
      <c r="H93" s="215"/>
      <c r="I93" s="215"/>
      <c r="J93" s="215"/>
      <c r="K93" s="215"/>
      <c r="L93" s="38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</row>
    <row r="94" spans="1:47" s="2" customFormat="1" ht="22.9" customHeight="1" x14ac:dyDescent="0.2">
      <c r="A94" s="215"/>
      <c r="B94" s="29"/>
      <c r="C94" s="103" t="s">
        <v>514</v>
      </c>
      <c r="D94" s="215"/>
      <c r="E94" s="215"/>
      <c r="F94" s="215"/>
      <c r="G94" s="215"/>
      <c r="H94" s="215"/>
      <c r="I94" s="215"/>
      <c r="J94" s="209">
        <f>J125</f>
        <v>0</v>
      </c>
      <c r="K94" s="215"/>
      <c r="L94" s="38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U94" s="16" t="s">
        <v>83</v>
      </c>
    </row>
    <row r="95" spans="1:47" s="9" customFormat="1" ht="24.95" customHeight="1" x14ac:dyDescent="0.2">
      <c r="B95" s="104"/>
      <c r="D95" s="105" t="s">
        <v>1110</v>
      </c>
      <c r="E95" s="106"/>
      <c r="F95" s="106"/>
      <c r="G95" s="106"/>
      <c r="H95" s="106"/>
      <c r="I95" s="106"/>
      <c r="J95" s="107">
        <f>J96+J97+J98+J99+J100</f>
        <v>0</v>
      </c>
      <c r="L95" s="104"/>
    </row>
    <row r="96" spans="1:47" s="10" customFormat="1" ht="19.899999999999999" customHeight="1" x14ac:dyDescent="0.2">
      <c r="B96" s="108"/>
      <c r="D96" s="109" t="s">
        <v>85</v>
      </c>
      <c r="E96" s="110"/>
      <c r="F96" s="110"/>
      <c r="G96" s="110"/>
      <c r="H96" s="110"/>
      <c r="I96" s="110"/>
      <c r="J96" s="111">
        <f>J127</f>
        <v>0</v>
      </c>
      <c r="L96" s="108"/>
    </row>
    <row r="97" spans="1:31" s="10" customFormat="1" ht="19.899999999999999" customHeight="1" x14ac:dyDescent="0.2">
      <c r="B97" s="108"/>
      <c r="D97" s="109" t="s">
        <v>1111</v>
      </c>
      <c r="E97" s="110"/>
      <c r="F97" s="110"/>
      <c r="G97" s="110"/>
      <c r="H97" s="110"/>
      <c r="I97" s="110"/>
      <c r="J97" s="111">
        <f>J146</f>
        <v>0</v>
      </c>
      <c r="L97" s="108"/>
    </row>
    <row r="98" spans="1:31" s="10" customFormat="1" ht="19.899999999999999" customHeight="1" x14ac:dyDescent="0.2">
      <c r="B98" s="108"/>
      <c r="D98" s="109" t="s">
        <v>1112</v>
      </c>
      <c r="E98" s="110"/>
      <c r="F98" s="110"/>
      <c r="G98" s="110"/>
      <c r="H98" s="110"/>
      <c r="I98" s="110"/>
      <c r="J98" s="111">
        <f>J151</f>
        <v>0</v>
      </c>
      <c r="L98" s="108"/>
    </row>
    <row r="99" spans="1:31" s="10" customFormat="1" ht="19.899999999999999" customHeight="1" x14ac:dyDescent="0.2">
      <c r="B99" s="108"/>
      <c r="D99" s="109" t="s">
        <v>1113</v>
      </c>
      <c r="E99" s="110"/>
      <c r="F99" s="110"/>
      <c r="G99" s="110"/>
      <c r="H99" s="110"/>
      <c r="I99" s="110"/>
      <c r="J99" s="111">
        <f>J154</f>
        <v>0</v>
      </c>
      <c r="L99" s="108"/>
    </row>
    <row r="100" spans="1:31" s="10" customFormat="1" ht="19.899999999999999" customHeight="1" x14ac:dyDescent="0.2">
      <c r="B100" s="108"/>
      <c r="D100" s="109" t="s">
        <v>1114</v>
      </c>
      <c r="E100" s="110"/>
      <c r="F100" s="110"/>
      <c r="G100" s="110"/>
      <c r="H100" s="110"/>
      <c r="I100" s="110"/>
      <c r="J100" s="111">
        <f>J163</f>
        <v>0</v>
      </c>
      <c r="L100" s="108"/>
    </row>
    <row r="101" spans="1:31" s="9" customFormat="1" ht="24.95" customHeight="1" x14ac:dyDescent="0.2">
      <c r="B101" s="104"/>
      <c r="D101" s="105" t="s">
        <v>91</v>
      </c>
      <c r="E101" s="106"/>
      <c r="F101" s="106"/>
      <c r="G101" s="106"/>
      <c r="H101" s="106"/>
      <c r="I101" s="106"/>
      <c r="J101" s="107">
        <f>J172</f>
        <v>0</v>
      </c>
      <c r="L101" s="104"/>
    </row>
    <row r="102" spans="1:31" s="10" customFormat="1" ht="19.899999999999999" customHeight="1" x14ac:dyDescent="0.2">
      <c r="B102" s="108"/>
      <c r="D102" s="109" t="s">
        <v>515</v>
      </c>
      <c r="E102" s="110"/>
      <c r="F102" s="110"/>
      <c r="G102" s="110"/>
      <c r="H102" s="110"/>
      <c r="I102" s="110"/>
      <c r="J102" s="111">
        <f>J173</f>
        <v>0</v>
      </c>
      <c r="L102" s="108"/>
    </row>
    <row r="103" spans="1:31" s="10" customFormat="1" ht="19.899999999999999" customHeight="1" x14ac:dyDescent="0.2">
      <c r="B103" s="108"/>
      <c r="D103" s="109" t="s">
        <v>98</v>
      </c>
      <c r="E103" s="110"/>
      <c r="F103" s="110"/>
      <c r="G103" s="110"/>
      <c r="H103" s="110"/>
      <c r="I103" s="110"/>
      <c r="J103" s="111">
        <f>J183</f>
        <v>0</v>
      </c>
      <c r="L103" s="108"/>
    </row>
    <row r="104" spans="1:31" s="2" customFormat="1" ht="21.75" customHeight="1" x14ac:dyDescent="0.2">
      <c r="A104" s="215"/>
      <c r="B104" s="29"/>
      <c r="C104" s="215"/>
      <c r="D104" s="215"/>
      <c r="E104" s="215"/>
      <c r="F104" s="215"/>
      <c r="G104" s="215"/>
      <c r="H104" s="215"/>
      <c r="I104" s="215"/>
      <c r="J104" s="215"/>
      <c r="K104" s="215"/>
      <c r="L104" s="38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</row>
    <row r="105" spans="1:31" s="2" customFormat="1" ht="6.95" customHeight="1" x14ac:dyDescent="0.2">
      <c r="A105" s="215"/>
      <c r="B105" s="29"/>
      <c r="C105" s="215"/>
      <c r="D105" s="215"/>
      <c r="E105" s="215"/>
      <c r="F105" s="215"/>
      <c r="G105" s="215"/>
      <c r="H105" s="215"/>
      <c r="I105" s="215"/>
      <c r="J105" s="215"/>
      <c r="K105" s="215"/>
      <c r="L105" s="38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</row>
    <row r="106" spans="1:31" s="2" customFormat="1" ht="29.25" customHeight="1" x14ac:dyDescent="0.2">
      <c r="A106" s="215"/>
      <c r="B106" s="29"/>
      <c r="C106" s="103" t="s">
        <v>518</v>
      </c>
      <c r="D106" s="215"/>
      <c r="E106" s="215"/>
      <c r="F106" s="215"/>
      <c r="G106" s="215"/>
      <c r="H106" s="215"/>
      <c r="I106" s="215"/>
      <c r="J106" s="218">
        <v>0</v>
      </c>
      <c r="K106" s="215"/>
      <c r="L106" s="38"/>
      <c r="N106" s="219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</row>
    <row r="107" spans="1:31" s="2" customFormat="1" ht="18" customHeight="1" x14ac:dyDescent="0.2">
      <c r="A107" s="215"/>
      <c r="B107" s="29"/>
      <c r="C107" s="215"/>
      <c r="D107" s="215"/>
      <c r="E107" s="215"/>
      <c r="F107" s="215"/>
      <c r="G107" s="215"/>
      <c r="H107" s="215"/>
      <c r="I107" s="215"/>
      <c r="J107" s="215"/>
      <c r="K107" s="215"/>
      <c r="L107" s="38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</row>
    <row r="108" spans="1:31" s="2" customFormat="1" ht="29.25" customHeight="1" x14ac:dyDescent="0.2">
      <c r="A108" s="215"/>
      <c r="B108" s="29"/>
      <c r="C108" s="220" t="s">
        <v>519</v>
      </c>
      <c r="D108" s="93"/>
      <c r="E108" s="93"/>
      <c r="F108" s="93"/>
      <c r="G108" s="93"/>
      <c r="H108" s="93"/>
      <c r="I108" s="93"/>
      <c r="J108" s="221">
        <f>ROUND(J94+J106,2)</f>
        <v>0</v>
      </c>
      <c r="K108" s="93"/>
      <c r="L108" s="38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</row>
    <row r="109" spans="1:31" s="2" customFormat="1" ht="6.95" customHeight="1" x14ac:dyDescent="0.2">
      <c r="A109" s="215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8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</row>
    <row r="113" spans="1:65" s="2" customFormat="1" ht="6.95" customHeight="1" x14ac:dyDescent="0.2">
      <c r="A113" s="215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8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</row>
    <row r="114" spans="1:65" s="2" customFormat="1" ht="24.95" customHeight="1" x14ac:dyDescent="0.2">
      <c r="A114" s="215"/>
      <c r="B114" s="29"/>
      <c r="C114" s="20" t="s">
        <v>1136</v>
      </c>
      <c r="D114" s="215"/>
      <c r="E114" s="215"/>
      <c r="F114" s="215"/>
      <c r="G114" s="215"/>
      <c r="H114" s="215"/>
      <c r="I114" s="215"/>
      <c r="J114" s="215"/>
      <c r="K114" s="215"/>
      <c r="L114" s="38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</row>
    <row r="115" spans="1:65" s="2" customFormat="1" ht="6.95" customHeight="1" x14ac:dyDescent="0.2">
      <c r="A115" s="215"/>
      <c r="B115" s="29"/>
      <c r="C115" s="215"/>
      <c r="D115" s="215"/>
      <c r="E115" s="215"/>
      <c r="F115" s="215"/>
      <c r="G115" s="215"/>
      <c r="H115" s="215"/>
      <c r="I115" s="215"/>
      <c r="J115" s="215"/>
      <c r="K115" s="215"/>
      <c r="L115" s="38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</row>
    <row r="116" spans="1:65" s="2" customFormat="1" ht="12" customHeight="1" x14ac:dyDescent="0.2">
      <c r="A116" s="215"/>
      <c r="B116" s="29"/>
      <c r="C116" s="25" t="s">
        <v>12</v>
      </c>
      <c r="D116" s="215"/>
      <c r="E116" s="215"/>
      <c r="F116" s="215"/>
      <c r="G116" s="215"/>
      <c r="H116" s="215"/>
      <c r="I116" s="215"/>
      <c r="J116" s="215"/>
      <c r="K116" s="215"/>
      <c r="L116" s="38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</row>
    <row r="117" spans="1:65" s="2" customFormat="1" ht="23.25" customHeight="1" x14ac:dyDescent="0.2">
      <c r="A117" s="215"/>
      <c r="B117" s="29"/>
      <c r="C117" s="215"/>
      <c r="D117" s="215"/>
      <c r="E117" s="382" t="str">
        <f>E7</f>
        <v>Rekonštrukcia časti priestorov MŠ Čordákova 17, Košice - Ležatá kanalizácia</v>
      </c>
      <c r="F117" s="413"/>
      <c r="G117" s="413"/>
      <c r="H117" s="413"/>
      <c r="I117" s="215"/>
      <c r="J117" s="215"/>
      <c r="K117" s="215"/>
      <c r="L117" s="38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</row>
    <row r="118" spans="1:65" s="2" customFormat="1" ht="6.95" customHeight="1" x14ac:dyDescent="0.2">
      <c r="A118" s="215"/>
      <c r="B118" s="29"/>
      <c r="C118" s="215"/>
      <c r="D118" s="215"/>
      <c r="E118" s="215"/>
      <c r="F118" s="215"/>
      <c r="G118" s="215"/>
      <c r="H118" s="215"/>
      <c r="I118" s="215"/>
      <c r="J118" s="215"/>
      <c r="K118" s="215"/>
      <c r="L118" s="38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</row>
    <row r="119" spans="1:65" s="2" customFormat="1" ht="12" customHeight="1" x14ac:dyDescent="0.2">
      <c r="A119" s="215"/>
      <c r="B119" s="29"/>
      <c r="C119" s="25" t="s">
        <v>16</v>
      </c>
      <c r="D119" s="215"/>
      <c r="E119" s="215"/>
      <c r="F119" s="210" t="str">
        <f>F10</f>
        <v>Košice</v>
      </c>
      <c r="G119" s="215"/>
      <c r="H119" s="215"/>
      <c r="I119" s="25" t="s">
        <v>18</v>
      </c>
      <c r="J119" s="208" t="str">
        <f>IF(J10="","",J10)</f>
        <v/>
      </c>
      <c r="K119" s="215"/>
      <c r="L119" s="38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</row>
    <row r="120" spans="1:65" s="2" customFormat="1" ht="6.95" customHeight="1" x14ac:dyDescent="0.2">
      <c r="A120" s="215"/>
      <c r="B120" s="29"/>
      <c r="C120" s="215"/>
      <c r="D120" s="215"/>
      <c r="E120" s="215"/>
      <c r="F120" s="215"/>
      <c r="G120" s="215"/>
      <c r="H120" s="215"/>
      <c r="I120" s="215"/>
      <c r="J120" s="215"/>
      <c r="K120" s="215"/>
      <c r="L120" s="38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</row>
    <row r="121" spans="1:65" s="2" customFormat="1" ht="15.2" customHeight="1" x14ac:dyDescent="0.2">
      <c r="A121" s="215"/>
      <c r="B121" s="29"/>
      <c r="C121" s="25" t="s">
        <v>19</v>
      </c>
      <c r="D121" s="215"/>
      <c r="E121" s="215"/>
      <c r="F121" s="210" t="s">
        <v>1137</v>
      </c>
      <c r="G121" s="215"/>
      <c r="H121" s="215"/>
      <c r="I121" s="25" t="s">
        <v>24</v>
      </c>
      <c r="J121" s="212" t="str">
        <f>E19</f>
        <v xml:space="preserve"> </v>
      </c>
      <c r="K121" s="215"/>
      <c r="L121" s="38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</row>
    <row r="122" spans="1:65" s="2" customFormat="1" ht="15.2" customHeight="1" x14ac:dyDescent="0.2">
      <c r="A122" s="215"/>
      <c r="B122" s="29"/>
      <c r="C122" s="25" t="s">
        <v>23</v>
      </c>
      <c r="D122" s="215"/>
      <c r="E122" s="215"/>
      <c r="F122" s="210" t="str">
        <f>IF(E16="","",E16)</f>
        <v xml:space="preserve"> </v>
      </c>
      <c r="G122" s="215"/>
      <c r="H122" s="215"/>
      <c r="I122" s="25" t="s">
        <v>29</v>
      </c>
      <c r="J122" s="212" t="str">
        <f>E22</f>
        <v xml:space="preserve"> </v>
      </c>
      <c r="K122" s="215"/>
      <c r="L122" s="38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</row>
    <row r="123" spans="1:65" s="2" customFormat="1" ht="10.35" customHeight="1" x14ac:dyDescent="0.2">
      <c r="A123" s="215"/>
      <c r="B123" s="29"/>
      <c r="C123" s="215"/>
      <c r="D123" s="215"/>
      <c r="E123" s="215"/>
      <c r="F123" s="215"/>
      <c r="G123" s="215"/>
      <c r="H123" s="215"/>
      <c r="I123" s="215"/>
      <c r="J123" s="215"/>
      <c r="K123" s="215"/>
      <c r="L123" s="38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</row>
    <row r="124" spans="1:65" s="11" customFormat="1" ht="29.25" customHeight="1" x14ac:dyDescent="0.2">
      <c r="A124" s="112"/>
      <c r="B124" s="113"/>
      <c r="C124" s="114" t="s">
        <v>100</v>
      </c>
      <c r="D124" s="115" t="s">
        <v>57</v>
      </c>
      <c r="E124" s="115" t="s">
        <v>53</v>
      </c>
      <c r="F124" s="115" t="s">
        <v>54</v>
      </c>
      <c r="G124" s="115" t="s">
        <v>101</v>
      </c>
      <c r="H124" s="115" t="s">
        <v>102</v>
      </c>
      <c r="I124" s="115" t="s">
        <v>103</v>
      </c>
      <c r="J124" s="116" t="s">
        <v>81</v>
      </c>
      <c r="K124" s="117" t="s">
        <v>104</v>
      </c>
      <c r="L124" s="118"/>
      <c r="M124" s="58" t="s">
        <v>1</v>
      </c>
      <c r="N124" s="59"/>
      <c r="O124" s="59" t="s">
        <v>105</v>
      </c>
      <c r="P124" s="59" t="s">
        <v>106</v>
      </c>
      <c r="Q124" s="59" t="s">
        <v>107</v>
      </c>
      <c r="R124" s="59" t="s">
        <v>108</v>
      </c>
      <c r="S124" s="59" t="s">
        <v>109</v>
      </c>
      <c r="T124" s="60" t="s">
        <v>110</v>
      </c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</row>
    <row r="125" spans="1:65" s="2" customFormat="1" ht="22.9" customHeight="1" x14ac:dyDescent="0.25">
      <c r="A125" s="215"/>
      <c r="B125" s="29"/>
      <c r="C125" s="65" t="s">
        <v>82</v>
      </c>
      <c r="D125" s="215"/>
      <c r="E125" s="215"/>
      <c r="F125" s="215"/>
      <c r="G125" s="215"/>
      <c r="H125" s="215"/>
      <c r="I125" s="215"/>
      <c r="J125" s="222">
        <f>J126+J172</f>
        <v>0</v>
      </c>
      <c r="K125" s="215"/>
      <c r="L125" s="29"/>
      <c r="M125" s="61"/>
      <c r="N125" s="52"/>
      <c r="O125" s="62"/>
      <c r="P125" s="120" t="e">
        <f>P172</f>
        <v>#REF!</v>
      </c>
      <c r="Q125" s="62"/>
      <c r="R125" s="120" t="e">
        <f>R172</f>
        <v>#REF!</v>
      </c>
      <c r="S125" s="62"/>
      <c r="T125" s="121" t="e">
        <f>T172</f>
        <v>#REF!</v>
      </c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T125" s="16" t="s">
        <v>71</v>
      </c>
      <c r="AU125" s="16" t="s">
        <v>83</v>
      </c>
      <c r="BK125" s="223" t="e">
        <f>BK172</f>
        <v>#REF!</v>
      </c>
    </row>
    <row r="126" spans="1:65" s="12" customFormat="1" ht="25.9" customHeight="1" x14ac:dyDescent="0.2">
      <c r="B126" s="123"/>
      <c r="D126" s="124" t="s">
        <v>71</v>
      </c>
      <c r="E126" s="125" t="s">
        <v>111</v>
      </c>
      <c r="F126" s="125" t="s">
        <v>1009</v>
      </c>
      <c r="J126" s="224">
        <f>J127+J146+J151+J154+J163</f>
        <v>0</v>
      </c>
      <c r="L126" s="123"/>
      <c r="M126" s="127"/>
      <c r="N126" s="128"/>
      <c r="O126" s="128"/>
      <c r="P126" s="129" t="e">
        <f>#REF!+#REF!+#REF!+#REF!</f>
        <v>#REF!</v>
      </c>
      <c r="Q126" s="128"/>
      <c r="R126" s="129" t="e">
        <f>#REF!+#REF!+#REF!+#REF!</f>
        <v>#REF!</v>
      </c>
      <c r="S126" s="128"/>
      <c r="T126" s="130" t="e">
        <f>#REF!+#REF!+#REF!+#REF!</f>
        <v>#REF!</v>
      </c>
      <c r="AR126" s="124" t="s">
        <v>120</v>
      </c>
      <c r="AT126" s="131" t="s">
        <v>71</v>
      </c>
      <c r="AU126" s="131" t="s">
        <v>72</v>
      </c>
      <c r="AY126" s="124" t="s">
        <v>113</v>
      </c>
      <c r="BK126" s="225" t="e">
        <f>#REF!+#REF!+#REF!+#REF!</f>
        <v>#REF!</v>
      </c>
    </row>
    <row r="127" spans="1:65" s="12" customFormat="1" ht="22.9" customHeight="1" x14ac:dyDescent="0.2">
      <c r="B127" s="123"/>
      <c r="D127" s="124" t="s">
        <v>71</v>
      </c>
      <c r="E127" s="133">
        <v>1</v>
      </c>
      <c r="F127" s="133" t="s">
        <v>114</v>
      </c>
      <c r="J127" s="226">
        <f>J128+J129+J130+J131+J132+J133+J134+J135+J136+J137+J138+J139+J140+J141+J142+J143+J144+J145</f>
        <v>0</v>
      </c>
      <c r="L127" s="123"/>
      <c r="M127" s="127"/>
      <c r="N127" s="128"/>
      <c r="O127" s="128"/>
      <c r="P127" s="129" t="e">
        <f>SUM(P128:P171)</f>
        <v>#REF!</v>
      </c>
      <c r="Q127" s="128"/>
      <c r="R127" s="129" t="e">
        <f>SUM(R128:R171)</f>
        <v>#REF!</v>
      </c>
      <c r="S127" s="128"/>
      <c r="T127" s="130" t="e">
        <f>SUM(T128:T171)</f>
        <v>#REF!</v>
      </c>
      <c r="AR127" s="124" t="s">
        <v>120</v>
      </c>
      <c r="AT127" s="131" t="s">
        <v>71</v>
      </c>
      <c r="AU127" s="131" t="s">
        <v>77</v>
      </c>
      <c r="AY127" s="124" t="s">
        <v>113</v>
      </c>
      <c r="BK127" s="225" t="e">
        <f>SUM(BK128:BK171)</f>
        <v>#REF!</v>
      </c>
    </row>
    <row r="128" spans="1:65" s="2" customFormat="1" ht="36" customHeight="1" x14ac:dyDescent="0.2">
      <c r="A128" s="215"/>
      <c r="B128" s="135"/>
      <c r="C128" s="136">
        <v>1</v>
      </c>
      <c r="D128" s="136" t="s">
        <v>115</v>
      </c>
      <c r="E128" s="137" t="s">
        <v>1010</v>
      </c>
      <c r="F128" s="138" t="s">
        <v>1011</v>
      </c>
      <c r="G128" s="139" t="s">
        <v>118</v>
      </c>
      <c r="H128" s="140">
        <v>0.4</v>
      </c>
      <c r="I128" s="140"/>
      <c r="J128" s="140">
        <f t="shared" ref="J128" si="0">ROUND(I128*H128,3)</f>
        <v>0</v>
      </c>
      <c r="K128" s="142"/>
      <c r="L128" s="29"/>
      <c r="M128" s="143" t="s">
        <v>1</v>
      </c>
      <c r="N128" s="144"/>
      <c r="O128" s="145">
        <v>0.39</v>
      </c>
      <c r="P128" s="145">
        <f t="shared" ref="P128" si="1">O128*H128</f>
        <v>0.15600000000000003</v>
      </c>
      <c r="Q128" s="145">
        <v>0</v>
      </c>
      <c r="R128" s="145">
        <f t="shared" ref="R128" si="2">Q128*H128</f>
        <v>0</v>
      </c>
      <c r="S128" s="145">
        <v>1.4919999999999999E-2</v>
      </c>
      <c r="T128" s="146">
        <f t="shared" ref="T128" si="3">S128*H128</f>
        <v>5.9680000000000002E-3</v>
      </c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R128" s="147" t="s">
        <v>186</v>
      </c>
      <c r="AT128" s="147" t="s">
        <v>115</v>
      </c>
      <c r="AU128" s="147" t="s">
        <v>120</v>
      </c>
      <c r="AY128" s="16" t="s">
        <v>113</v>
      </c>
      <c r="BE128" s="148">
        <f t="shared" ref="BE128" si="4">IF(N128="základná",J128,0)</f>
        <v>0</v>
      </c>
      <c r="BF128" s="148">
        <f t="shared" ref="BF128" si="5">IF(N128="znížená",J128,0)</f>
        <v>0</v>
      </c>
      <c r="BG128" s="148">
        <f t="shared" ref="BG128" si="6">IF(N128="zákl. prenesená",J128,0)</f>
        <v>0</v>
      </c>
      <c r="BH128" s="148">
        <f t="shared" ref="BH128" si="7">IF(N128="zníž. prenesená",J128,0)</f>
        <v>0</v>
      </c>
      <c r="BI128" s="148">
        <f t="shared" ref="BI128" si="8">IF(N128="nulová",J128,0)</f>
        <v>0</v>
      </c>
      <c r="BJ128" s="16" t="s">
        <v>120</v>
      </c>
      <c r="BK128" s="227">
        <f t="shared" ref="BK128" si="9">ROUND(I128*H128,3)</f>
        <v>0</v>
      </c>
      <c r="BL128" s="16" t="s">
        <v>186</v>
      </c>
      <c r="BM128" s="147" t="s">
        <v>533</v>
      </c>
    </row>
    <row r="129" spans="1:65" s="2" customFormat="1" ht="27.75" customHeight="1" x14ac:dyDescent="0.2">
      <c r="A129" s="215"/>
      <c r="B129" s="135"/>
      <c r="C129" s="136">
        <v>2</v>
      </c>
      <c r="D129" s="136" t="s">
        <v>115</v>
      </c>
      <c r="E129" s="137" t="s">
        <v>1012</v>
      </c>
      <c r="F129" s="138" t="s">
        <v>1013</v>
      </c>
      <c r="G129" s="139" t="s">
        <v>118</v>
      </c>
      <c r="H129" s="140">
        <v>6.5289999999999999</v>
      </c>
      <c r="I129" s="140"/>
      <c r="J129" s="140">
        <f t="shared" ref="J129" si="10">ROUND(I129*H129,3)</f>
        <v>0</v>
      </c>
      <c r="K129" s="142"/>
      <c r="L129" s="29"/>
      <c r="M129" s="143" t="s">
        <v>1</v>
      </c>
      <c r="N129" s="144"/>
      <c r="O129" s="145">
        <v>0.39</v>
      </c>
      <c r="P129" s="145">
        <f t="shared" ref="P129" si="11">O129*H129</f>
        <v>2.5463100000000001</v>
      </c>
      <c r="Q129" s="145">
        <v>0</v>
      </c>
      <c r="R129" s="145">
        <f t="shared" ref="R129" si="12">Q129*H129</f>
        <v>0</v>
      </c>
      <c r="S129" s="145">
        <v>1.4919999999999999E-2</v>
      </c>
      <c r="T129" s="146">
        <f t="shared" ref="T129" si="13">S129*H129</f>
        <v>9.7412679999999988E-2</v>
      </c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R129" s="147" t="s">
        <v>186</v>
      </c>
      <c r="AT129" s="147" t="s">
        <v>115</v>
      </c>
      <c r="AU129" s="147" t="s">
        <v>120</v>
      </c>
      <c r="AY129" s="16" t="s">
        <v>113</v>
      </c>
      <c r="BE129" s="148">
        <f t="shared" ref="BE129" si="14">IF(N129="základná",J129,0)</f>
        <v>0</v>
      </c>
      <c r="BF129" s="148">
        <f t="shared" ref="BF129" si="15">IF(N129="znížená",J129,0)</f>
        <v>0</v>
      </c>
      <c r="BG129" s="148">
        <f t="shared" ref="BG129" si="16">IF(N129="zákl. prenesená",J129,0)</f>
        <v>0</v>
      </c>
      <c r="BH129" s="148">
        <f t="shared" ref="BH129" si="17">IF(N129="zníž. prenesená",J129,0)</f>
        <v>0</v>
      </c>
      <c r="BI129" s="148">
        <f t="shared" ref="BI129" si="18">IF(N129="nulová",J129,0)</f>
        <v>0</v>
      </c>
      <c r="BJ129" s="16" t="s">
        <v>120</v>
      </c>
      <c r="BK129" s="227">
        <f t="shared" ref="BK129" si="19">ROUND(I129*H129,3)</f>
        <v>0</v>
      </c>
      <c r="BL129" s="16" t="s">
        <v>186</v>
      </c>
      <c r="BM129" s="147" t="s">
        <v>533</v>
      </c>
    </row>
    <row r="130" spans="1:65" s="2" customFormat="1" ht="27.75" customHeight="1" x14ac:dyDescent="0.2">
      <c r="A130" s="215"/>
      <c r="B130" s="135"/>
      <c r="C130" s="136">
        <v>3</v>
      </c>
      <c r="D130" s="136" t="s">
        <v>115</v>
      </c>
      <c r="E130" s="137" t="s">
        <v>1014</v>
      </c>
      <c r="F130" s="138" t="s">
        <v>1015</v>
      </c>
      <c r="G130" s="139" t="s">
        <v>118</v>
      </c>
      <c r="H130" s="140">
        <v>6.5289999999999999</v>
      </c>
      <c r="I130" s="140"/>
      <c r="J130" s="140">
        <f t="shared" ref="J130" si="20">ROUND(I130*H130,3)</f>
        <v>0</v>
      </c>
      <c r="K130" s="142"/>
      <c r="L130" s="29"/>
      <c r="M130" s="143" t="s">
        <v>1</v>
      </c>
      <c r="N130" s="144"/>
      <c r="O130" s="145">
        <v>0.39</v>
      </c>
      <c r="P130" s="145">
        <f t="shared" ref="P130" si="21">O130*H130</f>
        <v>2.5463100000000001</v>
      </c>
      <c r="Q130" s="145">
        <v>0</v>
      </c>
      <c r="R130" s="145">
        <f t="shared" ref="R130" si="22">Q130*H130</f>
        <v>0</v>
      </c>
      <c r="S130" s="145">
        <v>1.4919999999999999E-2</v>
      </c>
      <c r="T130" s="146">
        <f t="shared" ref="T130" si="23">S130*H130</f>
        <v>9.7412679999999988E-2</v>
      </c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R130" s="147" t="s">
        <v>186</v>
      </c>
      <c r="AT130" s="147" t="s">
        <v>115</v>
      </c>
      <c r="AU130" s="147" t="s">
        <v>120</v>
      </c>
      <c r="AY130" s="16" t="s">
        <v>113</v>
      </c>
      <c r="BE130" s="148">
        <f t="shared" ref="BE130" si="24">IF(N130="základná",J130,0)</f>
        <v>0</v>
      </c>
      <c r="BF130" s="148">
        <f t="shared" ref="BF130" si="25">IF(N130="znížená",J130,0)</f>
        <v>0</v>
      </c>
      <c r="BG130" s="148">
        <f t="shared" ref="BG130" si="26">IF(N130="zákl. prenesená",J130,0)</f>
        <v>0</v>
      </c>
      <c r="BH130" s="148">
        <f t="shared" ref="BH130" si="27">IF(N130="zníž. prenesená",J130,0)</f>
        <v>0</v>
      </c>
      <c r="BI130" s="148">
        <f t="shared" ref="BI130" si="28">IF(N130="nulová",J130,0)</f>
        <v>0</v>
      </c>
      <c r="BJ130" s="16" t="s">
        <v>120</v>
      </c>
      <c r="BK130" s="227">
        <f t="shared" ref="BK130" si="29">ROUND(I130*H130,3)</f>
        <v>0</v>
      </c>
      <c r="BL130" s="16" t="s">
        <v>186</v>
      </c>
      <c r="BM130" s="147" t="s">
        <v>533</v>
      </c>
    </row>
    <row r="131" spans="1:65" s="2" customFormat="1" ht="27.75" customHeight="1" x14ac:dyDescent="0.2">
      <c r="A131" s="215"/>
      <c r="B131" s="135"/>
      <c r="C131" s="136">
        <v>4</v>
      </c>
      <c r="D131" s="136" t="s">
        <v>115</v>
      </c>
      <c r="E131" s="137" t="s">
        <v>1016</v>
      </c>
      <c r="F131" s="138" t="s">
        <v>1017</v>
      </c>
      <c r="G131" s="139" t="s">
        <v>161</v>
      </c>
      <c r="H131" s="140">
        <v>20.38</v>
      </c>
      <c r="I131" s="140"/>
      <c r="J131" s="140">
        <f t="shared" ref="J131" si="30">ROUND(I131*H131,3)</f>
        <v>0</v>
      </c>
      <c r="K131" s="142"/>
      <c r="L131" s="29"/>
      <c r="M131" s="143" t="s">
        <v>1</v>
      </c>
      <c r="N131" s="144"/>
      <c r="O131" s="145">
        <v>0.39</v>
      </c>
      <c r="P131" s="145">
        <f t="shared" ref="P131" si="31">O131*H131</f>
        <v>7.9481999999999999</v>
      </c>
      <c r="Q131" s="145">
        <v>0</v>
      </c>
      <c r="R131" s="145">
        <f t="shared" ref="R131" si="32">Q131*H131</f>
        <v>0</v>
      </c>
      <c r="S131" s="145">
        <v>1.4919999999999999E-2</v>
      </c>
      <c r="T131" s="146">
        <f t="shared" ref="T131" si="33">S131*H131</f>
        <v>0.3040696</v>
      </c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R131" s="147" t="s">
        <v>186</v>
      </c>
      <c r="AT131" s="147" t="s">
        <v>115</v>
      </c>
      <c r="AU131" s="147" t="s">
        <v>120</v>
      </c>
      <c r="AY131" s="16" t="s">
        <v>113</v>
      </c>
      <c r="BE131" s="148">
        <f t="shared" ref="BE131" si="34">IF(N131="základná",J131,0)</f>
        <v>0</v>
      </c>
      <c r="BF131" s="148">
        <f t="shared" ref="BF131" si="35">IF(N131="znížená",J131,0)</f>
        <v>0</v>
      </c>
      <c r="BG131" s="148">
        <f t="shared" ref="BG131" si="36">IF(N131="zákl. prenesená",J131,0)</f>
        <v>0</v>
      </c>
      <c r="BH131" s="148">
        <f t="shared" ref="BH131" si="37">IF(N131="zníž. prenesená",J131,0)</f>
        <v>0</v>
      </c>
      <c r="BI131" s="148">
        <f t="shared" ref="BI131" si="38">IF(N131="nulová",J131,0)</f>
        <v>0</v>
      </c>
      <c r="BJ131" s="16" t="s">
        <v>120</v>
      </c>
      <c r="BK131" s="227">
        <f t="shared" ref="BK131" si="39">ROUND(I131*H131,3)</f>
        <v>0</v>
      </c>
      <c r="BL131" s="16" t="s">
        <v>186</v>
      </c>
      <c r="BM131" s="147" t="s">
        <v>533</v>
      </c>
    </row>
    <row r="132" spans="1:65" s="2" customFormat="1" ht="27.75" customHeight="1" x14ac:dyDescent="0.2">
      <c r="A132" s="215"/>
      <c r="B132" s="135"/>
      <c r="C132" s="136">
        <v>5</v>
      </c>
      <c r="D132" s="136" t="s">
        <v>115</v>
      </c>
      <c r="E132" s="137" t="s">
        <v>1018</v>
      </c>
      <c r="F132" s="138" t="s">
        <v>1019</v>
      </c>
      <c r="G132" s="139" t="s">
        <v>161</v>
      </c>
      <c r="H132" s="140">
        <v>20.38</v>
      </c>
      <c r="I132" s="140"/>
      <c r="J132" s="140">
        <f t="shared" ref="J132" si="40">ROUND(I132*H132,3)</f>
        <v>0</v>
      </c>
      <c r="K132" s="142"/>
      <c r="L132" s="29"/>
      <c r="M132" s="143" t="s">
        <v>1</v>
      </c>
      <c r="N132" s="144"/>
      <c r="O132" s="145">
        <v>0.39</v>
      </c>
      <c r="P132" s="145">
        <f t="shared" ref="P132" si="41">O132*H132</f>
        <v>7.9481999999999999</v>
      </c>
      <c r="Q132" s="145">
        <v>0</v>
      </c>
      <c r="R132" s="145">
        <f t="shared" ref="R132" si="42">Q132*H132</f>
        <v>0</v>
      </c>
      <c r="S132" s="145">
        <v>1.4919999999999999E-2</v>
      </c>
      <c r="T132" s="146">
        <f t="shared" ref="T132" si="43">S132*H132</f>
        <v>0.3040696</v>
      </c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R132" s="147" t="s">
        <v>186</v>
      </c>
      <c r="AT132" s="147" t="s">
        <v>115</v>
      </c>
      <c r="AU132" s="147" t="s">
        <v>120</v>
      </c>
      <c r="AY132" s="16" t="s">
        <v>113</v>
      </c>
      <c r="BE132" s="148">
        <f t="shared" ref="BE132" si="44">IF(N132="základná",J132,0)</f>
        <v>0</v>
      </c>
      <c r="BF132" s="148">
        <f t="shared" ref="BF132" si="45">IF(N132="znížená",J132,0)</f>
        <v>0</v>
      </c>
      <c r="BG132" s="148">
        <f t="shared" ref="BG132" si="46">IF(N132="zákl. prenesená",J132,0)</f>
        <v>0</v>
      </c>
      <c r="BH132" s="148">
        <f t="shared" ref="BH132" si="47">IF(N132="zníž. prenesená",J132,0)</f>
        <v>0</v>
      </c>
      <c r="BI132" s="148">
        <f t="shared" ref="BI132" si="48">IF(N132="nulová",J132,0)</f>
        <v>0</v>
      </c>
      <c r="BJ132" s="16" t="s">
        <v>120</v>
      </c>
      <c r="BK132" s="227">
        <f t="shared" ref="BK132" si="49">ROUND(I132*H132,3)</f>
        <v>0</v>
      </c>
      <c r="BL132" s="16" t="s">
        <v>186</v>
      </c>
      <c r="BM132" s="147" t="s">
        <v>533</v>
      </c>
    </row>
    <row r="133" spans="1:65" s="2" customFormat="1" ht="27.75" customHeight="1" x14ac:dyDescent="0.2">
      <c r="A133" s="215"/>
      <c r="B133" s="135"/>
      <c r="C133" s="136">
        <v>6</v>
      </c>
      <c r="D133" s="136" t="s">
        <v>115</v>
      </c>
      <c r="E133" s="137" t="s">
        <v>1020</v>
      </c>
      <c r="F133" s="138" t="s">
        <v>1021</v>
      </c>
      <c r="G133" s="139" t="s">
        <v>118</v>
      </c>
      <c r="H133" s="140">
        <v>1.5</v>
      </c>
      <c r="I133" s="140"/>
      <c r="J133" s="140">
        <f t="shared" ref="J133" si="50">ROUND(I133*H133,3)</f>
        <v>0</v>
      </c>
      <c r="K133" s="142"/>
      <c r="L133" s="29"/>
      <c r="M133" s="143" t="s">
        <v>1</v>
      </c>
      <c r="N133" s="144"/>
      <c r="O133" s="145">
        <v>0.39</v>
      </c>
      <c r="P133" s="145">
        <f t="shared" ref="P133" si="51">O133*H133</f>
        <v>0.58499999999999996</v>
      </c>
      <c r="Q133" s="145">
        <v>0</v>
      </c>
      <c r="R133" s="145">
        <f t="shared" ref="R133" si="52">Q133*H133</f>
        <v>0</v>
      </c>
      <c r="S133" s="145">
        <v>1.4919999999999999E-2</v>
      </c>
      <c r="T133" s="146">
        <f t="shared" ref="T133" si="53">S133*H133</f>
        <v>2.2379999999999997E-2</v>
      </c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R133" s="147" t="s">
        <v>186</v>
      </c>
      <c r="AT133" s="147" t="s">
        <v>115</v>
      </c>
      <c r="AU133" s="147" t="s">
        <v>120</v>
      </c>
      <c r="AY133" s="16" t="s">
        <v>113</v>
      </c>
      <c r="BE133" s="148">
        <f t="shared" ref="BE133" si="54">IF(N133="základná",J133,0)</f>
        <v>0</v>
      </c>
      <c r="BF133" s="148">
        <f t="shared" ref="BF133" si="55">IF(N133="znížená",J133,0)</f>
        <v>0</v>
      </c>
      <c r="BG133" s="148">
        <f t="shared" ref="BG133" si="56">IF(N133="zákl. prenesená",J133,0)</f>
        <v>0</v>
      </c>
      <c r="BH133" s="148">
        <f t="shared" ref="BH133" si="57">IF(N133="zníž. prenesená",J133,0)</f>
        <v>0</v>
      </c>
      <c r="BI133" s="148">
        <f t="shared" ref="BI133" si="58">IF(N133="nulová",J133,0)</f>
        <v>0</v>
      </c>
      <c r="BJ133" s="16" t="s">
        <v>120</v>
      </c>
      <c r="BK133" s="227">
        <f t="shared" ref="BK133" si="59">ROUND(I133*H133,3)</f>
        <v>0</v>
      </c>
      <c r="BL133" s="16" t="s">
        <v>186</v>
      </c>
      <c r="BM133" s="147" t="s">
        <v>533</v>
      </c>
    </row>
    <row r="134" spans="1:65" s="2" customFormat="1" ht="27.75" customHeight="1" x14ac:dyDescent="0.2">
      <c r="A134" s="215"/>
      <c r="B134" s="135"/>
      <c r="C134" s="136">
        <v>7</v>
      </c>
      <c r="D134" s="136" t="s">
        <v>115</v>
      </c>
      <c r="E134" s="137" t="s">
        <v>1022</v>
      </c>
      <c r="F134" s="138" t="s">
        <v>1023</v>
      </c>
      <c r="G134" s="139" t="s">
        <v>118</v>
      </c>
      <c r="H134" s="140">
        <v>1.5</v>
      </c>
      <c r="I134" s="140"/>
      <c r="J134" s="140">
        <f t="shared" ref="J134" si="60">ROUND(I134*H134,3)</f>
        <v>0</v>
      </c>
      <c r="K134" s="142"/>
      <c r="L134" s="29"/>
      <c r="M134" s="143" t="s">
        <v>1</v>
      </c>
      <c r="N134" s="144"/>
      <c r="O134" s="145">
        <v>0.39</v>
      </c>
      <c r="P134" s="145">
        <f t="shared" ref="P134" si="61">O134*H134</f>
        <v>0.58499999999999996</v>
      </c>
      <c r="Q134" s="145">
        <v>0</v>
      </c>
      <c r="R134" s="145">
        <f t="shared" ref="R134" si="62">Q134*H134</f>
        <v>0</v>
      </c>
      <c r="S134" s="145">
        <v>1.4919999999999999E-2</v>
      </c>
      <c r="T134" s="146">
        <f t="shared" ref="T134" si="63">S134*H134</f>
        <v>2.2379999999999997E-2</v>
      </c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R134" s="147" t="s">
        <v>186</v>
      </c>
      <c r="AT134" s="147" t="s">
        <v>115</v>
      </c>
      <c r="AU134" s="147" t="s">
        <v>120</v>
      </c>
      <c r="AY134" s="16" t="s">
        <v>113</v>
      </c>
      <c r="BE134" s="148">
        <f t="shared" ref="BE134" si="64">IF(N134="základná",J134,0)</f>
        <v>0</v>
      </c>
      <c r="BF134" s="148">
        <f t="shared" ref="BF134" si="65">IF(N134="znížená",J134,0)</f>
        <v>0</v>
      </c>
      <c r="BG134" s="148">
        <f t="shared" ref="BG134" si="66">IF(N134="zákl. prenesená",J134,0)</f>
        <v>0</v>
      </c>
      <c r="BH134" s="148">
        <f t="shared" ref="BH134" si="67">IF(N134="zníž. prenesená",J134,0)</f>
        <v>0</v>
      </c>
      <c r="BI134" s="148">
        <f t="shared" ref="BI134" si="68">IF(N134="nulová",J134,0)</f>
        <v>0</v>
      </c>
      <c r="BJ134" s="16" t="s">
        <v>120</v>
      </c>
      <c r="BK134" s="227">
        <f t="shared" ref="BK134" si="69">ROUND(I134*H134,3)</f>
        <v>0</v>
      </c>
      <c r="BL134" s="16" t="s">
        <v>186</v>
      </c>
      <c r="BM134" s="147" t="s">
        <v>533</v>
      </c>
    </row>
    <row r="135" spans="1:65" s="2" customFormat="1" ht="27.75" customHeight="1" x14ac:dyDescent="0.2">
      <c r="A135" s="215"/>
      <c r="B135" s="135"/>
      <c r="C135" s="136">
        <v>8</v>
      </c>
      <c r="D135" s="136" t="s">
        <v>115</v>
      </c>
      <c r="E135" s="137" t="s">
        <v>1024</v>
      </c>
      <c r="F135" s="138" t="s">
        <v>1025</v>
      </c>
      <c r="G135" s="139" t="s">
        <v>118</v>
      </c>
      <c r="H135" s="140">
        <v>5.0679999999999996</v>
      </c>
      <c r="I135" s="140"/>
      <c r="J135" s="140">
        <f t="shared" ref="J135" si="70">ROUND(I135*H135,3)</f>
        <v>0</v>
      </c>
      <c r="K135" s="142"/>
      <c r="L135" s="29"/>
      <c r="M135" s="143" t="s">
        <v>1</v>
      </c>
      <c r="N135" s="144"/>
      <c r="O135" s="145">
        <v>0.39</v>
      </c>
      <c r="P135" s="145">
        <f t="shared" ref="P135" si="71">O135*H135</f>
        <v>1.9765199999999998</v>
      </c>
      <c r="Q135" s="145">
        <v>0</v>
      </c>
      <c r="R135" s="145">
        <f t="shared" ref="R135" si="72">Q135*H135</f>
        <v>0</v>
      </c>
      <c r="S135" s="145">
        <v>1.4919999999999999E-2</v>
      </c>
      <c r="T135" s="146">
        <f t="shared" ref="T135" si="73">S135*H135</f>
        <v>7.5614559999999997E-2</v>
      </c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R135" s="147" t="s">
        <v>186</v>
      </c>
      <c r="AT135" s="147" t="s">
        <v>115</v>
      </c>
      <c r="AU135" s="147" t="s">
        <v>120</v>
      </c>
      <c r="AY135" s="16" t="s">
        <v>113</v>
      </c>
      <c r="BE135" s="148">
        <f t="shared" ref="BE135" si="74">IF(N135="základná",J135,0)</f>
        <v>0</v>
      </c>
      <c r="BF135" s="148">
        <f t="shared" ref="BF135" si="75">IF(N135="znížená",J135,0)</f>
        <v>0</v>
      </c>
      <c r="BG135" s="148">
        <f t="shared" ref="BG135" si="76">IF(N135="zákl. prenesená",J135,0)</f>
        <v>0</v>
      </c>
      <c r="BH135" s="148">
        <f t="shared" ref="BH135" si="77">IF(N135="zníž. prenesená",J135,0)</f>
        <v>0</v>
      </c>
      <c r="BI135" s="148">
        <f t="shared" ref="BI135" si="78">IF(N135="nulová",J135,0)</f>
        <v>0</v>
      </c>
      <c r="BJ135" s="16" t="s">
        <v>120</v>
      </c>
      <c r="BK135" s="227">
        <f t="shared" ref="BK135" si="79">ROUND(I135*H135,3)</f>
        <v>0</v>
      </c>
      <c r="BL135" s="16" t="s">
        <v>186</v>
      </c>
      <c r="BM135" s="147" t="s">
        <v>533</v>
      </c>
    </row>
    <row r="136" spans="1:65" s="2" customFormat="1" ht="34.5" customHeight="1" x14ac:dyDescent="0.2">
      <c r="A136" s="215"/>
      <c r="B136" s="135"/>
      <c r="C136" s="136">
        <v>9</v>
      </c>
      <c r="D136" s="136" t="s">
        <v>115</v>
      </c>
      <c r="E136" s="137" t="s">
        <v>1026</v>
      </c>
      <c r="F136" s="138" t="s">
        <v>1027</v>
      </c>
      <c r="G136" s="139" t="s">
        <v>118</v>
      </c>
      <c r="H136" s="140">
        <v>10.135999999999999</v>
      </c>
      <c r="I136" s="140"/>
      <c r="J136" s="140">
        <f t="shared" ref="J136:J137" si="80">ROUND(I136*H136,3)</f>
        <v>0</v>
      </c>
      <c r="K136" s="142"/>
      <c r="L136" s="29"/>
      <c r="M136" s="143" t="s">
        <v>1</v>
      </c>
      <c r="N136" s="144"/>
      <c r="O136" s="145">
        <v>0.39</v>
      </c>
      <c r="P136" s="145">
        <f t="shared" ref="P136:P137" si="81">O136*H136</f>
        <v>3.9530399999999997</v>
      </c>
      <c r="Q136" s="145">
        <v>0</v>
      </c>
      <c r="R136" s="145">
        <f t="shared" ref="R136:R137" si="82">Q136*H136</f>
        <v>0</v>
      </c>
      <c r="S136" s="145">
        <v>1.4919999999999999E-2</v>
      </c>
      <c r="T136" s="146">
        <f t="shared" ref="T136:T137" si="83">S136*H136</f>
        <v>0.15122911999999999</v>
      </c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R136" s="147" t="s">
        <v>186</v>
      </c>
      <c r="AT136" s="147" t="s">
        <v>115</v>
      </c>
      <c r="AU136" s="147" t="s">
        <v>120</v>
      </c>
      <c r="AY136" s="16" t="s">
        <v>113</v>
      </c>
      <c r="BE136" s="148">
        <f t="shared" ref="BE136:BE137" si="84">IF(N136="základná",J136,0)</f>
        <v>0</v>
      </c>
      <c r="BF136" s="148">
        <f t="shared" ref="BF136:BF137" si="85">IF(N136="znížená",J136,0)</f>
        <v>0</v>
      </c>
      <c r="BG136" s="148">
        <f t="shared" ref="BG136:BG137" si="86">IF(N136="zákl. prenesená",J136,0)</f>
        <v>0</v>
      </c>
      <c r="BH136" s="148">
        <f t="shared" ref="BH136:BH137" si="87">IF(N136="zníž. prenesená",J136,0)</f>
        <v>0</v>
      </c>
      <c r="BI136" s="148">
        <f t="shared" ref="BI136:BI137" si="88">IF(N136="nulová",J136,0)</f>
        <v>0</v>
      </c>
      <c r="BJ136" s="16" t="s">
        <v>120</v>
      </c>
      <c r="BK136" s="227">
        <f t="shared" ref="BK136:BK137" si="89">ROUND(I136*H136,3)</f>
        <v>0</v>
      </c>
      <c r="BL136" s="16" t="s">
        <v>186</v>
      </c>
      <c r="BM136" s="147" t="s">
        <v>533</v>
      </c>
    </row>
    <row r="137" spans="1:65" s="2" customFormat="1" ht="19.5" customHeight="1" x14ac:dyDescent="0.2">
      <c r="A137" s="215"/>
      <c r="B137" s="135"/>
      <c r="C137" s="136">
        <v>10</v>
      </c>
      <c r="D137" s="136" t="s">
        <v>115</v>
      </c>
      <c r="E137" s="137" t="s">
        <v>1028</v>
      </c>
      <c r="F137" s="138" t="s">
        <v>1029</v>
      </c>
      <c r="G137" s="139" t="s">
        <v>118</v>
      </c>
      <c r="H137" s="140">
        <v>5.0679999999999996</v>
      </c>
      <c r="I137" s="140"/>
      <c r="J137" s="140">
        <f t="shared" si="80"/>
        <v>0</v>
      </c>
      <c r="K137" s="142"/>
      <c r="L137" s="29"/>
      <c r="M137" s="143" t="s">
        <v>1</v>
      </c>
      <c r="N137" s="144"/>
      <c r="O137" s="145">
        <v>0.39</v>
      </c>
      <c r="P137" s="145">
        <f t="shared" si="81"/>
        <v>1.9765199999999998</v>
      </c>
      <c r="Q137" s="145">
        <v>0</v>
      </c>
      <c r="R137" s="145">
        <f t="shared" si="82"/>
        <v>0</v>
      </c>
      <c r="S137" s="145">
        <v>1.4919999999999999E-2</v>
      </c>
      <c r="T137" s="146">
        <f t="shared" si="83"/>
        <v>7.5614559999999997E-2</v>
      </c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R137" s="147" t="s">
        <v>186</v>
      </c>
      <c r="AT137" s="147" t="s">
        <v>115</v>
      </c>
      <c r="AU137" s="147" t="s">
        <v>120</v>
      </c>
      <c r="AY137" s="16" t="s">
        <v>113</v>
      </c>
      <c r="BE137" s="148">
        <f t="shared" si="84"/>
        <v>0</v>
      </c>
      <c r="BF137" s="148">
        <f t="shared" si="85"/>
        <v>0</v>
      </c>
      <c r="BG137" s="148">
        <f t="shared" si="86"/>
        <v>0</v>
      </c>
      <c r="BH137" s="148">
        <f t="shared" si="87"/>
        <v>0</v>
      </c>
      <c r="BI137" s="148">
        <f t="shared" si="88"/>
        <v>0</v>
      </c>
      <c r="BJ137" s="16" t="s">
        <v>120</v>
      </c>
      <c r="BK137" s="227">
        <f t="shared" si="89"/>
        <v>0</v>
      </c>
      <c r="BL137" s="16" t="s">
        <v>186</v>
      </c>
      <c r="BM137" s="147" t="s">
        <v>533</v>
      </c>
    </row>
    <row r="138" spans="1:65" s="2" customFormat="1" ht="24.75" customHeight="1" x14ac:dyDescent="0.2">
      <c r="A138" s="215"/>
      <c r="B138" s="135"/>
      <c r="C138" s="136">
        <v>11</v>
      </c>
      <c r="D138" s="136" t="s">
        <v>115</v>
      </c>
      <c r="E138" s="137" t="s">
        <v>1030</v>
      </c>
      <c r="F138" s="138" t="s">
        <v>1031</v>
      </c>
      <c r="G138" s="139" t="s">
        <v>229</v>
      </c>
      <c r="H138" s="140">
        <v>5.0679999999999996</v>
      </c>
      <c r="I138" s="140"/>
      <c r="J138" s="140">
        <f t="shared" ref="J138" si="90">ROUND(I138*H138,3)</f>
        <v>0</v>
      </c>
      <c r="K138" s="142"/>
      <c r="L138" s="29"/>
      <c r="M138" s="143" t="s">
        <v>1</v>
      </c>
      <c r="N138" s="144"/>
      <c r="O138" s="145">
        <v>0.39</v>
      </c>
      <c r="P138" s="145">
        <f t="shared" ref="P138" si="91">O138*H138</f>
        <v>1.9765199999999998</v>
      </c>
      <c r="Q138" s="145">
        <v>0</v>
      </c>
      <c r="R138" s="145">
        <f t="shared" ref="R138" si="92">Q138*H138</f>
        <v>0</v>
      </c>
      <c r="S138" s="145">
        <v>1.4919999999999999E-2</v>
      </c>
      <c r="T138" s="146">
        <f t="shared" ref="T138" si="93">S138*H138</f>
        <v>7.5614559999999997E-2</v>
      </c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R138" s="147" t="s">
        <v>186</v>
      </c>
      <c r="AT138" s="147" t="s">
        <v>115</v>
      </c>
      <c r="AU138" s="147" t="s">
        <v>120</v>
      </c>
      <c r="AY138" s="16" t="s">
        <v>113</v>
      </c>
      <c r="BE138" s="148">
        <f t="shared" ref="BE138" si="94">IF(N138="základná",J138,0)</f>
        <v>0</v>
      </c>
      <c r="BF138" s="148">
        <f t="shared" ref="BF138" si="95">IF(N138="znížená",J138,0)</f>
        <v>0</v>
      </c>
      <c r="BG138" s="148">
        <f t="shared" ref="BG138" si="96">IF(N138="zákl. prenesená",J138,0)</f>
        <v>0</v>
      </c>
      <c r="BH138" s="148">
        <f t="shared" ref="BH138" si="97">IF(N138="zníž. prenesená",J138,0)</f>
        <v>0</v>
      </c>
      <c r="BI138" s="148">
        <f t="shared" ref="BI138" si="98">IF(N138="nulová",J138,0)</f>
        <v>0</v>
      </c>
      <c r="BJ138" s="16" t="s">
        <v>120</v>
      </c>
      <c r="BK138" s="227">
        <f t="shared" ref="BK138" si="99">ROUND(I138*H138,3)</f>
        <v>0</v>
      </c>
      <c r="BL138" s="16" t="s">
        <v>186</v>
      </c>
      <c r="BM138" s="147" t="s">
        <v>533</v>
      </c>
    </row>
    <row r="139" spans="1:65" s="2" customFormat="1" ht="24.75" customHeight="1" x14ac:dyDescent="0.2">
      <c r="A139" s="215"/>
      <c r="B139" s="135"/>
      <c r="C139" s="136">
        <v>12</v>
      </c>
      <c r="D139" s="136" t="s">
        <v>115</v>
      </c>
      <c r="E139" s="137" t="s">
        <v>1032</v>
      </c>
      <c r="F139" s="138" t="s">
        <v>1033</v>
      </c>
      <c r="G139" s="139" t="s">
        <v>118</v>
      </c>
      <c r="H139" s="140">
        <v>1.83</v>
      </c>
      <c r="I139" s="140"/>
      <c r="J139" s="140">
        <f t="shared" ref="J139" si="100">ROUND(I139*H139,3)</f>
        <v>0</v>
      </c>
      <c r="K139" s="142"/>
      <c r="L139" s="29"/>
      <c r="M139" s="143" t="s">
        <v>1</v>
      </c>
      <c r="N139" s="144"/>
      <c r="O139" s="145">
        <v>0.39</v>
      </c>
      <c r="P139" s="145">
        <f t="shared" ref="P139" si="101">O139*H139</f>
        <v>0.7137</v>
      </c>
      <c r="Q139" s="145">
        <v>0</v>
      </c>
      <c r="R139" s="145">
        <f t="shared" ref="R139" si="102">Q139*H139</f>
        <v>0</v>
      </c>
      <c r="S139" s="145">
        <v>1.4919999999999999E-2</v>
      </c>
      <c r="T139" s="146">
        <f t="shared" ref="T139" si="103">S139*H139</f>
        <v>2.7303600000000001E-2</v>
      </c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R139" s="147" t="s">
        <v>186</v>
      </c>
      <c r="AT139" s="147" t="s">
        <v>115</v>
      </c>
      <c r="AU139" s="147" t="s">
        <v>120</v>
      </c>
      <c r="AY139" s="16" t="s">
        <v>113</v>
      </c>
      <c r="BE139" s="148">
        <f t="shared" ref="BE139" si="104">IF(N139="základná",J139,0)</f>
        <v>0</v>
      </c>
      <c r="BF139" s="148">
        <f t="shared" ref="BF139" si="105">IF(N139="znížená",J139,0)</f>
        <v>0</v>
      </c>
      <c r="BG139" s="148">
        <f t="shared" ref="BG139" si="106">IF(N139="zákl. prenesená",J139,0)</f>
        <v>0</v>
      </c>
      <c r="BH139" s="148">
        <f t="shared" ref="BH139" si="107">IF(N139="zníž. prenesená",J139,0)</f>
        <v>0</v>
      </c>
      <c r="BI139" s="148">
        <f t="shared" ref="BI139" si="108">IF(N139="nulová",J139,0)</f>
        <v>0</v>
      </c>
      <c r="BJ139" s="16" t="s">
        <v>120</v>
      </c>
      <c r="BK139" s="227">
        <f t="shared" ref="BK139" si="109">ROUND(I139*H139,3)</f>
        <v>0</v>
      </c>
      <c r="BL139" s="16" t="s">
        <v>186</v>
      </c>
      <c r="BM139" s="147" t="s">
        <v>533</v>
      </c>
    </row>
    <row r="140" spans="1:65" s="2" customFormat="1" ht="21.75" customHeight="1" x14ac:dyDescent="0.2">
      <c r="A140" s="215"/>
      <c r="B140" s="135"/>
      <c r="C140" s="164">
        <v>13</v>
      </c>
      <c r="D140" s="164" t="s">
        <v>268</v>
      </c>
      <c r="E140" s="165" t="s">
        <v>1034</v>
      </c>
      <c r="F140" s="166" t="s">
        <v>1035</v>
      </c>
      <c r="G140" s="167" t="s">
        <v>229</v>
      </c>
      <c r="H140" s="168">
        <v>2.9279999999999999</v>
      </c>
      <c r="I140" s="168"/>
      <c r="J140" s="168">
        <f>ROUND(I140*H140,3)</f>
        <v>0</v>
      </c>
      <c r="K140" s="170"/>
      <c r="L140" s="171"/>
      <c r="M140" s="172" t="s">
        <v>1</v>
      </c>
      <c r="N140" s="144"/>
      <c r="O140" s="145">
        <v>0</v>
      </c>
      <c r="P140" s="145">
        <f>O140*H140</f>
        <v>0</v>
      </c>
      <c r="Q140" s="145">
        <v>3.0000000000000001E-5</v>
      </c>
      <c r="R140" s="145">
        <f>Q140*H140</f>
        <v>8.7839999999999999E-5</v>
      </c>
      <c r="S140" s="145">
        <v>0</v>
      </c>
      <c r="T140" s="146">
        <f>S140*H140</f>
        <v>0</v>
      </c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R140" s="147" t="s">
        <v>237</v>
      </c>
      <c r="AT140" s="147" t="s">
        <v>268</v>
      </c>
      <c r="AU140" s="147" t="s">
        <v>120</v>
      </c>
      <c r="AY140" s="16" t="s">
        <v>113</v>
      </c>
      <c r="BE140" s="148">
        <f>IF(N140="základná",J140,0)</f>
        <v>0</v>
      </c>
      <c r="BF140" s="148">
        <f>IF(N140="znížená",J140,0)</f>
        <v>0</v>
      </c>
      <c r="BG140" s="148">
        <f>IF(N140="zákl. prenesená",J140,0)</f>
        <v>0</v>
      </c>
      <c r="BH140" s="148">
        <f>IF(N140="zníž. prenesená",J140,0)</f>
        <v>0</v>
      </c>
      <c r="BI140" s="148">
        <f>IF(N140="nulová",J140,0)</f>
        <v>0</v>
      </c>
      <c r="BJ140" s="16" t="s">
        <v>120</v>
      </c>
      <c r="BK140" s="227">
        <f>ROUND(I140*H140,3)</f>
        <v>0</v>
      </c>
      <c r="BL140" s="16" t="s">
        <v>186</v>
      </c>
      <c r="BM140" s="147" t="s">
        <v>525</v>
      </c>
    </row>
    <row r="141" spans="1:65" s="2" customFormat="1" ht="24.75" customHeight="1" x14ac:dyDescent="0.2">
      <c r="A141" s="215"/>
      <c r="B141" s="135"/>
      <c r="C141" s="136">
        <v>14</v>
      </c>
      <c r="D141" s="136" t="s">
        <v>115</v>
      </c>
      <c r="E141" s="137" t="s">
        <v>1036</v>
      </c>
      <c r="F141" s="138" t="s">
        <v>1037</v>
      </c>
      <c r="G141" s="139" t="s">
        <v>161</v>
      </c>
      <c r="H141" s="140">
        <v>4</v>
      </c>
      <c r="I141" s="140"/>
      <c r="J141" s="140">
        <f t="shared" ref="J141" si="110">ROUND(I141*H141,3)</f>
        <v>0</v>
      </c>
      <c r="K141" s="142"/>
      <c r="L141" s="29"/>
      <c r="M141" s="143" t="s">
        <v>1</v>
      </c>
      <c r="N141" s="144"/>
      <c r="O141" s="145">
        <v>0.39</v>
      </c>
      <c r="P141" s="145">
        <f t="shared" ref="P141" si="111">O141*H141</f>
        <v>1.56</v>
      </c>
      <c r="Q141" s="145">
        <v>0</v>
      </c>
      <c r="R141" s="145">
        <f t="shared" ref="R141" si="112">Q141*H141</f>
        <v>0</v>
      </c>
      <c r="S141" s="145">
        <v>1.4919999999999999E-2</v>
      </c>
      <c r="T141" s="146">
        <f t="shared" ref="T141" si="113">S141*H141</f>
        <v>5.9679999999999997E-2</v>
      </c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R141" s="147" t="s">
        <v>186</v>
      </c>
      <c r="AT141" s="147" t="s">
        <v>115</v>
      </c>
      <c r="AU141" s="147" t="s">
        <v>120</v>
      </c>
      <c r="AY141" s="16" t="s">
        <v>113</v>
      </c>
      <c r="BE141" s="148">
        <f t="shared" ref="BE141" si="114">IF(N141="základná",J141,0)</f>
        <v>0</v>
      </c>
      <c r="BF141" s="148">
        <f t="shared" ref="BF141" si="115">IF(N141="znížená",J141,0)</f>
        <v>0</v>
      </c>
      <c r="BG141" s="148">
        <f t="shared" ref="BG141" si="116">IF(N141="zákl. prenesená",J141,0)</f>
        <v>0</v>
      </c>
      <c r="BH141" s="148">
        <f t="shared" ref="BH141" si="117">IF(N141="zníž. prenesená",J141,0)</f>
        <v>0</v>
      </c>
      <c r="BI141" s="148">
        <f t="shared" ref="BI141" si="118">IF(N141="nulová",J141,0)</f>
        <v>0</v>
      </c>
      <c r="BJ141" s="16" t="s">
        <v>120</v>
      </c>
      <c r="BK141" s="227">
        <f t="shared" ref="BK141" si="119">ROUND(I141*H141,3)</f>
        <v>0</v>
      </c>
      <c r="BL141" s="16" t="s">
        <v>186</v>
      </c>
      <c r="BM141" s="147" t="s">
        <v>533</v>
      </c>
    </row>
    <row r="142" spans="1:65" s="2" customFormat="1" ht="24.75" customHeight="1" x14ac:dyDescent="0.2">
      <c r="A142" s="215"/>
      <c r="B142" s="135"/>
      <c r="C142" s="136">
        <v>15</v>
      </c>
      <c r="D142" s="136" t="s">
        <v>115</v>
      </c>
      <c r="E142" s="137" t="s">
        <v>1038</v>
      </c>
      <c r="F142" s="138" t="s">
        <v>1039</v>
      </c>
      <c r="G142" s="139" t="s">
        <v>161</v>
      </c>
      <c r="H142" s="140">
        <v>4</v>
      </c>
      <c r="I142" s="140"/>
      <c r="J142" s="140">
        <f t="shared" ref="J142" si="120">ROUND(I142*H142,3)</f>
        <v>0</v>
      </c>
      <c r="K142" s="142"/>
      <c r="L142" s="29"/>
      <c r="M142" s="143" t="s">
        <v>1</v>
      </c>
      <c r="N142" s="144"/>
      <c r="O142" s="145">
        <v>0.39</v>
      </c>
      <c r="P142" s="145">
        <f t="shared" ref="P142" si="121">O142*H142</f>
        <v>1.56</v>
      </c>
      <c r="Q142" s="145">
        <v>0</v>
      </c>
      <c r="R142" s="145">
        <f t="shared" ref="R142" si="122">Q142*H142</f>
        <v>0</v>
      </c>
      <c r="S142" s="145">
        <v>1.4919999999999999E-2</v>
      </c>
      <c r="T142" s="146">
        <f t="shared" ref="T142" si="123">S142*H142</f>
        <v>5.9679999999999997E-2</v>
      </c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R142" s="147" t="s">
        <v>186</v>
      </c>
      <c r="AT142" s="147" t="s">
        <v>115</v>
      </c>
      <c r="AU142" s="147" t="s">
        <v>120</v>
      </c>
      <c r="AY142" s="16" t="s">
        <v>113</v>
      </c>
      <c r="BE142" s="148">
        <f t="shared" ref="BE142" si="124">IF(N142="základná",J142,0)</f>
        <v>0</v>
      </c>
      <c r="BF142" s="148">
        <f t="shared" ref="BF142" si="125">IF(N142="znížená",J142,0)</f>
        <v>0</v>
      </c>
      <c r="BG142" s="148">
        <f t="shared" ref="BG142" si="126">IF(N142="zákl. prenesená",J142,0)</f>
        <v>0</v>
      </c>
      <c r="BH142" s="148">
        <f t="shared" ref="BH142" si="127">IF(N142="zníž. prenesená",J142,0)</f>
        <v>0</v>
      </c>
      <c r="BI142" s="148">
        <f t="shared" ref="BI142" si="128">IF(N142="nulová",J142,0)</f>
        <v>0</v>
      </c>
      <c r="BJ142" s="16" t="s">
        <v>120</v>
      </c>
      <c r="BK142" s="227">
        <f t="shared" ref="BK142" si="129">ROUND(I142*H142,3)</f>
        <v>0</v>
      </c>
      <c r="BL142" s="16" t="s">
        <v>186</v>
      </c>
      <c r="BM142" s="147" t="s">
        <v>533</v>
      </c>
    </row>
    <row r="143" spans="1:65" s="2" customFormat="1" ht="21.75" customHeight="1" x14ac:dyDescent="0.2">
      <c r="A143" s="215"/>
      <c r="B143" s="135"/>
      <c r="C143" s="164">
        <v>16</v>
      </c>
      <c r="D143" s="164" t="s">
        <v>268</v>
      </c>
      <c r="E143" s="165" t="s">
        <v>1040</v>
      </c>
      <c r="F143" s="166" t="s">
        <v>1041</v>
      </c>
      <c r="G143" s="167" t="s">
        <v>271</v>
      </c>
      <c r="H143" s="168">
        <v>0.2</v>
      </c>
      <c r="I143" s="168"/>
      <c r="J143" s="168">
        <f>ROUND(I143*H143,3)</f>
        <v>0</v>
      </c>
      <c r="K143" s="170"/>
      <c r="L143" s="171"/>
      <c r="M143" s="172" t="s">
        <v>1</v>
      </c>
      <c r="N143" s="144"/>
      <c r="O143" s="145">
        <v>0</v>
      </c>
      <c r="P143" s="145">
        <f>O143*H143</f>
        <v>0</v>
      </c>
      <c r="Q143" s="145">
        <v>3.0000000000000001E-5</v>
      </c>
      <c r="R143" s="145">
        <f>Q143*H143</f>
        <v>6.0000000000000002E-6</v>
      </c>
      <c r="S143" s="145">
        <v>0</v>
      </c>
      <c r="T143" s="146">
        <f>S143*H143</f>
        <v>0</v>
      </c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R143" s="147" t="s">
        <v>237</v>
      </c>
      <c r="AT143" s="147" t="s">
        <v>268</v>
      </c>
      <c r="AU143" s="147" t="s">
        <v>120</v>
      </c>
      <c r="AY143" s="16" t="s">
        <v>113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6" t="s">
        <v>120</v>
      </c>
      <c r="BK143" s="227">
        <f>ROUND(I143*H143,3)</f>
        <v>0</v>
      </c>
      <c r="BL143" s="16" t="s">
        <v>186</v>
      </c>
      <c r="BM143" s="147" t="s">
        <v>525</v>
      </c>
    </row>
    <row r="144" spans="1:65" s="2" customFormat="1" ht="24.75" customHeight="1" x14ac:dyDescent="0.2">
      <c r="A144" s="215"/>
      <c r="B144" s="135"/>
      <c r="C144" s="136">
        <v>17</v>
      </c>
      <c r="D144" s="136" t="s">
        <v>115</v>
      </c>
      <c r="E144" s="137" t="s">
        <v>1042</v>
      </c>
      <c r="F144" s="138" t="s">
        <v>1043</v>
      </c>
      <c r="G144" s="139" t="s">
        <v>161</v>
      </c>
      <c r="H144" s="140">
        <v>6.1139999999999999</v>
      </c>
      <c r="I144" s="140"/>
      <c r="J144" s="140">
        <f t="shared" ref="J144" si="130">ROUND(I144*H144,3)</f>
        <v>0</v>
      </c>
      <c r="K144" s="142"/>
      <c r="L144" s="29"/>
      <c r="M144" s="143" t="s">
        <v>1</v>
      </c>
      <c r="N144" s="144"/>
      <c r="O144" s="145">
        <v>0.39</v>
      </c>
      <c r="P144" s="145">
        <f t="shared" ref="P144" si="131">O144*H144</f>
        <v>2.3844600000000002</v>
      </c>
      <c r="Q144" s="145">
        <v>0</v>
      </c>
      <c r="R144" s="145">
        <f t="shared" ref="R144" si="132">Q144*H144</f>
        <v>0</v>
      </c>
      <c r="S144" s="145">
        <v>1.4919999999999999E-2</v>
      </c>
      <c r="T144" s="146">
        <f t="shared" ref="T144" si="133">S144*H144</f>
        <v>9.122087999999999E-2</v>
      </c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R144" s="147" t="s">
        <v>186</v>
      </c>
      <c r="AT144" s="147" t="s">
        <v>115</v>
      </c>
      <c r="AU144" s="147" t="s">
        <v>120</v>
      </c>
      <c r="AY144" s="16" t="s">
        <v>113</v>
      </c>
      <c r="BE144" s="148">
        <f t="shared" ref="BE144" si="134">IF(N144="základná",J144,0)</f>
        <v>0</v>
      </c>
      <c r="BF144" s="148">
        <f t="shared" ref="BF144" si="135">IF(N144="znížená",J144,0)</f>
        <v>0</v>
      </c>
      <c r="BG144" s="148">
        <f t="shared" ref="BG144" si="136">IF(N144="zákl. prenesená",J144,0)</f>
        <v>0</v>
      </c>
      <c r="BH144" s="148">
        <f t="shared" ref="BH144" si="137">IF(N144="zníž. prenesená",J144,0)</f>
        <v>0</v>
      </c>
      <c r="BI144" s="148">
        <f t="shared" ref="BI144" si="138">IF(N144="nulová",J144,0)</f>
        <v>0</v>
      </c>
      <c r="BJ144" s="16" t="s">
        <v>120</v>
      </c>
      <c r="BK144" s="227">
        <f t="shared" ref="BK144" si="139">ROUND(I144*H144,3)</f>
        <v>0</v>
      </c>
      <c r="BL144" s="16" t="s">
        <v>186</v>
      </c>
      <c r="BM144" s="147" t="s">
        <v>533</v>
      </c>
    </row>
    <row r="145" spans="1:65" s="2" customFormat="1" ht="24.75" customHeight="1" x14ac:dyDescent="0.2">
      <c r="A145" s="215"/>
      <c r="B145" s="135"/>
      <c r="C145" s="136">
        <v>18</v>
      </c>
      <c r="D145" s="136" t="s">
        <v>115</v>
      </c>
      <c r="E145" s="137" t="s">
        <v>1044</v>
      </c>
      <c r="F145" s="138" t="s">
        <v>1045</v>
      </c>
      <c r="G145" s="139" t="s">
        <v>161</v>
      </c>
      <c r="H145" s="140">
        <v>6.1139999999999999</v>
      </c>
      <c r="I145" s="140"/>
      <c r="J145" s="140">
        <f t="shared" ref="J145" si="140">ROUND(I145*H145,3)</f>
        <v>0</v>
      </c>
      <c r="K145" s="142"/>
      <c r="L145" s="29"/>
      <c r="M145" s="143" t="s">
        <v>1</v>
      </c>
      <c r="N145" s="144"/>
      <c r="O145" s="145">
        <v>0.39</v>
      </c>
      <c r="P145" s="145">
        <f t="shared" ref="P145" si="141">O145*H145</f>
        <v>2.3844600000000002</v>
      </c>
      <c r="Q145" s="145">
        <v>0</v>
      </c>
      <c r="R145" s="145">
        <f t="shared" ref="R145" si="142">Q145*H145</f>
        <v>0</v>
      </c>
      <c r="S145" s="145">
        <v>1.4919999999999999E-2</v>
      </c>
      <c r="T145" s="146">
        <f t="shared" ref="T145" si="143">S145*H145</f>
        <v>9.122087999999999E-2</v>
      </c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R145" s="147" t="s">
        <v>186</v>
      </c>
      <c r="AT145" s="147" t="s">
        <v>115</v>
      </c>
      <c r="AU145" s="147" t="s">
        <v>120</v>
      </c>
      <c r="AY145" s="16" t="s">
        <v>113</v>
      </c>
      <c r="BE145" s="148">
        <f t="shared" ref="BE145:BE146" si="144">IF(N145="základná",J145,0)</f>
        <v>0</v>
      </c>
      <c r="BF145" s="148">
        <f t="shared" ref="BF145:BF146" si="145">IF(N145="znížená",J145,0)</f>
        <v>0</v>
      </c>
      <c r="BG145" s="148">
        <f t="shared" ref="BG145:BG146" si="146">IF(N145="zákl. prenesená",J145,0)</f>
        <v>0</v>
      </c>
      <c r="BH145" s="148">
        <f t="shared" ref="BH145:BH146" si="147">IF(N145="zníž. prenesená",J145,0)</f>
        <v>0</v>
      </c>
      <c r="BI145" s="148">
        <f t="shared" ref="BI145:BI146" si="148">IF(N145="nulová",J145,0)</f>
        <v>0</v>
      </c>
      <c r="BJ145" s="16" t="s">
        <v>120</v>
      </c>
      <c r="BK145" s="227">
        <f t="shared" ref="BK145" si="149">ROUND(I145*H145,3)</f>
        <v>0</v>
      </c>
      <c r="BL145" s="16" t="s">
        <v>186</v>
      </c>
      <c r="BM145" s="147" t="s">
        <v>533</v>
      </c>
    </row>
    <row r="146" spans="1:65" s="12" customFormat="1" ht="22.9" customHeight="1" x14ac:dyDescent="0.2">
      <c r="B146" s="123"/>
      <c r="D146" s="124" t="s">
        <v>71</v>
      </c>
      <c r="E146" s="133">
        <v>5</v>
      </c>
      <c r="F146" s="133" t="s">
        <v>1046</v>
      </c>
      <c r="J146" s="226">
        <f>J147+J148+J149+J150</f>
        <v>0</v>
      </c>
      <c r="L146" s="123"/>
      <c r="M146" s="127"/>
      <c r="N146" s="128"/>
      <c r="O146" s="128"/>
      <c r="P146" s="129" t="e">
        <f>SUM(P147:P182)</f>
        <v>#REF!</v>
      </c>
      <c r="Q146" s="128"/>
      <c r="R146" s="129" t="e">
        <f>SUM(R147:R182)</f>
        <v>#REF!</v>
      </c>
      <c r="S146" s="128"/>
      <c r="T146" s="130" t="e">
        <f>SUM(T147:T182)</f>
        <v>#REF!</v>
      </c>
      <c r="AR146" s="124" t="s">
        <v>120</v>
      </c>
      <c r="AT146" s="131" t="s">
        <v>71</v>
      </c>
      <c r="AU146" s="131" t="s">
        <v>77</v>
      </c>
      <c r="AY146" s="124" t="s">
        <v>113</v>
      </c>
      <c r="BE146" s="12">
        <f t="shared" si="144"/>
        <v>0</v>
      </c>
      <c r="BF146" s="12">
        <f t="shared" si="145"/>
        <v>0</v>
      </c>
      <c r="BG146" s="12">
        <f t="shared" si="146"/>
        <v>0</v>
      </c>
      <c r="BH146" s="12">
        <f t="shared" si="147"/>
        <v>0</v>
      </c>
      <c r="BI146" s="12">
        <f t="shared" si="148"/>
        <v>0</v>
      </c>
      <c r="BK146" s="225" t="e">
        <f>SUM(BK147:BK182)</f>
        <v>#REF!</v>
      </c>
    </row>
    <row r="147" spans="1:65" s="2" customFormat="1" ht="24.75" customHeight="1" x14ac:dyDescent="0.2">
      <c r="A147" s="215"/>
      <c r="B147" s="135"/>
      <c r="C147" s="136">
        <v>19</v>
      </c>
      <c r="D147" s="136" t="s">
        <v>115</v>
      </c>
      <c r="E147" s="137" t="s">
        <v>1047</v>
      </c>
      <c r="F147" s="138" t="s">
        <v>1048</v>
      </c>
      <c r="G147" s="139" t="s">
        <v>161</v>
      </c>
      <c r="H147" s="140">
        <v>0.8</v>
      </c>
      <c r="I147" s="140"/>
      <c r="J147" s="140">
        <f t="shared" ref="J147" si="150">ROUND(I147*H147,3)</f>
        <v>0</v>
      </c>
      <c r="K147" s="142"/>
      <c r="L147" s="29"/>
      <c r="M147" s="143" t="s">
        <v>1</v>
      </c>
      <c r="N147" s="144"/>
      <c r="O147" s="145">
        <v>0.39</v>
      </c>
      <c r="P147" s="145">
        <f t="shared" ref="P147" si="151">O147*H147</f>
        <v>0.31200000000000006</v>
      </c>
      <c r="Q147" s="145">
        <v>0</v>
      </c>
      <c r="R147" s="145">
        <f t="shared" ref="R147" si="152">Q147*H147</f>
        <v>0</v>
      </c>
      <c r="S147" s="145">
        <v>1.4919999999999999E-2</v>
      </c>
      <c r="T147" s="146">
        <f t="shared" ref="T147" si="153">S147*H147</f>
        <v>1.1936E-2</v>
      </c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R147" s="147" t="s">
        <v>186</v>
      </c>
      <c r="AT147" s="147" t="s">
        <v>115</v>
      </c>
      <c r="AU147" s="147" t="s">
        <v>120</v>
      </c>
      <c r="AY147" s="16" t="s">
        <v>113</v>
      </c>
      <c r="BE147" s="148">
        <f t="shared" ref="BE147" si="154">IF(N147="základná",J147,0)</f>
        <v>0</v>
      </c>
      <c r="BF147" s="148">
        <f t="shared" ref="BF147" si="155">IF(N147="znížená",J147,0)</f>
        <v>0</v>
      </c>
      <c r="BG147" s="148">
        <f t="shared" ref="BG147" si="156">IF(N147="zákl. prenesená",J147,0)</f>
        <v>0</v>
      </c>
      <c r="BH147" s="148">
        <f t="shared" ref="BH147" si="157">IF(N147="zníž. prenesená",J147,0)</f>
        <v>0</v>
      </c>
      <c r="BI147" s="148">
        <f t="shared" ref="BI147" si="158">IF(N147="nulová",J147,0)</f>
        <v>0</v>
      </c>
      <c r="BJ147" s="16" t="s">
        <v>120</v>
      </c>
      <c r="BK147" s="227">
        <f t="shared" ref="BK147" si="159">ROUND(I147*H147,3)</f>
        <v>0</v>
      </c>
      <c r="BL147" s="16" t="s">
        <v>186</v>
      </c>
      <c r="BM147" s="147" t="s">
        <v>533</v>
      </c>
    </row>
    <row r="148" spans="1:65" s="2" customFormat="1" ht="24.75" customHeight="1" x14ac:dyDescent="0.2">
      <c r="A148" s="215"/>
      <c r="B148" s="135"/>
      <c r="C148" s="136">
        <v>20</v>
      </c>
      <c r="D148" s="136" t="s">
        <v>115</v>
      </c>
      <c r="E148" s="137" t="s">
        <v>1049</v>
      </c>
      <c r="F148" s="138" t="s">
        <v>1050</v>
      </c>
      <c r="G148" s="139" t="s">
        <v>161</v>
      </c>
      <c r="H148" s="140">
        <v>0.8</v>
      </c>
      <c r="I148" s="140"/>
      <c r="J148" s="140">
        <f t="shared" ref="J148" si="160">ROUND(I148*H148,3)</f>
        <v>0</v>
      </c>
      <c r="K148" s="142"/>
      <c r="L148" s="29"/>
      <c r="M148" s="143" t="s">
        <v>1</v>
      </c>
      <c r="N148" s="144"/>
      <c r="O148" s="145">
        <v>0.39</v>
      </c>
      <c r="P148" s="145">
        <f t="shared" ref="P148" si="161">O148*H148</f>
        <v>0.31200000000000006</v>
      </c>
      <c r="Q148" s="145">
        <v>0</v>
      </c>
      <c r="R148" s="145">
        <f t="shared" ref="R148" si="162">Q148*H148</f>
        <v>0</v>
      </c>
      <c r="S148" s="145">
        <v>1.4919999999999999E-2</v>
      </c>
      <c r="T148" s="146">
        <f t="shared" ref="T148" si="163">S148*H148</f>
        <v>1.1936E-2</v>
      </c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R148" s="147" t="s">
        <v>186</v>
      </c>
      <c r="AT148" s="147" t="s">
        <v>115</v>
      </c>
      <c r="AU148" s="147" t="s">
        <v>120</v>
      </c>
      <c r="AY148" s="16" t="s">
        <v>113</v>
      </c>
      <c r="BE148" s="148">
        <f t="shared" ref="BE148" si="164">IF(N148="základná",J148,0)</f>
        <v>0</v>
      </c>
      <c r="BF148" s="148">
        <f t="shared" ref="BF148" si="165">IF(N148="znížená",J148,0)</f>
        <v>0</v>
      </c>
      <c r="BG148" s="148">
        <f t="shared" ref="BG148" si="166">IF(N148="zákl. prenesená",J148,0)</f>
        <v>0</v>
      </c>
      <c r="BH148" s="148">
        <f t="shared" ref="BH148" si="167">IF(N148="zníž. prenesená",J148,0)</f>
        <v>0</v>
      </c>
      <c r="BI148" s="148">
        <f t="shared" ref="BI148" si="168">IF(N148="nulová",J148,0)</f>
        <v>0</v>
      </c>
      <c r="BJ148" s="16" t="s">
        <v>120</v>
      </c>
      <c r="BK148" s="227">
        <f t="shared" ref="BK148" si="169">ROUND(I148*H148,3)</f>
        <v>0</v>
      </c>
      <c r="BL148" s="16" t="s">
        <v>186</v>
      </c>
      <c r="BM148" s="147" t="s">
        <v>533</v>
      </c>
    </row>
    <row r="149" spans="1:65" s="2" customFormat="1" ht="24.75" customHeight="1" x14ac:dyDescent="0.2">
      <c r="A149" s="215"/>
      <c r="B149" s="135"/>
      <c r="C149" s="136">
        <v>21</v>
      </c>
      <c r="D149" s="136" t="s">
        <v>115</v>
      </c>
      <c r="E149" s="137" t="s">
        <v>1051</v>
      </c>
      <c r="F149" s="138" t="s">
        <v>1052</v>
      </c>
      <c r="G149" s="139" t="s">
        <v>161</v>
      </c>
      <c r="H149" s="140">
        <v>0.8</v>
      </c>
      <c r="I149" s="140"/>
      <c r="J149" s="140">
        <f t="shared" ref="J149" si="170">ROUND(I149*H149,3)</f>
        <v>0</v>
      </c>
      <c r="K149" s="142"/>
      <c r="L149" s="29"/>
      <c r="M149" s="143" t="s">
        <v>1</v>
      </c>
      <c r="N149" s="144"/>
      <c r="O149" s="145">
        <v>0.39</v>
      </c>
      <c r="P149" s="145">
        <f t="shared" ref="P149" si="171">O149*H149</f>
        <v>0.31200000000000006</v>
      </c>
      <c r="Q149" s="145">
        <v>0</v>
      </c>
      <c r="R149" s="145">
        <f t="shared" ref="R149" si="172">Q149*H149</f>
        <v>0</v>
      </c>
      <c r="S149" s="145">
        <v>1.4919999999999999E-2</v>
      </c>
      <c r="T149" s="146">
        <f t="shared" ref="T149" si="173">S149*H149</f>
        <v>1.1936E-2</v>
      </c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R149" s="147" t="s">
        <v>186</v>
      </c>
      <c r="AT149" s="147" t="s">
        <v>115</v>
      </c>
      <c r="AU149" s="147" t="s">
        <v>120</v>
      </c>
      <c r="AY149" s="16" t="s">
        <v>113</v>
      </c>
      <c r="BE149" s="148">
        <f t="shared" ref="BE149" si="174">IF(N149="základná",J149,0)</f>
        <v>0</v>
      </c>
      <c r="BF149" s="148">
        <f t="shared" ref="BF149" si="175">IF(N149="znížená",J149,0)</f>
        <v>0</v>
      </c>
      <c r="BG149" s="148">
        <f t="shared" ref="BG149" si="176">IF(N149="zákl. prenesená",J149,0)</f>
        <v>0</v>
      </c>
      <c r="BH149" s="148">
        <f t="shared" ref="BH149" si="177">IF(N149="zníž. prenesená",J149,0)</f>
        <v>0</v>
      </c>
      <c r="BI149" s="148">
        <f t="shared" ref="BI149" si="178">IF(N149="nulová",J149,0)</f>
        <v>0</v>
      </c>
      <c r="BJ149" s="16" t="s">
        <v>120</v>
      </c>
      <c r="BK149" s="227">
        <f t="shared" ref="BK149" si="179">ROUND(I149*H149,3)</f>
        <v>0</v>
      </c>
      <c r="BL149" s="16" t="s">
        <v>186</v>
      </c>
      <c r="BM149" s="147" t="s">
        <v>533</v>
      </c>
    </row>
    <row r="150" spans="1:65" s="2" customFormat="1" ht="24.75" customHeight="1" x14ac:dyDescent="0.2">
      <c r="A150" s="215"/>
      <c r="B150" s="135"/>
      <c r="C150" s="136">
        <v>22</v>
      </c>
      <c r="D150" s="136" t="s">
        <v>115</v>
      </c>
      <c r="E150" s="137" t="s">
        <v>1053</v>
      </c>
      <c r="F150" s="138" t="s">
        <v>1054</v>
      </c>
      <c r="G150" s="139" t="s">
        <v>161</v>
      </c>
      <c r="H150" s="140">
        <v>6.1139999999999999</v>
      </c>
      <c r="I150" s="140"/>
      <c r="J150" s="140">
        <f t="shared" ref="J150" si="180">ROUND(I150*H150,3)</f>
        <v>0</v>
      </c>
      <c r="K150" s="142"/>
      <c r="L150" s="29"/>
      <c r="M150" s="143" t="s">
        <v>1</v>
      </c>
      <c r="N150" s="144"/>
      <c r="O150" s="145">
        <v>0.39</v>
      </c>
      <c r="P150" s="145">
        <f t="shared" ref="P150" si="181">O150*H150</f>
        <v>2.3844600000000002</v>
      </c>
      <c r="Q150" s="145">
        <v>0</v>
      </c>
      <c r="R150" s="145">
        <f t="shared" ref="R150" si="182">Q150*H150</f>
        <v>0</v>
      </c>
      <c r="S150" s="145">
        <v>1.4919999999999999E-2</v>
      </c>
      <c r="T150" s="146">
        <f t="shared" ref="T150" si="183">S150*H150</f>
        <v>9.122087999999999E-2</v>
      </c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R150" s="147" t="s">
        <v>186</v>
      </c>
      <c r="AT150" s="147" t="s">
        <v>115</v>
      </c>
      <c r="AU150" s="147" t="s">
        <v>120</v>
      </c>
      <c r="AY150" s="16" t="s">
        <v>113</v>
      </c>
      <c r="BE150" s="148">
        <f t="shared" ref="BE150:BE151" si="184">IF(N150="základná",J150,0)</f>
        <v>0</v>
      </c>
      <c r="BF150" s="148">
        <f t="shared" ref="BF150:BF151" si="185">IF(N150="znížená",J150,0)</f>
        <v>0</v>
      </c>
      <c r="BG150" s="148">
        <f t="shared" ref="BG150:BG151" si="186">IF(N150="zákl. prenesená",J150,0)</f>
        <v>0</v>
      </c>
      <c r="BH150" s="148">
        <f t="shared" ref="BH150:BH151" si="187">IF(N150="zníž. prenesená",J150,0)</f>
        <v>0</v>
      </c>
      <c r="BI150" s="148">
        <f t="shared" ref="BI150:BI151" si="188">IF(N150="nulová",J150,0)</f>
        <v>0</v>
      </c>
      <c r="BJ150" s="16" t="s">
        <v>120</v>
      </c>
      <c r="BK150" s="227">
        <f t="shared" ref="BK150" si="189">ROUND(I150*H150,3)</f>
        <v>0</v>
      </c>
      <c r="BL150" s="16" t="s">
        <v>186</v>
      </c>
      <c r="BM150" s="147" t="s">
        <v>533</v>
      </c>
    </row>
    <row r="151" spans="1:65" s="12" customFormat="1" ht="22.9" customHeight="1" x14ac:dyDescent="0.2">
      <c r="B151" s="123"/>
      <c r="D151" s="124" t="s">
        <v>71</v>
      </c>
      <c r="E151" s="133">
        <v>6</v>
      </c>
      <c r="F151" s="133" t="s">
        <v>1055</v>
      </c>
      <c r="J151" s="226">
        <f>J152+J153</f>
        <v>0</v>
      </c>
      <c r="L151" s="123"/>
      <c r="M151" s="127"/>
      <c r="N151" s="128"/>
      <c r="O151" s="128"/>
      <c r="P151" s="129" t="e">
        <f>SUM(P152:P184)</f>
        <v>#REF!</v>
      </c>
      <c r="Q151" s="128"/>
      <c r="R151" s="129" t="e">
        <f>SUM(R152:R184)</f>
        <v>#REF!</v>
      </c>
      <c r="S151" s="128"/>
      <c r="T151" s="130" t="e">
        <f>SUM(T152:T184)</f>
        <v>#REF!</v>
      </c>
      <c r="AR151" s="124" t="s">
        <v>120</v>
      </c>
      <c r="AT151" s="131" t="s">
        <v>71</v>
      </c>
      <c r="AU151" s="131" t="s">
        <v>77</v>
      </c>
      <c r="AY151" s="124" t="s">
        <v>113</v>
      </c>
      <c r="BE151" s="12">
        <f t="shared" si="184"/>
        <v>0</v>
      </c>
      <c r="BF151" s="12">
        <f t="shared" si="185"/>
        <v>0</v>
      </c>
      <c r="BG151" s="12">
        <f t="shared" si="186"/>
        <v>0</v>
      </c>
      <c r="BH151" s="12">
        <f t="shared" si="187"/>
        <v>0</v>
      </c>
      <c r="BI151" s="12">
        <f t="shared" si="188"/>
        <v>0</v>
      </c>
      <c r="BK151" s="225" t="e">
        <f>SUM(BK152:BK184)</f>
        <v>#REF!</v>
      </c>
    </row>
    <row r="152" spans="1:65" s="2" customFormat="1" ht="24.75" customHeight="1" x14ac:dyDescent="0.2">
      <c r="A152" s="215"/>
      <c r="B152" s="135"/>
      <c r="C152" s="136">
        <v>23</v>
      </c>
      <c r="D152" s="136" t="s">
        <v>115</v>
      </c>
      <c r="E152" s="137" t="s">
        <v>1056</v>
      </c>
      <c r="F152" s="138" t="s">
        <v>1057</v>
      </c>
      <c r="G152" s="139" t="s">
        <v>161</v>
      </c>
      <c r="H152" s="140">
        <v>3.5</v>
      </c>
      <c r="I152" s="140"/>
      <c r="J152" s="140">
        <f t="shared" ref="J152:J153" si="190">ROUND(I152*H152,3)</f>
        <v>0</v>
      </c>
      <c r="K152" s="142"/>
      <c r="L152" s="29"/>
      <c r="M152" s="143" t="s">
        <v>1</v>
      </c>
      <c r="N152" s="144"/>
      <c r="O152" s="145">
        <v>0.39</v>
      </c>
      <c r="P152" s="145">
        <f t="shared" ref="P152:P153" si="191">O152*H152</f>
        <v>1.365</v>
      </c>
      <c r="Q152" s="145">
        <v>0</v>
      </c>
      <c r="R152" s="145">
        <f t="shared" ref="R152:R153" si="192">Q152*H152</f>
        <v>0</v>
      </c>
      <c r="S152" s="145">
        <v>1.4919999999999999E-2</v>
      </c>
      <c r="T152" s="146">
        <f t="shared" ref="T152:T153" si="193">S152*H152</f>
        <v>5.2219999999999996E-2</v>
      </c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R152" s="147" t="s">
        <v>186</v>
      </c>
      <c r="AT152" s="147" t="s">
        <v>115</v>
      </c>
      <c r="AU152" s="147" t="s">
        <v>120</v>
      </c>
      <c r="AY152" s="16" t="s">
        <v>113</v>
      </c>
      <c r="BE152" s="148">
        <f t="shared" ref="BE152:BE154" si="194">IF(N152="základná",J152,0)</f>
        <v>0</v>
      </c>
      <c r="BF152" s="148">
        <f t="shared" ref="BF152:BF154" si="195">IF(N152="znížená",J152,0)</f>
        <v>0</v>
      </c>
      <c r="BG152" s="148">
        <f t="shared" ref="BG152:BG154" si="196">IF(N152="zákl. prenesená",J152,0)</f>
        <v>0</v>
      </c>
      <c r="BH152" s="148">
        <f t="shared" ref="BH152:BH154" si="197">IF(N152="zníž. prenesená",J152,0)</f>
        <v>0</v>
      </c>
      <c r="BI152" s="148">
        <f t="shared" ref="BI152:BI154" si="198">IF(N152="nulová",J152,0)</f>
        <v>0</v>
      </c>
      <c r="BJ152" s="16" t="s">
        <v>120</v>
      </c>
      <c r="BK152" s="227">
        <f t="shared" ref="BK152:BK153" si="199">ROUND(I152*H152,3)</f>
        <v>0</v>
      </c>
      <c r="BL152" s="16" t="s">
        <v>186</v>
      </c>
      <c r="BM152" s="147" t="s">
        <v>533</v>
      </c>
    </row>
    <row r="153" spans="1:65" s="2" customFormat="1" ht="24.75" customHeight="1" x14ac:dyDescent="0.2">
      <c r="A153" s="215"/>
      <c r="B153" s="135"/>
      <c r="C153" s="136">
        <v>24</v>
      </c>
      <c r="D153" s="136" t="s">
        <v>115</v>
      </c>
      <c r="E153" s="137" t="s">
        <v>1058</v>
      </c>
      <c r="F153" s="138" t="s">
        <v>1059</v>
      </c>
      <c r="G153" s="139" t="s">
        <v>1060</v>
      </c>
      <c r="H153" s="140">
        <v>15</v>
      </c>
      <c r="I153" s="140"/>
      <c r="J153" s="140">
        <f t="shared" si="190"/>
        <v>0</v>
      </c>
      <c r="K153" s="142"/>
      <c r="L153" s="29"/>
      <c r="M153" s="143" t="s">
        <v>1</v>
      </c>
      <c r="N153" s="144"/>
      <c r="O153" s="145">
        <v>0.39</v>
      </c>
      <c r="P153" s="145">
        <f t="shared" si="191"/>
        <v>5.8500000000000005</v>
      </c>
      <c r="Q153" s="145">
        <v>0</v>
      </c>
      <c r="R153" s="145">
        <f t="shared" si="192"/>
        <v>0</v>
      </c>
      <c r="S153" s="145">
        <v>1.4919999999999999E-2</v>
      </c>
      <c r="T153" s="146">
        <f t="shared" si="193"/>
        <v>0.2238</v>
      </c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R153" s="147" t="s">
        <v>186</v>
      </c>
      <c r="AT153" s="147" t="s">
        <v>115</v>
      </c>
      <c r="AU153" s="147" t="s">
        <v>120</v>
      </c>
      <c r="AY153" s="16" t="s">
        <v>113</v>
      </c>
      <c r="BE153" s="148">
        <f t="shared" si="194"/>
        <v>0</v>
      </c>
      <c r="BF153" s="148">
        <f t="shared" si="195"/>
        <v>0</v>
      </c>
      <c r="BG153" s="148">
        <f t="shared" si="196"/>
        <v>0</v>
      </c>
      <c r="BH153" s="148">
        <f t="shared" si="197"/>
        <v>0</v>
      </c>
      <c r="BI153" s="148">
        <f t="shared" si="198"/>
        <v>0</v>
      </c>
      <c r="BJ153" s="16" t="s">
        <v>120</v>
      </c>
      <c r="BK153" s="227">
        <f t="shared" si="199"/>
        <v>0</v>
      </c>
      <c r="BL153" s="16" t="s">
        <v>186</v>
      </c>
      <c r="BM153" s="147" t="s">
        <v>533</v>
      </c>
    </row>
    <row r="154" spans="1:65" s="12" customFormat="1" ht="22.9" customHeight="1" x14ac:dyDescent="0.2">
      <c r="B154" s="123"/>
      <c r="D154" s="124" t="s">
        <v>71</v>
      </c>
      <c r="E154" s="133">
        <v>8</v>
      </c>
      <c r="F154" s="133" t="s">
        <v>1061</v>
      </c>
      <c r="J154" s="226">
        <f>J155+J156+J157+J158+J159+J162+J160+J161</f>
        <v>0</v>
      </c>
      <c r="L154" s="123"/>
      <c r="M154" s="127"/>
      <c r="N154" s="128"/>
      <c r="O154" s="128"/>
      <c r="P154" s="129" t="e">
        <f>SUM(P155:P184)</f>
        <v>#REF!</v>
      </c>
      <c r="Q154" s="128"/>
      <c r="R154" s="129" t="e">
        <f>SUM(R155:R184)</f>
        <v>#REF!</v>
      </c>
      <c r="S154" s="128"/>
      <c r="T154" s="130" t="e">
        <f>SUM(T155:T184)</f>
        <v>#REF!</v>
      </c>
      <c r="AR154" s="124" t="s">
        <v>120</v>
      </c>
      <c r="AT154" s="131" t="s">
        <v>71</v>
      </c>
      <c r="AU154" s="131" t="s">
        <v>77</v>
      </c>
      <c r="AY154" s="124" t="s">
        <v>113</v>
      </c>
      <c r="BE154" s="12">
        <f t="shared" si="194"/>
        <v>0</v>
      </c>
      <c r="BF154" s="12">
        <f t="shared" si="195"/>
        <v>0</v>
      </c>
      <c r="BG154" s="12">
        <f t="shared" si="196"/>
        <v>0</v>
      </c>
      <c r="BH154" s="12">
        <f t="shared" si="197"/>
        <v>0</v>
      </c>
      <c r="BI154" s="12">
        <f t="shared" si="198"/>
        <v>0</v>
      </c>
      <c r="BK154" s="225" t="e">
        <f>SUM(BK155:BK184)</f>
        <v>#REF!</v>
      </c>
    </row>
    <row r="155" spans="1:65" s="2" customFormat="1" ht="24.75" customHeight="1" x14ac:dyDescent="0.2">
      <c r="A155" s="215"/>
      <c r="B155" s="135"/>
      <c r="C155" s="136">
        <v>25</v>
      </c>
      <c r="D155" s="136" t="s">
        <v>115</v>
      </c>
      <c r="E155" s="137" t="s">
        <v>1056</v>
      </c>
      <c r="F155" s="138" t="s">
        <v>1062</v>
      </c>
      <c r="G155" s="139" t="s">
        <v>151</v>
      </c>
      <c r="H155" s="140">
        <v>10.19</v>
      </c>
      <c r="I155" s="140"/>
      <c r="J155" s="140">
        <f t="shared" ref="J155" si="200">ROUND(I155*H155,3)</f>
        <v>0</v>
      </c>
      <c r="K155" s="142"/>
      <c r="L155" s="29"/>
      <c r="M155" s="143" t="s">
        <v>1</v>
      </c>
      <c r="N155" s="144"/>
      <c r="O155" s="145">
        <v>0.39</v>
      </c>
      <c r="P155" s="145">
        <f t="shared" ref="P155" si="201">O155*H155</f>
        <v>3.9741</v>
      </c>
      <c r="Q155" s="145">
        <v>0</v>
      </c>
      <c r="R155" s="145">
        <f t="shared" ref="R155" si="202">Q155*H155</f>
        <v>0</v>
      </c>
      <c r="S155" s="145">
        <v>1.4919999999999999E-2</v>
      </c>
      <c r="T155" s="146">
        <f t="shared" ref="T155" si="203">S155*H155</f>
        <v>0.1520348</v>
      </c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R155" s="147" t="s">
        <v>186</v>
      </c>
      <c r="AT155" s="147" t="s">
        <v>115</v>
      </c>
      <c r="AU155" s="147" t="s">
        <v>120</v>
      </c>
      <c r="AY155" s="16" t="s">
        <v>113</v>
      </c>
      <c r="BE155" s="148">
        <f t="shared" ref="BE155" si="204">IF(N155="základná",J155,0)</f>
        <v>0</v>
      </c>
      <c r="BF155" s="148">
        <f t="shared" ref="BF155" si="205">IF(N155="znížená",J155,0)</f>
        <v>0</v>
      </c>
      <c r="BG155" s="148">
        <f t="shared" ref="BG155" si="206">IF(N155="zákl. prenesená",J155,0)</f>
        <v>0</v>
      </c>
      <c r="BH155" s="148">
        <f t="shared" ref="BH155" si="207">IF(N155="zníž. prenesená",J155,0)</f>
        <v>0</v>
      </c>
      <c r="BI155" s="148">
        <f t="shared" ref="BI155" si="208">IF(N155="nulová",J155,0)</f>
        <v>0</v>
      </c>
      <c r="BJ155" s="16" t="s">
        <v>120</v>
      </c>
      <c r="BK155" s="227">
        <f t="shared" ref="BK155" si="209">ROUND(I155*H155,3)</f>
        <v>0</v>
      </c>
      <c r="BL155" s="16" t="s">
        <v>186</v>
      </c>
      <c r="BM155" s="147" t="s">
        <v>533</v>
      </c>
    </row>
    <row r="156" spans="1:65" s="2" customFormat="1" ht="21.75" customHeight="1" x14ac:dyDescent="0.2">
      <c r="A156" s="215"/>
      <c r="B156" s="135"/>
      <c r="C156" s="164">
        <v>26</v>
      </c>
      <c r="D156" s="164" t="s">
        <v>268</v>
      </c>
      <c r="E156" s="165" t="s">
        <v>1063</v>
      </c>
      <c r="F156" s="166" t="s">
        <v>1064</v>
      </c>
      <c r="G156" s="167" t="s">
        <v>146</v>
      </c>
      <c r="H156" s="168">
        <v>4</v>
      </c>
      <c r="I156" s="168"/>
      <c r="J156" s="168">
        <f>ROUND(I156*H156,3)</f>
        <v>0</v>
      </c>
      <c r="K156" s="170"/>
      <c r="L156" s="171"/>
      <c r="M156" s="172" t="s">
        <v>1</v>
      </c>
      <c r="N156" s="144"/>
      <c r="O156" s="145">
        <v>0</v>
      </c>
      <c r="P156" s="145">
        <f>O156*H156</f>
        <v>0</v>
      </c>
      <c r="Q156" s="145">
        <v>3.0000000000000001E-5</v>
      </c>
      <c r="R156" s="145">
        <f>Q156*H156</f>
        <v>1.2E-4</v>
      </c>
      <c r="S156" s="145">
        <v>0</v>
      </c>
      <c r="T156" s="146">
        <f>S156*H156</f>
        <v>0</v>
      </c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R156" s="147" t="s">
        <v>237</v>
      </c>
      <c r="AT156" s="147" t="s">
        <v>268</v>
      </c>
      <c r="AU156" s="147" t="s">
        <v>120</v>
      </c>
      <c r="AY156" s="16" t="s">
        <v>113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6" t="s">
        <v>120</v>
      </c>
      <c r="BK156" s="227">
        <f>ROUND(I156*H156,3)</f>
        <v>0</v>
      </c>
      <c r="BL156" s="16" t="s">
        <v>186</v>
      </c>
      <c r="BM156" s="147" t="s">
        <v>525</v>
      </c>
    </row>
    <row r="157" spans="1:65" s="2" customFormat="1" ht="36" customHeight="1" x14ac:dyDescent="0.2">
      <c r="A157" s="215"/>
      <c r="B157" s="135"/>
      <c r="C157" s="136">
        <v>27</v>
      </c>
      <c r="D157" s="136" t="s">
        <v>115</v>
      </c>
      <c r="E157" s="137" t="s">
        <v>1065</v>
      </c>
      <c r="F157" s="138" t="s">
        <v>1066</v>
      </c>
      <c r="G157" s="139" t="s">
        <v>146</v>
      </c>
      <c r="H157" s="140">
        <v>1</v>
      </c>
      <c r="I157" s="140"/>
      <c r="J157" s="140">
        <f t="shared" ref="J157" si="210">ROUND(I157*H157,3)</f>
        <v>0</v>
      </c>
      <c r="K157" s="142"/>
      <c r="L157" s="29"/>
      <c r="M157" s="143" t="s">
        <v>1</v>
      </c>
      <c r="N157" s="144"/>
      <c r="O157" s="145">
        <v>0.39</v>
      </c>
      <c r="P157" s="145">
        <f t="shared" ref="P157" si="211">O157*H157</f>
        <v>0.39</v>
      </c>
      <c r="Q157" s="145">
        <v>0</v>
      </c>
      <c r="R157" s="145">
        <f t="shared" ref="R157" si="212">Q157*H157</f>
        <v>0</v>
      </c>
      <c r="S157" s="145">
        <v>1.4919999999999999E-2</v>
      </c>
      <c r="T157" s="146">
        <f t="shared" ref="T157" si="213">S157*H157</f>
        <v>1.4919999999999999E-2</v>
      </c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R157" s="147" t="s">
        <v>186</v>
      </c>
      <c r="AT157" s="147" t="s">
        <v>115</v>
      </c>
      <c r="AU157" s="147" t="s">
        <v>120</v>
      </c>
      <c r="AY157" s="16" t="s">
        <v>113</v>
      </c>
      <c r="BE157" s="148">
        <f t="shared" ref="BE157" si="214">IF(N157="základná",J157,0)</f>
        <v>0</v>
      </c>
      <c r="BF157" s="148">
        <f t="shared" ref="BF157" si="215">IF(N157="znížená",J157,0)</f>
        <v>0</v>
      </c>
      <c r="BG157" s="148">
        <f t="shared" ref="BG157" si="216">IF(N157="zákl. prenesená",J157,0)</f>
        <v>0</v>
      </c>
      <c r="BH157" s="148">
        <f t="shared" ref="BH157" si="217">IF(N157="zníž. prenesená",J157,0)</f>
        <v>0</v>
      </c>
      <c r="BI157" s="148">
        <f t="shared" ref="BI157" si="218">IF(N157="nulová",J157,0)</f>
        <v>0</v>
      </c>
      <c r="BJ157" s="16" t="s">
        <v>120</v>
      </c>
      <c r="BK157" s="227">
        <f t="shared" ref="BK157" si="219">ROUND(I157*H157,3)</f>
        <v>0</v>
      </c>
      <c r="BL157" s="16" t="s">
        <v>186</v>
      </c>
      <c r="BM157" s="147" t="s">
        <v>533</v>
      </c>
    </row>
    <row r="158" spans="1:65" s="2" customFormat="1" ht="32.25" customHeight="1" x14ac:dyDescent="0.2">
      <c r="A158" s="215"/>
      <c r="B158" s="135"/>
      <c r="C158" s="164">
        <v>28</v>
      </c>
      <c r="D158" s="164" t="s">
        <v>268</v>
      </c>
      <c r="E158" s="165" t="s">
        <v>1067</v>
      </c>
      <c r="F158" s="166" t="s">
        <v>1068</v>
      </c>
      <c r="G158" s="167" t="s">
        <v>146</v>
      </c>
      <c r="H158" s="168">
        <v>1</v>
      </c>
      <c r="I158" s="168"/>
      <c r="J158" s="168">
        <f>ROUND(I158*H158,3)</f>
        <v>0</v>
      </c>
      <c r="K158" s="170"/>
      <c r="L158" s="171"/>
      <c r="M158" s="172" t="s">
        <v>1</v>
      </c>
      <c r="N158" s="144"/>
      <c r="O158" s="145">
        <v>0</v>
      </c>
      <c r="P158" s="145">
        <f>O158*H158</f>
        <v>0</v>
      </c>
      <c r="Q158" s="145">
        <v>3.0000000000000001E-5</v>
      </c>
      <c r="R158" s="145">
        <f>Q158*H158</f>
        <v>3.0000000000000001E-5</v>
      </c>
      <c r="S158" s="145">
        <v>0</v>
      </c>
      <c r="T158" s="146">
        <f>S158*H158</f>
        <v>0</v>
      </c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R158" s="147" t="s">
        <v>237</v>
      </c>
      <c r="AT158" s="147" t="s">
        <v>268</v>
      </c>
      <c r="AU158" s="147" t="s">
        <v>120</v>
      </c>
      <c r="AY158" s="16" t="s">
        <v>113</v>
      </c>
      <c r="BE158" s="148">
        <f>IF(N158="základná",J158,0)</f>
        <v>0</v>
      </c>
      <c r="BF158" s="148">
        <f>IF(N158="znížená",J158,0)</f>
        <v>0</v>
      </c>
      <c r="BG158" s="148">
        <f>IF(N158="zákl. prenesená",J158,0)</f>
        <v>0</v>
      </c>
      <c r="BH158" s="148">
        <f>IF(N158="zníž. prenesená",J158,0)</f>
        <v>0</v>
      </c>
      <c r="BI158" s="148">
        <f>IF(N158="nulová",J158,0)</f>
        <v>0</v>
      </c>
      <c r="BJ158" s="16" t="s">
        <v>120</v>
      </c>
      <c r="BK158" s="227">
        <f>ROUND(I158*H158,3)</f>
        <v>0</v>
      </c>
      <c r="BL158" s="16" t="s">
        <v>186</v>
      </c>
      <c r="BM158" s="147" t="s">
        <v>525</v>
      </c>
    </row>
    <row r="159" spans="1:65" s="2" customFormat="1" ht="32.25" customHeight="1" x14ac:dyDescent="0.2">
      <c r="A159" s="215"/>
      <c r="B159" s="135"/>
      <c r="C159" s="164">
        <v>29</v>
      </c>
      <c r="D159" s="164" t="s">
        <v>268</v>
      </c>
      <c r="E159" s="165" t="s">
        <v>1069</v>
      </c>
      <c r="F159" s="166" t="s">
        <v>1070</v>
      </c>
      <c r="G159" s="167" t="s">
        <v>151</v>
      </c>
      <c r="H159" s="168">
        <v>1.45</v>
      </c>
      <c r="I159" s="168"/>
      <c r="J159" s="168">
        <f>ROUND(I159*H159,3)</f>
        <v>0</v>
      </c>
      <c r="K159" s="170"/>
      <c r="L159" s="171"/>
      <c r="M159" s="172" t="s">
        <v>1</v>
      </c>
      <c r="N159" s="144"/>
      <c r="O159" s="145">
        <v>0</v>
      </c>
      <c r="P159" s="145">
        <f>O159*H159</f>
        <v>0</v>
      </c>
      <c r="Q159" s="145">
        <v>3.0000000000000001E-5</v>
      </c>
      <c r="R159" s="145">
        <f>Q159*H159</f>
        <v>4.35E-5</v>
      </c>
      <c r="S159" s="145">
        <v>0</v>
      </c>
      <c r="T159" s="146">
        <f>S159*H159</f>
        <v>0</v>
      </c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R159" s="147" t="s">
        <v>237</v>
      </c>
      <c r="AT159" s="147" t="s">
        <v>268</v>
      </c>
      <c r="AU159" s="147" t="s">
        <v>120</v>
      </c>
      <c r="AY159" s="16" t="s">
        <v>113</v>
      </c>
      <c r="BE159" s="148">
        <f>IF(N159="základná",J159,0)</f>
        <v>0</v>
      </c>
      <c r="BF159" s="148">
        <f>IF(N159="znížená",J159,0)</f>
        <v>0</v>
      </c>
      <c r="BG159" s="148">
        <f>IF(N159="zákl. prenesená",J159,0)</f>
        <v>0</v>
      </c>
      <c r="BH159" s="148">
        <f>IF(N159="zníž. prenesená",J159,0)</f>
        <v>0</v>
      </c>
      <c r="BI159" s="148">
        <f>IF(N159="nulová",J159,0)</f>
        <v>0</v>
      </c>
      <c r="BJ159" s="16" t="s">
        <v>120</v>
      </c>
      <c r="BK159" s="227">
        <f>ROUND(I159*H159,3)</f>
        <v>0</v>
      </c>
      <c r="BL159" s="16" t="s">
        <v>186</v>
      </c>
      <c r="BM159" s="147" t="s">
        <v>525</v>
      </c>
    </row>
    <row r="160" spans="1:65" s="2" customFormat="1" ht="27" customHeight="1" x14ac:dyDescent="0.2">
      <c r="A160" s="215"/>
      <c r="B160" s="135"/>
      <c r="C160" s="136">
        <v>30</v>
      </c>
      <c r="D160" s="136" t="s">
        <v>115</v>
      </c>
      <c r="E160" s="137" t="s">
        <v>1071</v>
      </c>
      <c r="F160" s="138" t="s">
        <v>1072</v>
      </c>
      <c r="G160" s="139" t="s">
        <v>146</v>
      </c>
      <c r="H160" s="140">
        <v>1</v>
      </c>
      <c r="I160" s="140"/>
      <c r="J160" s="140">
        <f t="shared" ref="J160" si="220">ROUND(I160*H160,3)</f>
        <v>0</v>
      </c>
      <c r="K160" s="142"/>
      <c r="L160" s="29"/>
      <c r="M160" s="143" t="s">
        <v>1</v>
      </c>
      <c r="N160" s="144"/>
      <c r="O160" s="145">
        <v>0.39</v>
      </c>
      <c r="P160" s="145">
        <f t="shared" ref="P160" si="221">O160*H160</f>
        <v>0.39</v>
      </c>
      <c r="Q160" s="145">
        <v>0</v>
      </c>
      <c r="R160" s="145">
        <f t="shared" ref="R160" si="222">Q160*H160</f>
        <v>0</v>
      </c>
      <c r="S160" s="145">
        <v>1.4919999999999999E-2</v>
      </c>
      <c r="T160" s="146">
        <f t="shared" ref="T160" si="223">S160*H160</f>
        <v>1.4919999999999999E-2</v>
      </c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R160" s="147" t="s">
        <v>186</v>
      </c>
      <c r="AT160" s="147" t="s">
        <v>115</v>
      </c>
      <c r="AU160" s="147" t="s">
        <v>120</v>
      </c>
      <c r="AY160" s="16" t="s">
        <v>113</v>
      </c>
      <c r="BE160" s="148">
        <f t="shared" ref="BE160" si="224">IF(N160="základná",J160,0)</f>
        <v>0</v>
      </c>
      <c r="BF160" s="148">
        <f t="shared" ref="BF160" si="225">IF(N160="znížená",J160,0)</f>
        <v>0</v>
      </c>
      <c r="BG160" s="148">
        <f t="shared" ref="BG160" si="226">IF(N160="zákl. prenesená",J160,0)</f>
        <v>0</v>
      </c>
      <c r="BH160" s="148">
        <f t="shared" ref="BH160" si="227">IF(N160="zníž. prenesená",J160,0)</f>
        <v>0</v>
      </c>
      <c r="BI160" s="148">
        <f t="shared" ref="BI160" si="228">IF(N160="nulová",J160,0)</f>
        <v>0</v>
      </c>
      <c r="BJ160" s="16" t="s">
        <v>120</v>
      </c>
      <c r="BK160" s="227">
        <f t="shared" ref="BK160" si="229">ROUND(I160*H160,3)</f>
        <v>0</v>
      </c>
      <c r="BL160" s="16" t="s">
        <v>186</v>
      </c>
      <c r="BM160" s="147" t="s">
        <v>533</v>
      </c>
    </row>
    <row r="161" spans="1:65" s="2" customFormat="1" ht="42" customHeight="1" x14ac:dyDescent="0.2">
      <c r="A161" s="215"/>
      <c r="B161" s="135"/>
      <c r="C161" s="164">
        <v>31</v>
      </c>
      <c r="D161" s="164" t="s">
        <v>268</v>
      </c>
      <c r="E161" s="165" t="s">
        <v>1073</v>
      </c>
      <c r="F161" s="166" t="s">
        <v>1074</v>
      </c>
      <c r="G161" s="167" t="s">
        <v>146</v>
      </c>
      <c r="H161" s="168">
        <v>1</v>
      </c>
      <c r="I161" s="168"/>
      <c r="J161" s="168">
        <f>ROUND(I161*H161,3)</f>
        <v>0</v>
      </c>
      <c r="K161" s="170"/>
      <c r="L161" s="171"/>
      <c r="M161" s="172" t="s">
        <v>1</v>
      </c>
      <c r="N161" s="144"/>
      <c r="O161" s="145">
        <v>0</v>
      </c>
      <c r="P161" s="145">
        <f>O161*H161</f>
        <v>0</v>
      </c>
      <c r="Q161" s="145">
        <v>3.0000000000000001E-5</v>
      </c>
      <c r="R161" s="145">
        <f>Q161*H161</f>
        <v>3.0000000000000001E-5</v>
      </c>
      <c r="S161" s="145">
        <v>0</v>
      </c>
      <c r="T161" s="146">
        <f>S161*H161</f>
        <v>0</v>
      </c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R161" s="147" t="s">
        <v>237</v>
      </c>
      <c r="AT161" s="147" t="s">
        <v>268</v>
      </c>
      <c r="AU161" s="147" t="s">
        <v>120</v>
      </c>
      <c r="AY161" s="16" t="s">
        <v>113</v>
      </c>
      <c r="BE161" s="148">
        <f>IF(N161="základná",J161,0)</f>
        <v>0</v>
      </c>
      <c r="BF161" s="148">
        <f>IF(N161="znížená",J161,0)</f>
        <v>0</v>
      </c>
      <c r="BG161" s="148">
        <f>IF(N161="zákl. prenesená",J161,0)</f>
        <v>0</v>
      </c>
      <c r="BH161" s="148">
        <f>IF(N161="zníž. prenesená",J161,0)</f>
        <v>0</v>
      </c>
      <c r="BI161" s="148">
        <f>IF(N161="nulová",J161,0)</f>
        <v>0</v>
      </c>
      <c r="BJ161" s="16" t="s">
        <v>120</v>
      </c>
      <c r="BK161" s="227">
        <f>ROUND(I161*H161,3)</f>
        <v>0</v>
      </c>
      <c r="BL161" s="16" t="s">
        <v>186</v>
      </c>
      <c r="BM161" s="147" t="s">
        <v>525</v>
      </c>
    </row>
    <row r="162" spans="1:65" s="2" customFormat="1" ht="32.25" customHeight="1" x14ac:dyDescent="0.2">
      <c r="A162" s="215"/>
      <c r="B162" s="135"/>
      <c r="C162" s="164">
        <v>32</v>
      </c>
      <c r="D162" s="164" t="s">
        <v>268</v>
      </c>
      <c r="E162" s="165" t="s">
        <v>1075</v>
      </c>
      <c r="F162" s="166" t="s">
        <v>1076</v>
      </c>
      <c r="G162" s="167" t="s">
        <v>151</v>
      </c>
      <c r="H162" s="168">
        <v>10.19</v>
      </c>
      <c r="I162" s="168"/>
      <c r="J162" s="168">
        <f>ROUND(I162*H162,3)</f>
        <v>0</v>
      </c>
      <c r="K162" s="170"/>
      <c r="L162" s="171"/>
      <c r="M162" s="172" t="s">
        <v>1</v>
      </c>
      <c r="N162" s="144"/>
      <c r="O162" s="145">
        <v>0</v>
      </c>
      <c r="P162" s="145">
        <f>O162*H162</f>
        <v>0</v>
      </c>
      <c r="Q162" s="145">
        <v>3.0000000000000001E-5</v>
      </c>
      <c r="R162" s="145">
        <f>Q162*H162</f>
        <v>3.057E-4</v>
      </c>
      <c r="S162" s="145">
        <v>0</v>
      </c>
      <c r="T162" s="146">
        <f>S162*H162</f>
        <v>0</v>
      </c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R162" s="147" t="s">
        <v>237</v>
      </c>
      <c r="AT162" s="147" t="s">
        <v>268</v>
      </c>
      <c r="AU162" s="147" t="s">
        <v>120</v>
      </c>
      <c r="AY162" s="16" t="s">
        <v>113</v>
      </c>
      <c r="BE162" s="148">
        <f>IF(N162="základná",J162,0)</f>
        <v>0</v>
      </c>
      <c r="BF162" s="148">
        <f>IF(N162="znížená",J162,0)</f>
        <v>0</v>
      </c>
      <c r="BG162" s="148">
        <f>IF(N162="zákl. prenesená",J162,0)</f>
        <v>0</v>
      </c>
      <c r="BH162" s="148">
        <f>IF(N162="zníž. prenesená",J162,0)</f>
        <v>0</v>
      </c>
      <c r="BI162" s="148">
        <f>IF(N162="nulová",J162,0)</f>
        <v>0</v>
      </c>
      <c r="BJ162" s="16" t="s">
        <v>120</v>
      </c>
      <c r="BK162" s="227">
        <f>ROUND(I162*H162,3)</f>
        <v>0</v>
      </c>
      <c r="BL162" s="16" t="s">
        <v>186</v>
      </c>
      <c r="BM162" s="147" t="s">
        <v>525</v>
      </c>
    </row>
    <row r="163" spans="1:65" s="12" customFormat="1" ht="22.9" customHeight="1" x14ac:dyDescent="0.2">
      <c r="B163" s="123"/>
      <c r="D163" s="124" t="s">
        <v>71</v>
      </c>
      <c r="E163" s="133">
        <v>9</v>
      </c>
      <c r="F163" s="133" t="s">
        <v>1077</v>
      </c>
      <c r="J163" s="226">
        <f>J164+J165+J166+J167+J168+J169+J170+J171</f>
        <v>0</v>
      </c>
      <c r="L163" s="123"/>
      <c r="M163" s="127"/>
      <c r="N163" s="128"/>
      <c r="O163" s="128"/>
      <c r="P163" s="129" t="e">
        <f>SUM(P164:P184)</f>
        <v>#REF!</v>
      </c>
      <c r="Q163" s="128"/>
      <c r="R163" s="129" t="e">
        <f>SUM(R164:R184)</f>
        <v>#REF!</v>
      </c>
      <c r="S163" s="128"/>
      <c r="T163" s="130" t="e">
        <f>SUM(T164:T184)</f>
        <v>#REF!</v>
      </c>
      <c r="AR163" s="124" t="s">
        <v>120</v>
      </c>
      <c r="AT163" s="131" t="s">
        <v>71</v>
      </c>
      <c r="AU163" s="131" t="s">
        <v>77</v>
      </c>
      <c r="AY163" s="124" t="s">
        <v>113</v>
      </c>
      <c r="BE163" s="12">
        <f t="shared" ref="BE163:BE164" si="230">IF(N163="základná",J163,0)</f>
        <v>0</v>
      </c>
      <c r="BF163" s="12">
        <f t="shared" ref="BF163:BF164" si="231">IF(N163="znížená",J163,0)</f>
        <v>0</v>
      </c>
      <c r="BG163" s="12">
        <f t="shared" ref="BG163:BG164" si="232">IF(N163="zákl. prenesená",J163,0)</f>
        <v>0</v>
      </c>
      <c r="BH163" s="12">
        <f t="shared" ref="BH163:BH164" si="233">IF(N163="zníž. prenesená",J163,0)</f>
        <v>0</v>
      </c>
      <c r="BI163" s="12">
        <f t="shared" ref="BI163:BI164" si="234">IF(N163="nulová",J163,0)</f>
        <v>0</v>
      </c>
      <c r="BK163" s="225" t="e">
        <f>SUM(BK164:BK184)</f>
        <v>#REF!</v>
      </c>
    </row>
    <row r="164" spans="1:65" s="2" customFormat="1" ht="27" customHeight="1" x14ac:dyDescent="0.2">
      <c r="A164" s="215"/>
      <c r="B164" s="135"/>
      <c r="C164" s="136">
        <v>33</v>
      </c>
      <c r="D164" s="136" t="s">
        <v>115</v>
      </c>
      <c r="E164" s="137" t="s">
        <v>1078</v>
      </c>
      <c r="F164" s="138" t="s">
        <v>1079</v>
      </c>
      <c r="G164" s="139" t="s">
        <v>161</v>
      </c>
      <c r="H164" s="140">
        <v>50</v>
      </c>
      <c r="I164" s="140"/>
      <c r="J164" s="140">
        <f t="shared" ref="J164" si="235">ROUND(I164*H164,3)</f>
        <v>0</v>
      </c>
      <c r="K164" s="142"/>
      <c r="L164" s="29"/>
      <c r="M164" s="143" t="s">
        <v>1</v>
      </c>
      <c r="N164" s="144"/>
      <c r="O164" s="145">
        <v>0.39</v>
      </c>
      <c r="P164" s="145">
        <f t="shared" ref="P164" si="236">O164*H164</f>
        <v>19.5</v>
      </c>
      <c r="Q164" s="145">
        <v>0</v>
      </c>
      <c r="R164" s="145">
        <f t="shared" ref="R164" si="237">Q164*H164</f>
        <v>0</v>
      </c>
      <c r="S164" s="145">
        <v>1.4919999999999999E-2</v>
      </c>
      <c r="T164" s="146">
        <f t="shared" ref="T164" si="238">S164*H164</f>
        <v>0.746</v>
      </c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R164" s="147" t="s">
        <v>186</v>
      </c>
      <c r="AT164" s="147" t="s">
        <v>115</v>
      </c>
      <c r="AU164" s="147" t="s">
        <v>120</v>
      </c>
      <c r="AY164" s="16" t="s">
        <v>113</v>
      </c>
      <c r="BE164" s="148">
        <f t="shared" si="230"/>
        <v>0</v>
      </c>
      <c r="BF164" s="148">
        <f t="shared" si="231"/>
        <v>0</v>
      </c>
      <c r="BG164" s="148">
        <f t="shared" si="232"/>
        <v>0</v>
      </c>
      <c r="BH164" s="148">
        <f t="shared" si="233"/>
        <v>0</v>
      </c>
      <c r="BI164" s="148">
        <f t="shared" si="234"/>
        <v>0</v>
      </c>
      <c r="BJ164" s="16" t="s">
        <v>120</v>
      </c>
      <c r="BK164" s="227">
        <f t="shared" ref="BK164" si="239">ROUND(I164*H164,3)</f>
        <v>0</v>
      </c>
      <c r="BL164" s="16" t="s">
        <v>186</v>
      </c>
      <c r="BM164" s="147" t="s">
        <v>533</v>
      </c>
    </row>
    <row r="165" spans="1:65" s="2" customFormat="1" ht="27" customHeight="1" x14ac:dyDescent="0.2">
      <c r="A165" s="215"/>
      <c r="B165" s="135"/>
      <c r="C165" s="136">
        <v>34</v>
      </c>
      <c r="D165" s="136" t="s">
        <v>115</v>
      </c>
      <c r="E165" s="137" t="s">
        <v>1080</v>
      </c>
      <c r="F165" s="138" t="s">
        <v>1081</v>
      </c>
      <c r="G165" s="139" t="s">
        <v>151</v>
      </c>
      <c r="H165" s="140">
        <v>16.38</v>
      </c>
      <c r="I165" s="140"/>
      <c r="J165" s="140">
        <f t="shared" ref="J165" si="240">ROUND(I165*H165,3)</f>
        <v>0</v>
      </c>
      <c r="K165" s="142"/>
      <c r="L165" s="29"/>
      <c r="M165" s="143" t="s">
        <v>1</v>
      </c>
      <c r="N165" s="144"/>
      <c r="O165" s="145">
        <v>0.39</v>
      </c>
      <c r="P165" s="145">
        <f t="shared" ref="P165" si="241">O165*H165</f>
        <v>6.3881999999999994</v>
      </c>
      <c r="Q165" s="145">
        <v>0</v>
      </c>
      <c r="R165" s="145">
        <f t="shared" ref="R165" si="242">Q165*H165</f>
        <v>0</v>
      </c>
      <c r="S165" s="145">
        <v>1.4919999999999999E-2</v>
      </c>
      <c r="T165" s="146">
        <f t="shared" ref="T165" si="243">S165*H165</f>
        <v>0.24438959999999998</v>
      </c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R165" s="147" t="s">
        <v>186</v>
      </c>
      <c r="AT165" s="147" t="s">
        <v>115</v>
      </c>
      <c r="AU165" s="147" t="s">
        <v>120</v>
      </c>
      <c r="AY165" s="16" t="s">
        <v>113</v>
      </c>
      <c r="BE165" s="148">
        <f t="shared" ref="BE165" si="244">IF(N165="základná",J165,0)</f>
        <v>0</v>
      </c>
      <c r="BF165" s="148">
        <f t="shared" ref="BF165" si="245">IF(N165="znížená",J165,0)</f>
        <v>0</v>
      </c>
      <c r="BG165" s="148">
        <f t="shared" ref="BG165" si="246">IF(N165="zákl. prenesená",J165,0)</f>
        <v>0</v>
      </c>
      <c r="BH165" s="148">
        <f t="shared" ref="BH165" si="247">IF(N165="zníž. prenesená",J165,0)</f>
        <v>0</v>
      </c>
      <c r="BI165" s="148">
        <f t="shared" ref="BI165" si="248">IF(N165="nulová",J165,0)</f>
        <v>0</v>
      </c>
      <c r="BJ165" s="16" t="s">
        <v>120</v>
      </c>
      <c r="BK165" s="227">
        <f t="shared" ref="BK165" si="249">ROUND(I165*H165,3)</f>
        <v>0</v>
      </c>
      <c r="BL165" s="16" t="s">
        <v>186</v>
      </c>
      <c r="BM165" s="147" t="s">
        <v>533</v>
      </c>
    </row>
    <row r="166" spans="1:65" s="2" customFormat="1" ht="27" customHeight="1" x14ac:dyDescent="0.2">
      <c r="A166" s="215"/>
      <c r="B166" s="135"/>
      <c r="C166" s="136">
        <v>35</v>
      </c>
      <c r="D166" s="136" t="s">
        <v>115</v>
      </c>
      <c r="E166" s="137" t="s">
        <v>231</v>
      </c>
      <c r="F166" s="138" t="s">
        <v>1082</v>
      </c>
      <c r="G166" s="139" t="s">
        <v>229</v>
      </c>
      <c r="H166" s="140">
        <v>3.7509999999999999</v>
      </c>
      <c r="I166" s="140"/>
      <c r="J166" s="140">
        <f t="shared" ref="J166" si="250">ROUND(I166*H166,3)</f>
        <v>0</v>
      </c>
      <c r="K166" s="142"/>
      <c r="L166" s="29"/>
      <c r="M166" s="143" t="s">
        <v>1</v>
      </c>
      <c r="N166" s="144"/>
      <c r="O166" s="145">
        <v>0.39</v>
      </c>
      <c r="P166" s="145">
        <f t="shared" ref="P166" si="251">O166*H166</f>
        <v>1.46289</v>
      </c>
      <c r="Q166" s="145">
        <v>0</v>
      </c>
      <c r="R166" s="145">
        <f t="shared" ref="R166" si="252">Q166*H166</f>
        <v>0</v>
      </c>
      <c r="S166" s="145">
        <v>1.4919999999999999E-2</v>
      </c>
      <c r="T166" s="146">
        <f t="shared" ref="T166" si="253">S166*H166</f>
        <v>5.5964919999999994E-2</v>
      </c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R166" s="147" t="s">
        <v>186</v>
      </c>
      <c r="AT166" s="147" t="s">
        <v>115</v>
      </c>
      <c r="AU166" s="147" t="s">
        <v>120</v>
      </c>
      <c r="AY166" s="16" t="s">
        <v>113</v>
      </c>
      <c r="BE166" s="148">
        <f t="shared" ref="BE166" si="254">IF(N166="základná",J166,0)</f>
        <v>0</v>
      </c>
      <c r="BF166" s="148">
        <f t="shared" ref="BF166" si="255">IF(N166="znížená",J166,0)</f>
        <v>0</v>
      </c>
      <c r="BG166" s="148">
        <f t="shared" ref="BG166" si="256">IF(N166="zákl. prenesená",J166,0)</f>
        <v>0</v>
      </c>
      <c r="BH166" s="148">
        <f t="shared" ref="BH166" si="257">IF(N166="zníž. prenesená",J166,0)</f>
        <v>0</v>
      </c>
      <c r="BI166" s="148">
        <f t="shared" ref="BI166" si="258">IF(N166="nulová",J166,0)</f>
        <v>0</v>
      </c>
      <c r="BJ166" s="16" t="s">
        <v>120</v>
      </c>
      <c r="BK166" s="227">
        <f t="shared" ref="BK166" si="259">ROUND(I166*H166,3)</f>
        <v>0</v>
      </c>
      <c r="BL166" s="16" t="s">
        <v>186</v>
      </c>
      <c r="BM166" s="147" t="s">
        <v>533</v>
      </c>
    </row>
    <row r="167" spans="1:65" s="2" customFormat="1" ht="27" customHeight="1" x14ac:dyDescent="0.2">
      <c r="A167" s="215"/>
      <c r="B167" s="135"/>
      <c r="C167" s="136">
        <v>36</v>
      </c>
      <c r="D167" s="136" t="s">
        <v>115</v>
      </c>
      <c r="E167" s="137" t="s">
        <v>234</v>
      </c>
      <c r="F167" s="138" t="s">
        <v>1083</v>
      </c>
      <c r="G167" s="139" t="s">
        <v>229</v>
      </c>
      <c r="H167" s="140">
        <v>30.007999999999999</v>
      </c>
      <c r="I167" s="140"/>
      <c r="J167" s="140">
        <f t="shared" ref="J167" si="260">ROUND(I167*H167,3)</f>
        <v>0</v>
      </c>
      <c r="K167" s="142"/>
      <c r="L167" s="29"/>
      <c r="M167" s="143" t="s">
        <v>1</v>
      </c>
      <c r="N167" s="144"/>
      <c r="O167" s="145">
        <v>0.39</v>
      </c>
      <c r="P167" s="145">
        <f t="shared" ref="P167" si="261">O167*H167</f>
        <v>11.70312</v>
      </c>
      <c r="Q167" s="145">
        <v>0</v>
      </c>
      <c r="R167" s="145">
        <f t="shared" ref="R167" si="262">Q167*H167</f>
        <v>0</v>
      </c>
      <c r="S167" s="145">
        <v>1.4919999999999999E-2</v>
      </c>
      <c r="T167" s="146">
        <f t="shared" ref="T167" si="263">S167*H167</f>
        <v>0.44771935999999996</v>
      </c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R167" s="147" t="s">
        <v>186</v>
      </c>
      <c r="AT167" s="147" t="s">
        <v>115</v>
      </c>
      <c r="AU167" s="147" t="s">
        <v>120</v>
      </c>
      <c r="AY167" s="16" t="s">
        <v>113</v>
      </c>
      <c r="BE167" s="148">
        <f t="shared" ref="BE167" si="264">IF(N167="základná",J167,0)</f>
        <v>0</v>
      </c>
      <c r="BF167" s="148">
        <f t="shared" ref="BF167" si="265">IF(N167="znížená",J167,0)</f>
        <v>0</v>
      </c>
      <c r="BG167" s="148">
        <f t="shared" ref="BG167" si="266">IF(N167="zákl. prenesená",J167,0)</f>
        <v>0</v>
      </c>
      <c r="BH167" s="148">
        <f t="shared" ref="BH167" si="267">IF(N167="zníž. prenesená",J167,0)</f>
        <v>0</v>
      </c>
      <c r="BI167" s="148">
        <f t="shared" ref="BI167" si="268">IF(N167="nulová",J167,0)</f>
        <v>0</v>
      </c>
      <c r="BJ167" s="16" t="s">
        <v>120</v>
      </c>
      <c r="BK167" s="227">
        <f t="shared" ref="BK167" si="269">ROUND(I167*H167,3)</f>
        <v>0</v>
      </c>
      <c r="BL167" s="16" t="s">
        <v>186</v>
      </c>
      <c r="BM167" s="147" t="s">
        <v>533</v>
      </c>
    </row>
    <row r="168" spans="1:65" s="2" customFormat="1" ht="27" customHeight="1" x14ac:dyDescent="0.2">
      <c r="A168" s="215"/>
      <c r="B168" s="135"/>
      <c r="C168" s="136">
        <v>37</v>
      </c>
      <c r="D168" s="136" t="s">
        <v>115</v>
      </c>
      <c r="E168" s="137" t="s">
        <v>238</v>
      </c>
      <c r="F168" s="138" t="s">
        <v>1084</v>
      </c>
      <c r="G168" s="139" t="s">
        <v>229</v>
      </c>
      <c r="H168" s="140">
        <v>18.754999999999999</v>
      </c>
      <c r="I168" s="140"/>
      <c r="J168" s="140">
        <f t="shared" ref="J168" si="270">ROUND(I168*H168,3)</f>
        <v>0</v>
      </c>
      <c r="K168" s="142"/>
      <c r="L168" s="29"/>
      <c r="M168" s="143" t="s">
        <v>1</v>
      </c>
      <c r="N168" s="144"/>
      <c r="O168" s="145">
        <v>0.39</v>
      </c>
      <c r="P168" s="145">
        <f t="shared" ref="P168" si="271">O168*H168</f>
        <v>7.3144499999999999</v>
      </c>
      <c r="Q168" s="145">
        <v>0</v>
      </c>
      <c r="R168" s="145">
        <f t="shared" ref="R168" si="272">Q168*H168</f>
        <v>0</v>
      </c>
      <c r="S168" s="145">
        <v>1.4919999999999999E-2</v>
      </c>
      <c r="T168" s="146">
        <f t="shared" ref="T168" si="273">S168*H168</f>
        <v>0.27982459999999998</v>
      </c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R168" s="147" t="s">
        <v>186</v>
      </c>
      <c r="AT168" s="147" t="s">
        <v>115</v>
      </c>
      <c r="AU168" s="147" t="s">
        <v>120</v>
      </c>
      <c r="AY168" s="16" t="s">
        <v>113</v>
      </c>
      <c r="BE168" s="148">
        <f t="shared" ref="BE168" si="274">IF(N168="základná",J168,0)</f>
        <v>0</v>
      </c>
      <c r="BF168" s="148">
        <f t="shared" ref="BF168" si="275">IF(N168="znížená",J168,0)</f>
        <v>0</v>
      </c>
      <c r="BG168" s="148">
        <f t="shared" ref="BG168" si="276">IF(N168="zákl. prenesená",J168,0)</f>
        <v>0</v>
      </c>
      <c r="BH168" s="148">
        <f t="shared" ref="BH168" si="277">IF(N168="zníž. prenesená",J168,0)</f>
        <v>0</v>
      </c>
      <c r="BI168" s="148">
        <f t="shared" ref="BI168" si="278">IF(N168="nulová",J168,0)</f>
        <v>0</v>
      </c>
      <c r="BJ168" s="16" t="s">
        <v>120</v>
      </c>
      <c r="BK168" s="227">
        <f t="shared" ref="BK168" si="279">ROUND(I168*H168,3)</f>
        <v>0</v>
      </c>
      <c r="BL168" s="16" t="s">
        <v>186</v>
      </c>
      <c r="BM168" s="147" t="s">
        <v>533</v>
      </c>
    </row>
    <row r="169" spans="1:65" s="2" customFormat="1" ht="52.5" customHeight="1" x14ac:dyDescent="0.2">
      <c r="A169" s="215"/>
      <c r="B169" s="135"/>
      <c r="C169" s="136">
        <v>38</v>
      </c>
      <c r="D169" s="136" t="s">
        <v>115</v>
      </c>
      <c r="E169" s="137" t="s">
        <v>1085</v>
      </c>
      <c r="F169" s="138" t="s">
        <v>1086</v>
      </c>
      <c r="G169" s="139" t="s">
        <v>229</v>
      </c>
      <c r="H169" s="140">
        <v>3.7509999999999999</v>
      </c>
      <c r="I169" s="140"/>
      <c r="J169" s="140">
        <f t="shared" ref="J169" si="280">ROUND(I169*H169,3)</f>
        <v>0</v>
      </c>
      <c r="K169" s="142"/>
      <c r="L169" s="29"/>
      <c r="M169" s="143" t="s">
        <v>1</v>
      </c>
      <c r="N169" s="144"/>
      <c r="O169" s="145">
        <v>0.39</v>
      </c>
      <c r="P169" s="145">
        <f t="shared" ref="P169" si="281">O169*H169</f>
        <v>1.46289</v>
      </c>
      <c r="Q169" s="145">
        <v>0</v>
      </c>
      <c r="R169" s="145">
        <f t="shared" ref="R169" si="282">Q169*H169</f>
        <v>0</v>
      </c>
      <c r="S169" s="145">
        <v>1.4919999999999999E-2</v>
      </c>
      <c r="T169" s="146">
        <f t="shared" ref="T169" si="283">S169*H169</f>
        <v>5.5964919999999994E-2</v>
      </c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R169" s="147" t="s">
        <v>186</v>
      </c>
      <c r="AT169" s="147" t="s">
        <v>115</v>
      </c>
      <c r="AU169" s="147" t="s">
        <v>120</v>
      </c>
      <c r="AY169" s="16" t="s">
        <v>113</v>
      </c>
      <c r="BE169" s="148">
        <f t="shared" ref="BE169" si="284">IF(N169="základná",J169,0)</f>
        <v>0</v>
      </c>
      <c r="BF169" s="148">
        <f t="shared" ref="BF169" si="285">IF(N169="znížená",J169,0)</f>
        <v>0</v>
      </c>
      <c r="BG169" s="148">
        <f t="shared" ref="BG169" si="286">IF(N169="zákl. prenesená",J169,0)</f>
        <v>0</v>
      </c>
      <c r="BH169" s="148">
        <f t="shared" ref="BH169" si="287">IF(N169="zníž. prenesená",J169,0)</f>
        <v>0</v>
      </c>
      <c r="BI169" s="148">
        <f t="shared" ref="BI169" si="288">IF(N169="nulová",J169,0)</f>
        <v>0</v>
      </c>
      <c r="BJ169" s="16" t="s">
        <v>120</v>
      </c>
      <c r="BK169" s="227">
        <f t="shared" ref="BK169" si="289">ROUND(I169*H169,3)</f>
        <v>0</v>
      </c>
      <c r="BL169" s="16" t="s">
        <v>186</v>
      </c>
      <c r="BM169" s="147" t="s">
        <v>533</v>
      </c>
    </row>
    <row r="170" spans="1:65" s="2" customFormat="1" ht="27.75" customHeight="1" x14ac:dyDescent="0.2">
      <c r="A170" s="215"/>
      <c r="B170" s="135"/>
      <c r="C170" s="136">
        <v>39</v>
      </c>
      <c r="D170" s="136" t="s">
        <v>115</v>
      </c>
      <c r="E170" s="137" t="s">
        <v>1087</v>
      </c>
      <c r="F170" s="138" t="s">
        <v>1088</v>
      </c>
      <c r="G170" s="139" t="s">
        <v>118</v>
      </c>
      <c r="H170" s="140">
        <v>0.34499999999999997</v>
      </c>
      <c r="I170" s="140"/>
      <c r="J170" s="140">
        <f t="shared" ref="J170" si="290">ROUND(I170*H170,3)</f>
        <v>0</v>
      </c>
      <c r="K170" s="142"/>
      <c r="L170" s="29"/>
      <c r="M170" s="143" t="s">
        <v>1</v>
      </c>
      <c r="N170" s="144"/>
      <c r="O170" s="145">
        <v>0.39</v>
      </c>
      <c r="P170" s="145">
        <f t="shared" ref="P170" si="291">O170*H170</f>
        <v>0.13455</v>
      </c>
      <c r="Q170" s="145">
        <v>0</v>
      </c>
      <c r="R170" s="145">
        <f t="shared" ref="R170" si="292">Q170*H170</f>
        <v>0</v>
      </c>
      <c r="S170" s="145">
        <v>1.4919999999999999E-2</v>
      </c>
      <c r="T170" s="146">
        <f t="shared" ref="T170" si="293">S170*H170</f>
        <v>5.147399999999999E-3</v>
      </c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R170" s="147" t="s">
        <v>186</v>
      </c>
      <c r="AT170" s="147" t="s">
        <v>115</v>
      </c>
      <c r="AU170" s="147" t="s">
        <v>120</v>
      </c>
      <c r="AY170" s="16" t="s">
        <v>113</v>
      </c>
      <c r="BE170" s="148">
        <f t="shared" ref="BE170" si="294">IF(N170="základná",J170,0)</f>
        <v>0</v>
      </c>
      <c r="BF170" s="148">
        <f t="shared" ref="BF170" si="295">IF(N170="znížená",J170,0)</f>
        <v>0</v>
      </c>
      <c r="BG170" s="148">
        <f t="shared" ref="BG170" si="296">IF(N170="zákl. prenesená",J170,0)</f>
        <v>0</v>
      </c>
      <c r="BH170" s="148">
        <f t="shared" ref="BH170" si="297">IF(N170="zníž. prenesená",J170,0)</f>
        <v>0</v>
      </c>
      <c r="BI170" s="148">
        <f t="shared" ref="BI170" si="298">IF(N170="nulová",J170,0)</f>
        <v>0</v>
      </c>
      <c r="BJ170" s="16" t="s">
        <v>120</v>
      </c>
      <c r="BK170" s="227">
        <f t="shared" ref="BK170" si="299">ROUND(I170*H170,3)</f>
        <v>0</v>
      </c>
      <c r="BL170" s="16" t="s">
        <v>186</v>
      </c>
      <c r="BM170" s="147" t="s">
        <v>533</v>
      </c>
    </row>
    <row r="171" spans="1:65" s="2" customFormat="1" ht="27.75" customHeight="1" x14ac:dyDescent="0.2">
      <c r="A171" s="215"/>
      <c r="B171" s="135"/>
      <c r="C171" s="136">
        <v>40</v>
      </c>
      <c r="D171" s="136" t="s">
        <v>115</v>
      </c>
      <c r="E171" s="137" t="s">
        <v>215</v>
      </c>
      <c r="F171" s="138" t="s">
        <v>1089</v>
      </c>
      <c r="G171" s="139" t="s">
        <v>161</v>
      </c>
      <c r="H171" s="140">
        <v>3.45</v>
      </c>
      <c r="I171" s="140"/>
      <c r="J171" s="140">
        <f t="shared" ref="J171" si="300">ROUND(I171*H171,3)</f>
        <v>0</v>
      </c>
      <c r="K171" s="142"/>
      <c r="L171" s="29"/>
      <c r="M171" s="143" t="s">
        <v>1</v>
      </c>
      <c r="N171" s="144"/>
      <c r="O171" s="145">
        <v>0.39</v>
      </c>
      <c r="P171" s="145">
        <f t="shared" ref="P171" si="301">O171*H171</f>
        <v>1.3455000000000001</v>
      </c>
      <c r="Q171" s="145">
        <v>0</v>
      </c>
      <c r="R171" s="145">
        <f t="shared" ref="R171" si="302">Q171*H171</f>
        <v>0</v>
      </c>
      <c r="S171" s="145">
        <v>1.4919999999999999E-2</v>
      </c>
      <c r="T171" s="146">
        <f t="shared" ref="T171" si="303">S171*H171</f>
        <v>5.1473999999999999E-2</v>
      </c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R171" s="147" t="s">
        <v>186</v>
      </c>
      <c r="AT171" s="147" t="s">
        <v>115</v>
      </c>
      <c r="AU171" s="147" t="s">
        <v>120</v>
      </c>
      <c r="AY171" s="16" t="s">
        <v>113</v>
      </c>
      <c r="BE171" s="148">
        <f t="shared" ref="BE171:BE172" si="304">IF(N171="základná",J171,0)</f>
        <v>0</v>
      </c>
      <c r="BF171" s="148">
        <f t="shared" ref="BF171:BF172" si="305">IF(N171="znížená",J171,0)</f>
        <v>0</v>
      </c>
      <c r="BG171" s="148">
        <f t="shared" ref="BG171:BG172" si="306">IF(N171="zákl. prenesená",J171,0)</f>
        <v>0</v>
      </c>
      <c r="BH171" s="148">
        <f t="shared" ref="BH171:BH172" si="307">IF(N171="zníž. prenesená",J171,0)</f>
        <v>0</v>
      </c>
      <c r="BI171" s="148">
        <f t="shared" ref="BI171:BI172" si="308">IF(N171="nulová",J171,0)</f>
        <v>0</v>
      </c>
      <c r="BJ171" s="16" t="s">
        <v>120</v>
      </c>
      <c r="BK171" s="227">
        <f t="shared" ref="BK171" si="309">ROUND(I171*H171,3)</f>
        <v>0</v>
      </c>
      <c r="BL171" s="16" t="s">
        <v>186</v>
      </c>
      <c r="BM171" s="147" t="s">
        <v>533</v>
      </c>
    </row>
    <row r="172" spans="1:65" s="12" customFormat="1" ht="25.9" customHeight="1" x14ac:dyDescent="0.2">
      <c r="B172" s="123"/>
      <c r="D172" s="124" t="s">
        <v>71</v>
      </c>
      <c r="E172" s="125" t="s">
        <v>261</v>
      </c>
      <c r="F172" s="125" t="s">
        <v>262</v>
      </c>
      <c r="J172" s="224">
        <f>J173+J183</f>
        <v>0</v>
      </c>
      <c r="L172" s="123"/>
      <c r="M172" s="127"/>
      <c r="N172" s="128"/>
      <c r="O172" s="128"/>
      <c r="P172" s="129" t="e">
        <f>#REF!+P173+P183+#REF!</f>
        <v>#REF!</v>
      </c>
      <c r="Q172" s="128"/>
      <c r="R172" s="129" t="e">
        <f>#REF!+R173+R183+#REF!</f>
        <v>#REF!</v>
      </c>
      <c r="S172" s="128"/>
      <c r="T172" s="130" t="e">
        <f>#REF!+T173+T183+#REF!</f>
        <v>#REF!</v>
      </c>
      <c r="AR172" s="124" t="s">
        <v>120</v>
      </c>
      <c r="AT172" s="131" t="s">
        <v>71</v>
      </c>
      <c r="AU172" s="131" t="s">
        <v>72</v>
      </c>
      <c r="AY172" s="124" t="s">
        <v>113</v>
      </c>
      <c r="BE172" s="12">
        <f t="shared" si="304"/>
        <v>0</v>
      </c>
      <c r="BF172" s="12">
        <f t="shared" si="305"/>
        <v>0</v>
      </c>
      <c r="BG172" s="12">
        <f t="shared" si="306"/>
        <v>0</v>
      </c>
      <c r="BH172" s="12">
        <f t="shared" si="307"/>
        <v>0</v>
      </c>
      <c r="BI172" s="12">
        <f t="shared" si="308"/>
        <v>0</v>
      </c>
      <c r="BK172" s="225" t="e">
        <f>#REF!+BK173+BK183+#REF!</f>
        <v>#REF!</v>
      </c>
    </row>
    <row r="173" spans="1:65" s="12" customFormat="1" ht="22.9" customHeight="1" x14ac:dyDescent="0.2">
      <c r="B173" s="123"/>
      <c r="D173" s="124" t="s">
        <v>71</v>
      </c>
      <c r="E173" s="133" t="s">
        <v>529</v>
      </c>
      <c r="F173" s="133" t="s">
        <v>530</v>
      </c>
      <c r="J173" s="226">
        <f>BK173</f>
        <v>0</v>
      </c>
      <c r="L173" s="123"/>
      <c r="M173" s="127"/>
      <c r="N173" s="128"/>
      <c r="O173" s="128"/>
      <c r="P173" s="129">
        <f>SUM(P174:P182)</f>
        <v>12.2990227</v>
      </c>
      <c r="Q173" s="128"/>
      <c r="R173" s="129">
        <f>SUM(R174:R182)</f>
        <v>6.1582099999999994E-2</v>
      </c>
      <c r="S173" s="128"/>
      <c r="T173" s="130">
        <f>SUM(T174:T182)</f>
        <v>3.6168699999999991E-2</v>
      </c>
      <c r="AR173" s="124" t="s">
        <v>120</v>
      </c>
      <c r="AT173" s="131" t="s">
        <v>71</v>
      </c>
      <c r="AU173" s="131" t="s">
        <v>77</v>
      </c>
      <c r="AY173" s="124" t="s">
        <v>113</v>
      </c>
      <c r="BK173" s="225">
        <f>SUM(BK174:BK182)</f>
        <v>0</v>
      </c>
    </row>
    <row r="174" spans="1:65" s="2" customFormat="1" ht="21.75" customHeight="1" x14ac:dyDescent="0.2">
      <c r="A174" s="215"/>
      <c r="B174" s="135"/>
      <c r="C174" s="136">
        <v>41</v>
      </c>
      <c r="D174" s="136" t="s">
        <v>115</v>
      </c>
      <c r="E174" s="137" t="s">
        <v>1090</v>
      </c>
      <c r="F174" s="138" t="s">
        <v>1091</v>
      </c>
      <c r="G174" s="139" t="s">
        <v>151</v>
      </c>
      <c r="H174" s="140">
        <v>1.5</v>
      </c>
      <c r="I174" s="140"/>
      <c r="J174" s="140">
        <f t="shared" ref="J174:J182" si="310">ROUND(I174*H174,3)</f>
        <v>0</v>
      </c>
      <c r="K174" s="142"/>
      <c r="L174" s="29"/>
      <c r="M174" s="143" t="s">
        <v>1</v>
      </c>
      <c r="N174" s="144"/>
      <c r="O174" s="145">
        <v>0.39</v>
      </c>
      <c r="P174" s="145">
        <f t="shared" ref="P174:P182" si="311">O174*H174</f>
        <v>0.58499999999999996</v>
      </c>
      <c r="Q174" s="145">
        <v>0</v>
      </c>
      <c r="R174" s="145">
        <f t="shared" ref="R174:R182" si="312">Q174*H174</f>
        <v>0</v>
      </c>
      <c r="S174" s="145">
        <v>1.4919999999999999E-2</v>
      </c>
      <c r="T174" s="146">
        <f t="shared" ref="T174:T182" si="313">S174*H174</f>
        <v>2.2379999999999997E-2</v>
      </c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R174" s="147" t="s">
        <v>186</v>
      </c>
      <c r="AT174" s="147" t="s">
        <v>115</v>
      </c>
      <c r="AU174" s="147" t="s">
        <v>120</v>
      </c>
      <c r="AY174" s="16" t="s">
        <v>113</v>
      </c>
      <c r="BE174" s="148">
        <f t="shared" ref="BE174:BE182" si="314">IF(N174="základná",J174,0)</f>
        <v>0</v>
      </c>
      <c r="BF174" s="148">
        <f t="shared" ref="BF174:BF182" si="315">IF(N174="znížená",J174,0)</f>
        <v>0</v>
      </c>
      <c r="BG174" s="148">
        <f t="shared" ref="BG174:BG182" si="316">IF(N174="zákl. prenesená",J174,0)</f>
        <v>0</v>
      </c>
      <c r="BH174" s="148">
        <f t="shared" ref="BH174:BH182" si="317">IF(N174="zníž. prenesená",J174,0)</f>
        <v>0</v>
      </c>
      <c r="BI174" s="148">
        <f t="shared" ref="BI174:BI182" si="318">IF(N174="nulová",J174,0)</f>
        <v>0</v>
      </c>
      <c r="BJ174" s="16" t="s">
        <v>120</v>
      </c>
      <c r="BK174" s="227">
        <f t="shared" ref="BK174:BK182" si="319">ROUND(I174*H174,3)</f>
        <v>0</v>
      </c>
      <c r="BL174" s="16" t="s">
        <v>186</v>
      </c>
      <c r="BM174" s="147" t="s">
        <v>533</v>
      </c>
    </row>
    <row r="175" spans="1:65" s="2" customFormat="1" ht="21.75" customHeight="1" x14ac:dyDescent="0.2">
      <c r="A175" s="215"/>
      <c r="B175" s="135"/>
      <c r="C175" s="136">
        <v>42</v>
      </c>
      <c r="D175" s="136" t="s">
        <v>115</v>
      </c>
      <c r="E175" s="137" t="s">
        <v>1092</v>
      </c>
      <c r="F175" s="138" t="s">
        <v>1093</v>
      </c>
      <c r="G175" s="139" t="s">
        <v>151</v>
      </c>
      <c r="H175" s="140">
        <v>1</v>
      </c>
      <c r="I175" s="140"/>
      <c r="J175" s="140">
        <f t="shared" si="310"/>
        <v>0</v>
      </c>
      <c r="K175" s="142"/>
      <c r="L175" s="29"/>
      <c r="M175" s="143" t="s">
        <v>1</v>
      </c>
      <c r="N175" s="144"/>
      <c r="O175" s="145">
        <v>3.26092</v>
      </c>
      <c r="P175" s="145">
        <f t="shared" si="311"/>
        <v>3.26092</v>
      </c>
      <c r="Q175" s="145">
        <v>3.4430000000000002E-2</v>
      </c>
      <c r="R175" s="145">
        <f t="shared" si="312"/>
        <v>3.4430000000000002E-2</v>
      </c>
      <c r="S175" s="145">
        <v>0</v>
      </c>
      <c r="T175" s="146">
        <f t="shared" si="313"/>
        <v>0</v>
      </c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R175" s="147" t="s">
        <v>186</v>
      </c>
      <c r="AT175" s="147" t="s">
        <v>115</v>
      </c>
      <c r="AU175" s="147" t="s">
        <v>120</v>
      </c>
      <c r="AY175" s="16" t="s">
        <v>113</v>
      </c>
      <c r="BE175" s="148">
        <f t="shared" si="314"/>
        <v>0</v>
      </c>
      <c r="BF175" s="148">
        <f t="shared" si="315"/>
        <v>0</v>
      </c>
      <c r="BG175" s="148">
        <f t="shared" si="316"/>
        <v>0</v>
      </c>
      <c r="BH175" s="148">
        <f t="shared" si="317"/>
        <v>0</v>
      </c>
      <c r="BI175" s="148">
        <f t="shared" si="318"/>
        <v>0</v>
      </c>
      <c r="BJ175" s="16" t="s">
        <v>120</v>
      </c>
      <c r="BK175" s="227">
        <f t="shared" si="319"/>
        <v>0</v>
      </c>
      <c r="BL175" s="16" t="s">
        <v>186</v>
      </c>
      <c r="BM175" s="147" t="s">
        <v>536</v>
      </c>
    </row>
    <row r="176" spans="1:65" s="2" customFormat="1" ht="21.75" customHeight="1" x14ac:dyDescent="0.2">
      <c r="A176" s="215"/>
      <c r="B176" s="135"/>
      <c r="C176" s="136">
        <v>43</v>
      </c>
      <c r="D176" s="136" t="s">
        <v>115</v>
      </c>
      <c r="E176" s="137" t="s">
        <v>1094</v>
      </c>
      <c r="F176" s="138" t="s">
        <v>1095</v>
      </c>
      <c r="G176" s="139" t="s">
        <v>1096</v>
      </c>
      <c r="H176" s="140">
        <v>1</v>
      </c>
      <c r="I176" s="140"/>
      <c r="J176" s="140">
        <f t="shared" si="310"/>
        <v>0</v>
      </c>
      <c r="K176" s="142"/>
      <c r="L176" s="29"/>
      <c r="M176" s="143" t="s">
        <v>1</v>
      </c>
      <c r="N176" s="144"/>
      <c r="O176" s="145">
        <v>0.61699999999999999</v>
      </c>
      <c r="P176" s="145">
        <f t="shared" si="311"/>
        <v>0.61699999999999999</v>
      </c>
      <c r="Q176" s="145">
        <v>1.72E-3</v>
      </c>
      <c r="R176" s="145">
        <f t="shared" si="312"/>
        <v>1.72E-3</v>
      </c>
      <c r="S176" s="145">
        <v>0</v>
      </c>
      <c r="T176" s="146">
        <f t="shared" si="313"/>
        <v>0</v>
      </c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R176" s="147" t="s">
        <v>186</v>
      </c>
      <c r="AT176" s="147" t="s">
        <v>115</v>
      </c>
      <c r="AU176" s="147" t="s">
        <v>120</v>
      </c>
      <c r="AY176" s="16" t="s">
        <v>113</v>
      </c>
      <c r="BE176" s="148">
        <f t="shared" si="314"/>
        <v>0</v>
      </c>
      <c r="BF176" s="148">
        <f t="shared" si="315"/>
        <v>0</v>
      </c>
      <c r="BG176" s="148">
        <f t="shared" si="316"/>
        <v>0</v>
      </c>
      <c r="BH176" s="148">
        <f t="shared" si="317"/>
        <v>0</v>
      </c>
      <c r="BI176" s="148">
        <f t="shared" si="318"/>
        <v>0</v>
      </c>
      <c r="BJ176" s="16" t="s">
        <v>120</v>
      </c>
      <c r="BK176" s="227">
        <f t="shared" si="319"/>
        <v>0</v>
      </c>
      <c r="BL176" s="16" t="s">
        <v>186</v>
      </c>
      <c r="BM176" s="147" t="s">
        <v>539</v>
      </c>
    </row>
    <row r="177" spans="1:65" s="2" customFormat="1" ht="21.75" customHeight="1" x14ac:dyDescent="0.2">
      <c r="A177" s="215"/>
      <c r="B177" s="135"/>
      <c r="C177" s="136">
        <v>44</v>
      </c>
      <c r="D177" s="136" t="s">
        <v>115</v>
      </c>
      <c r="E177" s="137" t="s">
        <v>1097</v>
      </c>
      <c r="F177" s="138" t="s">
        <v>1098</v>
      </c>
      <c r="G177" s="139" t="s">
        <v>146</v>
      </c>
      <c r="H177" s="140">
        <v>2</v>
      </c>
      <c r="I177" s="140"/>
      <c r="J177" s="140">
        <f t="shared" si="310"/>
        <v>0</v>
      </c>
      <c r="K177" s="142"/>
      <c r="L177" s="29"/>
      <c r="M177" s="143" t="s">
        <v>1</v>
      </c>
      <c r="N177" s="144"/>
      <c r="O177" s="145">
        <v>2.9000000000000001E-2</v>
      </c>
      <c r="P177" s="145">
        <f t="shared" si="311"/>
        <v>5.8000000000000003E-2</v>
      </c>
      <c r="Q177" s="145">
        <v>0</v>
      </c>
      <c r="R177" s="145">
        <f t="shared" si="312"/>
        <v>0</v>
      </c>
      <c r="S177" s="145">
        <v>2.0999999999999999E-3</v>
      </c>
      <c r="T177" s="146">
        <f t="shared" si="313"/>
        <v>4.1999999999999997E-3</v>
      </c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R177" s="147" t="s">
        <v>186</v>
      </c>
      <c r="AT177" s="147" t="s">
        <v>115</v>
      </c>
      <c r="AU177" s="147" t="s">
        <v>120</v>
      </c>
      <c r="AY177" s="16" t="s">
        <v>113</v>
      </c>
      <c r="BE177" s="148">
        <f t="shared" si="314"/>
        <v>0</v>
      </c>
      <c r="BF177" s="148">
        <f t="shared" si="315"/>
        <v>0</v>
      </c>
      <c r="BG177" s="148">
        <f t="shared" si="316"/>
        <v>0</v>
      </c>
      <c r="BH177" s="148">
        <f t="shared" si="317"/>
        <v>0</v>
      </c>
      <c r="BI177" s="148">
        <f t="shared" si="318"/>
        <v>0</v>
      </c>
      <c r="BJ177" s="16" t="s">
        <v>120</v>
      </c>
      <c r="BK177" s="227">
        <f t="shared" si="319"/>
        <v>0</v>
      </c>
      <c r="BL177" s="16" t="s">
        <v>186</v>
      </c>
      <c r="BM177" s="147" t="s">
        <v>542</v>
      </c>
    </row>
    <row r="178" spans="1:65" s="2" customFormat="1" ht="21.75" customHeight="1" x14ac:dyDescent="0.2">
      <c r="A178" s="215"/>
      <c r="B178" s="135"/>
      <c r="C178" s="136">
        <v>45</v>
      </c>
      <c r="D178" s="136" t="s">
        <v>115</v>
      </c>
      <c r="E178" s="137" t="s">
        <v>1099</v>
      </c>
      <c r="F178" s="138" t="s">
        <v>1100</v>
      </c>
      <c r="G178" s="139" t="s">
        <v>146</v>
      </c>
      <c r="H178" s="140">
        <v>3</v>
      </c>
      <c r="I178" s="140"/>
      <c r="J178" s="140">
        <f t="shared" si="310"/>
        <v>0</v>
      </c>
      <c r="K178" s="142"/>
      <c r="L178" s="29"/>
      <c r="M178" s="143" t="s">
        <v>1</v>
      </c>
      <c r="N178" s="144"/>
      <c r="O178" s="145">
        <v>7.8E-2</v>
      </c>
      <c r="P178" s="145">
        <f t="shared" si="311"/>
        <v>0.23399999999999999</v>
      </c>
      <c r="Q178" s="145">
        <v>0</v>
      </c>
      <c r="R178" s="145">
        <f t="shared" si="312"/>
        <v>0</v>
      </c>
      <c r="S178" s="145">
        <v>1.98E-3</v>
      </c>
      <c r="T178" s="146">
        <f t="shared" si="313"/>
        <v>5.94E-3</v>
      </c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R178" s="147" t="s">
        <v>186</v>
      </c>
      <c r="AT178" s="147" t="s">
        <v>115</v>
      </c>
      <c r="AU178" s="147" t="s">
        <v>120</v>
      </c>
      <c r="AY178" s="16" t="s">
        <v>113</v>
      </c>
      <c r="BE178" s="148">
        <f t="shared" si="314"/>
        <v>0</v>
      </c>
      <c r="BF178" s="148">
        <f t="shared" si="315"/>
        <v>0</v>
      </c>
      <c r="BG178" s="148">
        <f t="shared" si="316"/>
        <v>0</v>
      </c>
      <c r="BH178" s="148">
        <f t="shared" si="317"/>
        <v>0</v>
      </c>
      <c r="BI178" s="148">
        <f t="shared" si="318"/>
        <v>0</v>
      </c>
      <c r="BJ178" s="16" t="s">
        <v>120</v>
      </c>
      <c r="BK178" s="227">
        <f t="shared" si="319"/>
        <v>0</v>
      </c>
      <c r="BL178" s="16" t="s">
        <v>186</v>
      </c>
      <c r="BM178" s="147" t="s">
        <v>545</v>
      </c>
    </row>
    <row r="179" spans="1:65" s="2" customFormat="1" ht="21.75" customHeight="1" x14ac:dyDescent="0.2">
      <c r="A179" s="215"/>
      <c r="B179" s="135"/>
      <c r="C179" s="136">
        <v>46</v>
      </c>
      <c r="D179" s="136" t="s">
        <v>115</v>
      </c>
      <c r="E179" s="137" t="s">
        <v>1101</v>
      </c>
      <c r="F179" s="138" t="s">
        <v>1102</v>
      </c>
      <c r="G179" s="139" t="s">
        <v>151</v>
      </c>
      <c r="H179" s="140">
        <v>11.69</v>
      </c>
      <c r="I179" s="140"/>
      <c r="J179" s="140">
        <f t="shared" si="310"/>
        <v>0</v>
      </c>
      <c r="K179" s="142"/>
      <c r="L179" s="29"/>
      <c r="M179" s="143" t="s">
        <v>1</v>
      </c>
      <c r="N179" s="144"/>
      <c r="O179" s="145">
        <v>0.29221999999999998</v>
      </c>
      <c r="P179" s="145">
        <f t="shared" si="311"/>
        <v>3.4160517999999995</v>
      </c>
      <c r="Q179" s="145">
        <v>1.5299999999999999E-3</v>
      </c>
      <c r="R179" s="145">
        <f t="shared" si="312"/>
        <v>1.7885699999999997E-2</v>
      </c>
      <c r="S179" s="145">
        <v>0</v>
      </c>
      <c r="T179" s="146">
        <f t="shared" si="313"/>
        <v>0</v>
      </c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R179" s="147" t="s">
        <v>186</v>
      </c>
      <c r="AT179" s="147" t="s">
        <v>115</v>
      </c>
      <c r="AU179" s="147" t="s">
        <v>120</v>
      </c>
      <c r="AY179" s="16" t="s">
        <v>113</v>
      </c>
      <c r="BE179" s="148">
        <f t="shared" si="314"/>
        <v>0</v>
      </c>
      <c r="BF179" s="148">
        <f t="shared" si="315"/>
        <v>0</v>
      </c>
      <c r="BG179" s="148">
        <f t="shared" si="316"/>
        <v>0</v>
      </c>
      <c r="BH179" s="148">
        <f t="shared" si="317"/>
        <v>0</v>
      </c>
      <c r="BI179" s="148">
        <f t="shared" si="318"/>
        <v>0</v>
      </c>
      <c r="BJ179" s="16" t="s">
        <v>120</v>
      </c>
      <c r="BK179" s="227">
        <f t="shared" si="319"/>
        <v>0</v>
      </c>
      <c r="BL179" s="16" t="s">
        <v>186</v>
      </c>
      <c r="BM179" s="147" t="s">
        <v>548</v>
      </c>
    </row>
    <row r="180" spans="1:65" s="2" customFormat="1" ht="24" customHeight="1" x14ac:dyDescent="0.2">
      <c r="A180" s="215"/>
      <c r="B180" s="135"/>
      <c r="C180" s="136">
        <v>47</v>
      </c>
      <c r="D180" s="136" t="s">
        <v>115</v>
      </c>
      <c r="E180" s="137" t="s">
        <v>1103</v>
      </c>
      <c r="F180" s="138" t="s">
        <v>1104</v>
      </c>
      <c r="G180" s="139" t="s">
        <v>229</v>
      </c>
      <c r="H180" s="140">
        <v>0.13500000000000001</v>
      </c>
      <c r="I180" s="140"/>
      <c r="J180" s="140">
        <f t="shared" si="310"/>
        <v>0</v>
      </c>
      <c r="K180" s="142"/>
      <c r="L180" s="29"/>
      <c r="M180" s="143" t="s">
        <v>1</v>
      </c>
      <c r="N180" s="144"/>
      <c r="O180" s="145">
        <v>0.30558000000000002</v>
      </c>
      <c r="P180" s="145">
        <f t="shared" si="311"/>
        <v>4.1253300000000007E-2</v>
      </c>
      <c r="Q180" s="145">
        <v>4.8000000000000001E-4</v>
      </c>
      <c r="R180" s="145">
        <f t="shared" si="312"/>
        <v>6.4800000000000003E-5</v>
      </c>
      <c r="S180" s="145">
        <v>0</v>
      </c>
      <c r="T180" s="146">
        <f t="shared" si="313"/>
        <v>0</v>
      </c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R180" s="147" t="s">
        <v>186</v>
      </c>
      <c r="AT180" s="147" t="s">
        <v>115</v>
      </c>
      <c r="AU180" s="147" t="s">
        <v>120</v>
      </c>
      <c r="AY180" s="16" t="s">
        <v>113</v>
      </c>
      <c r="BE180" s="148">
        <f t="shared" si="314"/>
        <v>0</v>
      </c>
      <c r="BF180" s="148">
        <f t="shared" si="315"/>
        <v>0</v>
      </c>
      <c r="BG180" s="148">
        <f t="shared" si="316"/>
        <v>0</v>
      </c>
      <c r="BH180" s="148">
        <f t="shared" si="317"/>
        <v>0</v>
      </c>
      <c r="BI180" s="148">
        <f t="shared" si="318"/>
        <v>0</v>
      </c>
      <c r="BJ180" s="16" t="s">
        <v>120</v>
      </c>
      <c r="BK180" s="227">
        <f t="shared" si="319"/>
        <v>0</v>
      </c>
      <c r="BL180" s="16" t="s">
        <v>186</v>
      </c>
      <c r="BM180" s="147" t="s">
        <v>552</v>
      </c>
    </row>
    <row r="181" spans="1:65" s="2" customFormat="1" ht="16.5" customHeight="1" x14ac:dyDescent="0.2">
      <c r="A181" s="215"/>
      <c r="B181" s="135"/>
      <c r="C181" s="136">
        <v>48</v>
      </c>
      <c r="D181" s="136" t="s">
        <v>115</v>
      </c>
      <c r="E181" s="137" t="s">
        <v>1105</v>
      </c>
      <c r="F181" s="138" t="s">
        <v>1106</v>
      </c>
      <c r="G181" s="139" t="s">
        <v>151</v>
      </c>
      <c r="H181" s="140">
        <v>11.69</v>
      </c>
      <c r="I181" s="140"/>
      <c r="J181" s="140">
        <f t="shared" si="310"/>
        <v>0</v>
      </c>
      <c r="K181" s="142"/>
      <c r="L181" s="29"/>
      <c r="M181" s="143" t="s">
        <v>1</v>
      </c>
      <c r="N181" s="144"/>
      <c r="O181" s="145">
        <v>0.34244000000000002</v>
      </c>
      <c r="P181" s="145">
        <f t="shared" si="311"/>
        <v>4.0031236000000003</v>
      </c>
      <c r="Q181" s="145">
        <v>6.4000000000000005E-4</v>
      </c>
      <c r="R181" s="145">
        <f t="shared" si="312"/>
        <v>7.4816000000000006E-3</v>
      </c>
      <c r="S181" s="145">
        <v>0</v>
      </c>
      <c r="T181" s="146">
        <f t="shared" si="313"/>
        <v>0</v>
      </c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R181" s="147" t="s">
        <v>186</v>
      </c>
      <c r="AT181" s="147" t="s">
        <v>115</v>
      </c>
      <c r="AU181" s="147" t="s">
        <v>120</v>
      </c>
      <c r="AY181" s="16" t="s">
        <v>113</v>
      </c>
      <c r="BE181" s="148">
        <f t="shared" si="314"/>
        <v>0</v>
      </c>
      <c r="BF181" s="148">
        <f t="shared" si="315"/>
        <v>0</v>
      </c>
      <c r="BG181" s="148">
        <f t="shared" si="316"/>
        <v>0</v>
      </c>
      <c r="BH181" s="148">
        <f t="shared" si="317"/>
        <v>0</v>
      </c>
      <c r="BI181" s="148">
        <f t="shared" si="318"/>
        <v>0</v>
      </c>
      <c r="BJ181" s="16" t="s">
        <v>120</v>
      </c>
      <c r="BK181" s="227">
        <f t="shared" si="319"/>
        <v>0</v>
      </c>
      <c r="BL181" s="16" t="s">
        <v>186</v>
      </c>
      <c r="BM181" s="147" t="s">
        <v>556</v>
      </c>
    </row>
    <row r="182" spans="1:65" s="2" customFormat="1" ht="27" customHeight="1" x14ac:dyDescent="0.2">
      <c r="A182" s="215"/>
      <c r="B182" s="135"/>
      <c r="C182" s="136">
        <v>49</v>
      </c>
      <c r="D182" s="136" t="s">
        <v>115</v>
      </c>
      <c r="E182" s="137" t="s">
        <v>1107</v>
      </c>
      <c r="F182" s="138" t="s">
        <v>1108</v>
      </c>
      <c r="G182" s="139" t="s">
        <v>229</v>
      </c>
      <c r="H182" s="140">
        <v>0.214</v>
      </c>
      <c r="I182" s="140"/>
      <c r="J182" s="140">
        <f t="shared" si="310"/>
        <v>0</v>
      </c>
      <c r="K182" s="142"/>
      <c r="L182" s="29"/>
      <c r="M182" s="143" t="s">
        <v>1</v>
      </c>
      <c r="N182" s="144"/>
      <c r="O182" s="145">
        <v>0.39100000000000001</v>
      </c>
      <c r="P182" s="145">
        <f t="shared" si="311"/>
        <v>8.3673999999999998E-2</v>
      </c>
      <c r="Q182" s="145">
        <v>0</v>
      </c>
      <c r="R182" s="145">
        <f t="shared" si="312"/>
        <v>0</v>
      </c>
      <c r="S182" s="145">
        <v>1.7049999999999999E-2</v>
      </c>
      <c r="T182" s="146">
        <f t="shared" si="313"/>
        <v>3.6486999999999999E-3</v>
      </c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R182" s="147" t="s">
        <v>186</v>
      </c>
      <c r="AT182" s="147" t="s">
        <v>115</v>
      </c>
      <c r="AU182" s="147" t="s">
        <v>120</v>
      </c>
      <c r="AY182" s="16" t="s">
        <v>113</v>
      </c>
      <c r="BE182" s="148">
        <f t="shared" si="314"/>
        <v>0</v>
      </c>
      <c r="BF182" s="148">
        <f t="shared" si="315"/>
        <v>0</v>
      </c>
      <c r="BG182" s="148">
        <f t="shared" si="316"/>
        <v>0</v>
      </c>
      <c r="BH182" s="148">
        <f t="shared" si="317"/>
        <v>0</v>
      </c>
      <c r="BI182" s="148">
        <f t="shared" si="318"/>
        <v>0</v>
      </c>
      <c r="BJ182" s="16" t="s">
        <v>120</v>
      </c>
      <c r="BK182" s="227">
        <f t="shared" si="319"/>
        <v>0</v>
      </c>
      <c r="BL182" s="16" t="s">
        <v>186</v>
      </c>
      <c r="BM182" s="147" t="s">
        <v>560</v>
      </c>
    </row>
    <row r="183" spans="1:65" s="12" customFormat="1" ht="22.9" customHeight="1" x14ac:dyDescent="0.2">
      <c r="B183" s="123"/>
      <c r="D183" s="124" t="s">
        <v>71</v>
      </c>
      <c r="E183" s="133">
        <v>776</v>
      </c>
      <c r="F183" s="133" t="s">
        <v>389</v>
      </c>
      <c r="J183" s="226">
        <f>BK183</f>
        <v>0</v>
      </c>
      <c r="L183" s="123"/>
      <c r="M183" s="127"/>
      <c r="N183" s="128"/>
      <c r="O183" s="128"/>
      <c r="P183" s="129">
        <f>SUM(P184:P184)</f>
        <v>0.96500000000000008</v>
      </c>
      <c r="Q183" s="128"/>
      <c r="R183" s="129">
        <f>SUM(R184:R184)</f>
        <v>0</v>
      </c>
      <c r="S183" s="128"/>
      <c r="T183" s="130">
        <f>SUM(T184:T184)</f>
        <v>2.4849999999999997E-2</v>
      </c>
      <c r="AR183" s="124" t="s">
        <v>120</v>
      </c>
      <c r="AT183" s="131" t="s">
        <v>71</v>
      </c>
      <c r="AU183" s="131" t="s">
        <v>77</v>
      </c>
      <c r="AY183" s="124" t="s">
        <v>113</v>
      </c>
      <c r="BK183" s="225">
        <f>SUM(BK184:BK184)</f>
        <v>0</v>
      </c>
    </row>
    <row r="184" spans="1:65" s="2" customFormat="1" ht="21.75" customHeight="1" x14ac:dyDescent="0.2">
      <c r="A184" s="215"/>
      <c r="B184" s="135"/>
      <c r="C184" s="136">
        <v>50</v>
      </c>
      <c r="D184" s="136" t="s">
        <v>115</v>
      </c>
      <c r="E184" s="137" t="s">
        <v>390</v>
      </c>
      <c r="F184" s="138" t="s">
        <v>1109</v>
      </c>
      <c r="G184" s="139" t="s">
        <v>161</v>
      </c>
      <c r="H184" s="140">
        <v>5</v>
      </c>
      <c r="I184" s="140"/>
      <c r="J184" s="140">
        <f t="shared" ref="J184" si="320">ROUND(I184*H184,3)</f>
        <v>0</v>
      </c>
      <c r="K184" s="142"/>
      <c r="L184" s="29"/>
      <c r="M184" s="143" t="s">
        <v>1</v>
      </c>
      <c r="N184" s="144"/>
      <c r="O184" s="145">
        <v>0.193</v>
      </c>
      <c r="P184" s="145">
        <f t="shared" ref="P184" si="321">O184*H184</f>
        <v>0.96500000000000008</v>
      </c>
      <c r="Q184" s="145">
        <v>0</v>
      </c>
      <c r="R184" s="145">
        <f t="shared" ref="R184" si="322">Q184*H184</f>
        <v>0</v>
      </c>
      <c r="S184" s="145">
        <v>4.9699999999999996E-3</v>
      </c>
      <c r="T184" s="146">
        <f t="shared" ref="T184" si="323">S184*H184</f>
        <v>2.4849999999999997E-2</v>
      </c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R184" s="147" t="s">
        <v>186</v>
      </c>
      <c r="AT184" s="147" t="s">
        <v>115</v>
      </c>
      <c r="AU184" s="147" t="s">
        <v>120</v>
      </c>
      <c r="AY184" s="16" t="s">
        <v>113</v>
      </c>
      <c r="BE184" s="148">
        <f t="shared" ref="BE184" si="324">IF(N184="základná",J184,0)</f>
        <v>0</v>
      </c>
      <c r="BF184" s="148">
        <f t="shared" ref="BF184" si="325">IF(N184="znížená",J184,0)</f>
        <v>0</v>
      </c>
      <c r="BG184" s="148">
        <f t="shared" ref="BG184" si="326">IF(N184="zákl. prenesená",J184,0)</f>
        <v>0</v>
      </c>
      <c r="BH184" s="148">
        <f t="shared" ref="BH184" si="327">IF(N184="zníž. prenesená",J184,0)</f>
        <v>0</v>
      </c>
      <c r="BI184" s="148">
        <f t="shared" ref="BI184" si="328">IF(N184="nulová",J184,0)</f>
        <v>0</v>
      </c>
      <c r="BJ184" s="16" t="s">
        <v>120</v>
      </c>
      <c r="BK184" s="227">
        <f t="shared" ref="BK184" si="329">ROUND(I184*H184,3)</f>
        <v>0</v>
      </c>
      <c r="BL184" s="16" t="s">
        <v>186</v>
      </c>
      <c r="BM184" s="147" t="s">
        <v>590</v>
      </c>
    </row>
    <row r="185" spans="1:65" s="2" customFormat="1" ht="6.95" customHeight="1" x14ac:dyDescent="0.2">
      <c r="A185" s="215"/>
      <c r="B185" s="43"/>
      <c r="C185" s="44"/>
      <c r="D185" s="44"/>
      <c r="E185" s="44"/>
      <c r="F185" s="44"/>
      <c r="G185" s="44"/>
      <c r="H185" s="44"/>
      <c r="I185" s="44"/>
      <c r="J185" s="44"/>
      <c r="K185" s="44"/>
      <c r="L185" s="29"/>
      <c r="M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</row>
  </sheetData>
  <autoFilter ref="C124:K184" xr:uid="{00000000-0009-0000-0000-000002000000}"/>
  <mergeCells count="6">
    <mergeCell ref="E117:H117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2DD0-7AF9-4344-8637-7F6CA6783B6B}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12</vt:i4>
      </vt:variant>
    </vt:vector>
  </HeadingPairs>
  <TitlesOfParts>
    <vt:vector size="19" baseType="lpstr">
      <vt:lpstr>Rekapitulácia stavby</vt:lpstr>
      <vt:lpstr>01- MŠ Čordáková 1...</vt:lpstr>
      <vt:lpstr>02 ZTI - Rekonštrukcia čas...</vt:lpstr>
      <vt:lpstr>03 ELI MŠ Čordákova</vt:lpstr>
      <vt:lpstr>04 - Obvodový plášť...</vt:lpstr>
      <vt:lpstr>05 Ležatá kanalizácia</vt:lpstr>
      <vt:lpstr>Hárok1</vt:lpstr>
      <vt:lpstr>'01- MŠ Čordáková 1...'!Názvy_tlače</vt:lpstr>
      <vt:lpstr>'02 ZTI - Rekonštrukcia čas...'!Názvy_tlače</vt:lpstr>
      <vt:lpstr>'03 ELI MŠ Čordákova'!Názvy_tlače</vt:lpstr>
      <vt:lpstr>'04 - Obvodový plášť...'!Názvy_tlače</vt:lpstr>
      <vt:lpstr>'05 Ležatá kanalizácia'!Názvy_tlače</vt:lpstr>
      <vt:lpstr>'Rekapitulácia stavby'!Názvy_tlače</vt:lpstr>
      <vt:lpstr>'01- MŠ Čordáková 1...'!Oblasť_tlače</vt:lpstr>
      <vt:lpstr>'02 ZTI - Rekonštrukcia čas...'!Oblasť_tlače</vt:lpstr>
      <vt:lpstr>'03 ELI MŠ Čordákova'!Oblasť_tlače</vt:lpstr>
      <vt:lpstr>'04 - Obvodový plášť...'!Oblasť_tlače</vt:lpstr>
      <vt:lpstr>'05 Ležatá kanalizácia'!Oblasť_tlače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Varkoly</dc:creator>
  <cp:lastModifiedBy>gabriela.porembova</cp:lastModifiedBy>
  <cp:lastPrinted>2019-12-10T07:13:57Z</cp:lastPrinted>
  <dcterms:created xsi:type="dcterms:W3CDTF">2019-12-09T07:47:09Z</dcterms:created>
  <dcterms:modified xsi:type="dcterms:W3CDTF">2021-05-19T07:59:08Z</dcterms:modified>
</cp:coreProperties>
</file>