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Vranov ELI + plyn\Elektrina\E mail\"/>
    </mc:Choice>
  </mc:AlternateContent>
  <bookViews>
    <workbookView xWindow="0" yWindow="0" windowWidth="28800" windowHeight="12225"/>
  </bookViews>
  <sheets>
    <sheet name="export" sheetId="1" r:id="rId1"/>
  </sheets>
  <definedNames>
    <definedName name="_xlnm._FilterDatabase" localSheetId="0" hidden="1">export!$B$1:$M$86</definedName>
  </definedNames>
  <calcPr calcId="152511"/>
</workbook>
</file>

<file path=xl/calcChain.xml><?xml version="1.0" encoding="utf-8"?>
<calcChain xmlns="http://schemas.openxmlformats.org/spreadsheetml/2006/main">
  <c r="R48" i="1" l="1"/>
  <c r="E103" i="1" l="1"/>
  <c r="E102" i="1"/>
  <c r="E101" i="1"/>
  <c r="E100" i="1"/>
  <c r="E99" i="1"/>
  <c r="E98" i="1"/>
  <c r="E97" i="1"/>
  <c r="E96" i="1"/>
  <c r="E95" i="1"/>
  <c r="E94" i="1"/>
  <c r="H94" i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94" i="1"/>
  <c r="F104" i="1" s="1"/>
  <c r="E104" i="1"/>
  <c r="H104" i="1" l="1"/>
  <c r="Q86" i="1" l="1"/>
  <c r="Q85" i="1"/>
  <c r="Q84" i="1"/>
  <c r="P14" i="1"/>
  <c r="P16" i="1"/>
  <c r="P22" i="1"/>
  <c r="P28" i="1"/>
  <c r="P30" i="1"/>
  <c r="P32" i="1"/>
  <c r="P34" i="1"/>
  <c r="P50" i="1"/>
  <c r="P55" i="1"/>
  <c r="P63" i="1"/>
  <c r="P68" i="1"/>
  <c r="P77" i="1"/>
  <c r="O4" i="1"/>
  <c r="O37" i="1"/>
  <c r="O43" i="1"/>
  <c r="N5" i="1"/>
  <c r="Q5" i="1" s="1"/>
  <c r="N8" i="1"/>
  <c r="Q8" i="1" s="1"/>
  <c r="N9" i="1"/>
  <c r="Q9" i="1" s="1"/>
  <c r="N18" i="1"/>
  <c r="N19" i="1"/>
  <c r="Q19" i="1" s="1"/>
  <c r="N21" i="1"/>
  <c r="Q21" i="1" s="1"/>
  <c r="N25" i="1"/>
  <c r="Q25" i="1" s="1"/>
  <c r="N27" i="1"/>
  <c r="Q27" i="1" s="1"/>
  <c r="N38" i="1"/>
  <c r="Q38" i="1" s="1"/>
  <c r="N39" i="1"/>
  <c r="N45" i="1"/>
  <c r="Q45" i="1" s="1"/>
  <c r="P2" i="1"/>
  <c r="H82" i="1"/>
  <c r="P82" i="1" s="1"/>
  <c r="H77" i="1"/>
  <c r="H72" i="1"/>
  <c r="P72" i="1" s="1"/>
  <c r="H68" i="1"/>
  <c r="H64" i="1"/>
  <c r="P64" i="1" s="1"/>
  <c r="H63" i="1"/>
  <c r="H59" i="1"/>
  <c r="P59" i="1" s="1"/>
  <c r="H55" i="1"/>
  <c r="H54" i="1"/>
  <c r="P54" i="1" s="1"/>
  <c r="F83" i="1"/>
  <c r="N83" i="1" s="1"/>
  <c r="Q83" i="1" s="1"/>
  <c r="F81" i="1"/>
  <c r="N81" i="1" s="1"/>
  <c r="Q81" i="1" s="1"/>
  <c r="F73" i="1"/>
  <c r="N73" i="1" s="1"/>
  <c r="Q73" i="1" s="1"/>
  <c r="G82" i="1"/>
  <c r="O82" i="1" s="1"/>
  <c r="G77" i="1"/>
  <c r="O77" i="1" s="1"/>
  <c r="G72" i="1"/>
  <c r="O72" i="1" s="1"/>
  <c r="G68" i="1"/>
  <c r="O68" i="1" s="1"/>
  <c r="G64" i="1"/>
  <c r="O64" i="1" s="1"/>
  <c r="G63" i="1"/>
  <c r="O63" i="1" s="1"/>
  <c r="G59" i="1"/>
  <c r="O59" i="1" s="1"/>
  <c r="G55" i="1"/>
  <c r="O55" i="1" s="1"/>
  <c r="G54" i="1"/>
  <c r="O54" i="1" s="1"/>
  <c r="H50" i="1"/>
  <c r="G50" i="1"/>
  <c r="O50" i="1" s="1"/>
  <c r="H46" i="1"/>
  <c r="P46" i="1" s="1"/>
  <c r="G46" i="1"/>
  <c r="O46" i="1" s="1"/>
  <c r="F45" i="1"/>
  <c r="H44" i="1"/>
  <c r="P44" i="1" s="1"/>
  <c r="G44" i="1"/>
  <c r="O44" i="1" s="1"/>
  <c r="H43" i="1"/>
  <c r="P43" i="1" s="1"/>
  <c r="G43" i="1"/>
  <c r="G39" i="1"/>
  <c r="O39" i="1" s="1"/>
  <c r="F38" i="1"/>
  <c r="H37" i="1"/>
  <c r="P37" i="1" s="1"/>
  <c r="G37" i="1"/>
  <c r="H36" i="1"/>
  <c r="P36" i="1" s="1"/>
  <c r="G36" i="1"/>
  <c r="O36" i="1" s="1"/>
  <c r="F35" i="1"/>
  <c r="N35" i="1" s="1"/>
  <c r="Q35" i="1" s="1"/>
  <c r="H34" i="1"/>
  <c r="G34" i="1"/>
  <c r="O34" i="1" s="1"/>
  <c r="Q34" i="1" s="1"/>
  <c r="H33" i="1"/>
  <c r="P33" i="1" s="1"/>
  <c r="G33" i="1"/>
  <c r="O33" i="1" s="1"/>
  <c r="Q33" i="1" s="1"/>
  <c r="H32" i="1"/>
  <c r="G32" i="1"/>
  <c r="O32" i="1" s="1"/>
  <c r="Q32" i="1" s="1"/>
  <c r="H31" i="1"/>
  <c r="P31" i="1" s="1"/>
  <c r="G31" i="1"/>
  <c r="O31" i="1" s="1"/>
  <c r="Q31" i="1" s="1"/>
  <c r="H30" i="1"/>
  <c r="G30" i="1"/>
  <c r="O30" i="1" s="1"/>
  <c r="Q30" i="1" s="1"/>
  <c r="H29" i="1"/>
  <c r="P29" i="1" s="1"/>
  <c r="G29" i="1"/>
  <c r="O29" i="1" s="1"/>
  <c r="Q29" i="1" s="1"/>
  <c r="H28" i="1"/>
  <c r="G28" i="1"/>
  <c r="O28" i="1" s="1"/>
  <c r="Q28" i="1" s="1"/>
  <c r="F27" i="1"/>
  <c r="F26" i="1"/>
  <c r="N26" i="1" s="1"/>
  <c r="Q26" i="1" s="1"/>
  <c r="F25" i="1"/>
  <c r="H24" i="1"/>
  <c r="P24" i="1" s="1"/>
  <c r="G24" i="1"/>
  <c r="O24" i="1" s="1"/>
  <c r="F23" i="1"/>
  <c r="N23" i="1" s="1"/>
  <c r="Q23" i="1" s="1"/>
  <c r="H22" i="1"/>
  <c r="G22" i="1"/>
  <c r="O22" i="1" s="1"/>
  <c r="Q22" i="1" s="1"/>
  <c r="F21" i="1"/>
  <c r="F20" i="1"/>
  <c r="N20" i="1" s="1"/>
  <c r="Q20" i="1" s="1"/>
  <c r="F19" i="1"/>
  <c r="H18" i="1"/>
  <c r="P18" i="1" s="1"/>
  <c r="G18" i="1"/>
  <c r="O18" i="1" s="1"/>
  <c r="F17" i="1"/>
  <c r="N17" i="1" s="1"/>
  <c r="Q17" i="1" s="1"/>
  <c r="H16" i="1"/>
  <c r="G16" i="1"/>
  <c r="O16" i="1" s="1"/>
  <c r="Q16" i="1" s="1"/>
  <c r="H15" i="1"/>
  <c r="P15" i="1" s="1"/>
  <c r="G15" i="1"/>
  <c r="O15" i="1" s="1"/>
  <c r="Q15" i="1" s="1"/>
  <c r="H14" i="1"/>
  <c r="G14" i="1"/>
  <c r="O14" i="1" s="1"/>
  <c r="Q14" i="1" s="1"/>
  <c r="F13" i="1"/>
  <c r="N13" i="1" s="1"/>
  <c r="Q13" i="1" s="1"/>
  <c r="F12" i="1"/>
  <c r="N12" i="1" s="1"/>
  <c r="Q12" i="1" s="1"/>
  <c r="F11" i="1"/>
  <c r="N11" i="1" s="1"/>
  <c r="Q11" i="1" s="1"/>
  <c r="F10" i="1"/>
  <c r="N10" i="1" s="1"/>
  <c r="Q10" i="1" s="1"/>
  <c r="F8" i="1"/>
  <c r="F7" i="1"/>
  <c r="N7" i="1" s="1"/>
  <c r="Q7" i="1" s="1"/>
  <c r="H6" i="1"/>
  <c r="P6" i="1" s="1"/>
  <c r="G6" i="1"/>
  <c r="O6" i="1" s="1"/>
  <c r="Q6" i="1" s="1"/>
  <c r="F5" i="1"/>
  <c r="H4" i="1"/>
  <c r="P4" i="1" s="1"/>
  <c r="G4" i="1"/>
  <c r="F3" i="1"/>
  <c r="N3" i="1" s="1"/>
  <c r="Q3" i="1" s="1"/>
  <c r="H2" i="1"/>
  <c r="G2" i="1"/>
  <c r="O2" i="1" s="1"/>
  <c r="Q2" i="1" s="1"/>
  <c r="Q24" i="1" l="1"/>
  <c r="Q36" i="1"/>
  <c r="Q37" i="1"/>
  <c r="Q4" i="1"/>
  <c r="Q40" i="1" s="1"/>
  <c r="Q39" i="1"/>
  <c r="Q18" i="1"/>
  <c r="Q77" i="1"/>
  <c r="Q78" i="1" s="1"/>
  <c r="Q79" i="1" s="1"/>
  <c r="Q80" i="1" s="1"/>
  <c r="Q68" i="1"/>
  <c r="Q69" i="1" s="1"/>
  <c r="Q70" i="1" s="1"/>
  <c r="Q71" i="1" s="1"/>
  <c r="Q63" i="1"/>
  <c r="Q65" i="1" s="1"/>
  <c r="Q55" i="1"/>
  <c r="Q50" i="1"/>
  <c r="Q51" i="1" s="1"/>
  <c r="Q52" i="1" s="1"/>
  <c r="Q53" i="1" s="1"/>
  <c r="Q44" i="1"/>
  <c r="Q43" i="1"/>
  <c r="Q82" i="1"/>
  <c r="Q72" i="1"/>
  <c r="Q74" i="1" s="1"/>
  <c r="Q64" i="1"/>
  <c r="Q59" i="1"/>
  <c r="Q60" i="1" s="1"/>
  <c r="Q54" i="1"/>
  <c r="Q56" i="1" s="1"/>
  <c r="Q57" i="1" s="1"/>
  <c r="Q58" i="1" s="1"/>
  <c r="Q46" i="1"/>
  <c r="H89" i="1"/>
  <c r="G89" i="1"/>
  <c r="F89" i="1"/>
  <c r="Q41" i="1" l="1"/>
  <c r="Q42" i="1"/>
  <c r="Q75" i="1"/>
  <c r="Q76" i="1"/>
  <c r="Q66" i="1"/>
  <c r="Q67" i="1" s="1"/>
  <c r="Q61" i="1"/>
  <c r="Q62" i="1" s="1"/>
  <c r="Q47" i="1"/>
  <c r="F90" i="1"/>
  <c r="Q48" i="1" l="1"/>
  <c r="Q49" i="1" s="1"/>
</calcChain>
</file>

<file path=xl/sharedStrings.xml><?xml version="1.0" encoding="utf-8"?>
<sst xmlns="http://schemas.openxmlformats.org/spreadsheetml/2006/main" count="416" uniqueCount="222">
  <si>
    <t>EIC</t>
  </si>
  <si>
    <t>Distribučná sadzba</t>
  </si>
  <si>
    <t>24ZVS0000074877U</t>
  </si>
  <si>
    <t>Centrum voľného času</t>
  </si>
  <si>
    <t>X3-C2 VSD (firma) 1T</t>
  </si>
  <si>
    <t>24ZVS0000026974F</t>
  </si>
  <si>
    <t>X3-C2 VSD (firma) 3T profil</t>
  </si>
  <si>
    <t>24ZVS0000074910L</t>
  </si>
  <si>
    <t>24ZVS00000819485</t>
  </si>
  <si>
    <t>Mesto Vranov nad Topľou</t>
  </si>
  <si>
    <t>24ZVS00006227539</t>
  </si>
  <si>
    <t>24ZVS0000079924M</t>
  </si>
  <si>
    <t>24ZVS00006227563</t>
  </si>
  <si>
    <t>24ZVS0000080754N</t>
  </si>
  <si>
    <t>24ZVS00000809498</t>
  </si>
  <si>
    <t>24ZVS0000622750F</t>
  </si>
  <si>
    <t>24ZVS00000086328</t>
  </si>
  <si>
    <t>24ZVS0000020828J</t>
  </si>
  <si>
    <t>X3-C2 VSD (firma) 1T profil</t>
  </si>
  <si>
    <t>24ZVS0000021025F</t>
  </si>
  <si>
    <t>24ZVS0000025578S</t>
  </si>
  <si>
    <t>24ZVS00006716130</t>
  </si>
  <si>
    <t>24ZVS00000272199</t>
  </si>
  <si>
    <t>24ZVS0000028098R</t>
  </si>
  <si>
    <t>24ZVS00006716114</t>
  </si>
  <si>
    <t>24ZVS0000671590N</t>
  </si>
  <si>
    <t>24ZVS0000029374O</t>
  </si>
  <si>
    <t>24ZVS0000653850P</t>
  </si>
  <si>
    <t>24ZVS0000041607I</t>
  </si>
  <si>
    <t>24ZVS00000450828</t>
  </si>
  <si>
    <t>24ZVS0000045150H</t>
  </si>
  <si>
    <t>X3-C2 VSD (firma) 2T</t>
  </si>
  <si>
    <t>24ZVS00000455226</t>
  </si>
  <si>
    <t>24ZVS0000046337X</t>
  </si>
  <si>
    <t>24ZVS0000047827B</t>
  </si>
  <si>
    <t>24ZVS0000051630H</t>
  </si>
  <si>
    <t>24ZVS0000052261H</t>
  </si>
  <si>
    <t>24ZVS0000055861F</t>
  </si>
  <si>
    <t>24ZVS0000058545A</t>
  </si>
  <si>
    <t>24ZVS00000587088</t>
  </si>
  <si>
    <t>24ZVS0000059324L</t>
  </si>
  <si>
    <t>24ZVS0000059352G</t>
  </si>
  <si>
    <t>24ZVS0000059525B</t>
  </si>
  <si>
    <t>24ZVS00000595293</t>
  </si>
  <si>
    <t>24ZVS0000070271C</t>
  </si>
  <si>
    <t>24ZVS00006503927</t>
  </si>
  <si>
    <t>24ZVS0000076082M</t>
  </si>
  <si>
    <t>X3-C2 VSD (firma) 2T profil</t>
  </si>
  <si>
    <t>24ZVS0000078932S</t>
  </si>
  <si>
    <t>24ZVS0000014138U</t>
  </si>
  <si>
    <t>Mestský dom kultúry, príspevková organizácia</t>
  </si>
  <si>
    <t>24ZVS00000142410</t>
  </si>
  <si>
    <t>24ZVS0000014270U</t>
  </si>
  <si>
    <t>24ZVS0000014177K</t>
  </si>
  <si>
    <t>24ZVS0000025363C</t>
  </si>
  <si>
    <t>24ZVS0000020647N</t>
  </si>
  <si>
    <t>Základná škola Lúčna Vranov nad Topľou</t>
  </si>
  <si>
    <t>24ZVS0000020478K</t>
  </si>
  <si>
    <t>24ZVS0000028402D</t>
  </si>
  <si>
    <t>Základná škola Sídl. II 1336,Vranov nad Topľou</t>
  </si>
  <si>
    <t>24ZVS0000074194L</t>
  </si>
  <si>
    <t>Základná škola, Juh 1054, Vranov nad Topľou</t>
  </si>
  <si>
    <t>24ZVS0000028661Q</t>
  </si>
  <si>
    <t>24ZVS0000080751T</t>
  </si>
  <si>
    <t>24ZVS0000029462R</t>
  </si>
  <si>
    <t>Základná umelecká škola</t>
  </si>
  <si>
    <t>24ZVS0000026993B</t>
  </si>
  <si>
    <t>24ZVS00006871814</t>
  </si>
  <si>
    <t>Zariadenie pre seniorov Vranov nad Topľou</t>
  </si>
  <si>
    <t>VN VSDS 3T</t>
  </si>
  <si>
    <t>adresa</t>
  </si>
  <si>
    <t>budova</t>
  </si>
  <si>
    <t>M.R.Štefánika 870</t>
  </si>
  <si>
    <t>Slovenská kajňa 9028</t>
  </si>
  <si>
    <t>Slovenská kajňa 9029</t>
  </si>
  <si>
    <t>hodnota ističa</t>
  </si>
  <si>
    <t>100A</t>
  </si>
  <si>
    <t>30A</t>
  </si>
  <si>
    <t>25A</t>
  </si>
  <si>
    <t>32A</t>
  </si>
  <si>
    <t>50A</t>
  </si>
  <si>
    <t>MS Kukučínova</t>
  </si>
  <si>
    <t>MŠ Kukučínova</t>
  </si>
  <si>
    <t>125A</t>
  </si>
  <si>
    <t>MŠ JUH 1015</t>
  </si>
  <si>
    <t>MŠ JUH</t>
  </si>
  <si>
    <t>200A</t>
  </si>
  <si>
    <t>MŠ Dlhá 559</t>
  </si>
  <si>
    <t>MŠ Vajanského, Lomniva 670</t>
  </si>
  <si>
    <t>MŠ Vajanského, lomnica 670</t>
  </si>
  <si>
    <t>40A</t>
  </si>
  <si>
    <t>MŠ Ul. 1. mája 1227</t>
  </si>
  <si>
    <t>120A</t>
  </si>
  <si>
    <t>MŠ Okulka 9018</t>
  </si>
  <si>
    <t>250A</t>
  </si>
  <si>
    <t>ZŠ Lomnica 620</t>
  </si>
  <si>
    <t>plavecká učebňa, bernolákova</t>
  </si>
  <si>
    <t>ZS bernolakova 1061, plavecká učebňa</t>
  </si>
  <si>
    <t>145A</t>
  </si>
  <si>
    <t>Zariadenie pre seniorov</t>
  </si>
  <si>
    <t>Sídl. 1. mája 73</t>
  </si>
  <si>
    <t>Mlynská 1480</t>
  </si>
  <si>
    <t>administratívna budova - MsBP</t>
  </si>
  <si>
    <t>fontána</t>
  </si>
  <si>
    <t>Námestie slobody</t>
  </si>
  <si>
    <t>pódium</t>
  </si>
  <si>
    <t>zvonica</t>
  </si>
  <si>
    <t>PČS Staničná 1253</t>
  </si>
  <si>
    <t>PČS Mlynská 1340</t>
  </si>
  <si>
    <t>PČS Janka krála 0</t>
  </si>
  <si>
    <t>PČS, M. R. Štefánika 876A</t>
  </si>
  <si>
    <t>Obchodná 546</t>
  </si>
  <si>
    <t>prenosný antoník</t>
  </si>
  <si>
    <t>Priemyselný park</t>
  </si>
  <si>
    <t>MŠH</t>
  </si>
  <si>
    <t>Dr. C. Daxnera 86</t>
  </si>
  <si>
    <t>Dom smútku</t>
  </si>
  <si>
    <t>Cintorínska 370</t>
  </si>
  <si>
    <t>mlynská 1481</t>
  </si>
  <si>
    <t>Lomnica 898</t>
  </si>
  <si>
    <t>mestský úrad</t>
  </si>
  <si>
    <t>Dr. C. Daxnera 87/1</t>
  </si>
  <si>
    <t>obradná sieň</t>
  </si>
  <si>
    <t>Námestie slobody 4</t>
  </si>
  <si>
    <t>mestský úrad - OA</t>
  </si>
  <si>
    <t>Toplianska 1040</t>
  </si>
  <si>
    <t>Mestskú úrad - úrad práce</t>
  </si>
  <si>
    <t>prenosný antonik</t>
  </si>
  <si>
    <t>Vranov</t>
  </si>
  <si>
    <t>Na vršku</t>
  </si>
  <si>
    <t>námestie slobody</t>
  </si>
  <si>
    <t>PČS, B. Nemcovej 990</t>
  </si>
  <si>
    <t>ZŠ JUH</t>
  </si>
  <si>
    <t>ZŠ II.</t>
  </si>
  <si>
    <t>ZŠ Kukučínova</t>
  </si>
  <si>
    <t>ZŠ Bernolákova</t>
  </si>
  <si>
    <t>Základná škola Bernolákova</t>
  </si>
  <si>
    <t>nebytový priestor -lúčna 819 V</t>
  </si>
  <si>
    <t>42,5A</t>
  </si>
  <si>
    <t>nebytový priestor -lúčna 819 SP</t>
  </si>
  <si>
    <t>48A</t>
  </si>
  <si>
    <t>75A</t>
  </si>
  <si>
    <t>nebytový priestor Daxnera 87</t>
  </si>
  <si>
    <t>p.č.</t>
  </si>
  <si>
    <t>60A</t>
  </si>
  <si>
    <t>24,7A</t>
  </si>
  <si>
    <t>315A</t>
  </si>
  <si>
    <t>Základná škola, Kukučínova ul.106, Vranov nad Topľou</t>
  </si>
  <si>
    <t>MŠ Domašská, Hencovce 657</t>
  </si>
  <si>
    <t>nebytový priestor - lúčna 819 SP</t>
  </si>
  <si>
    <t>CSS- Centrum soc. služieb</t>
  </si>
  <si>
    <t>M.R.Štefánika 875/200</t>
  </si>
  <si>
    <t>400A</t>
  </si>
  <si>
    <t>A. Dubčeka 880</t>
  </si>
  <si>
    <t>Námestie slobody 965</t>
  </si>
  <si>
    <t>ZS lucna - kotolňa</t>
  </si>
  <si>
    <t>ZS lucna</t>
  </si>
  <si>
    <t>ZŠ Lúčna 827</t>
  </si>
  <si>
    <t>PŠH - pretlaková špotová hala</t>
  </si>
  <si>
    <t>ZŠ Juh 1054</t>
  </si>
  <si>
    <t>ZŠ Bernolákova 1061</t>
  </si>
  <si>
    <t>ZŠ Sídl. II. 1336</t>
  </si>
  <si>
    <t>MŠ Sídl. 1. mája 68</t>
  </si>
  <si>
    <t>nebytový priestor -Daxnera 86 /MŠK/</t>
  </si>
  <si>
    <t>nebytový priestor -Daxnera 86/MŠK/</t>
  </si>
  <si>
    <t>63A</t>
  </si>
  <si>
    <t>80A</t>
  </si>
  <si>
    <t>20,1A</t>
  </si>
  <si>
    <t>24ZVS00007028386</t>
  </si>
  <si>
    <t>Sídl Juh 1054</t>
  </si>
  <si>
    <t>X3-C2 VSD3T</t>
  </si>
  <si>
    <t>230A</t>
  </si>
  <si>
    <t>500A</t>
  </si>
  <si>
    <t>Toplianska, PP</t>
  </si>
  <si>
    <t>MsDK</t>
  </si>
  <si>
    <t>nekrytá ľadová plocha</t>
  </si>
  <si>
    <t>Právny subjekt</t>
  </si>
  <si>
    <t>Slovenská Kajňa 9029</t>
  </si>
  <si>
    <t>Slovenská Kajňa 9028</t>
  </si>
  <si>
    <t>Spolu MWh</t>
  </si>
  <si>
    <t>Jednotková cena za MWh VT v € bez DPH</t>
  </si>
  <si>
    <t>Jednotková cena za MWh 1T v € bez DPH</t>
  </si>
  <si>
    <t>Jednotková cena za MWh NTv € bez DPH</t>
  </si>
  <si>
    <t>Množstvo 1T/MWh</t>
  </si>
  <si>
    <t>Množstvo  VT/MWh</t>
  </si>
  <si>
    <t>Množstvo  NT/MWh</t>
  </si>
  <si>
    <t>Spolu za požadované množstvo MWh VT v € bez DPH</t>
  </si>
  <si>
    <t>Spolu za požadované množstvo MWh 1T v € bez DPH</t>
  </si>
  <si>
    <t>Spolu za požadované množstvo MWh NT v € bez DPH</t>
  </si>
  <si>
    <t>Spolu za odberné miesto v € bez DPH</t>
  </si>
  <si>
    <t>Spolu Mesto Vranov nad Topľou</t>
  </si>
  <si>
    <t>Spolu v € bez DPH</t>
  </si>
  <si>
    <t>DPH 20% v €</t>
  </si>
  <si>
    <t>Spolu s DPH v €</t>
  </si>
  <si>
    <t>Spolu Mestský dom kultúry, príspevková organizácia</t>
  </si>
  <si>
    <t>Spolu Základná škola Bernolákova</t>
  </si>
  <si>
    <t>Spolu Základná škola Lúčna Vranov nad Topľou</t>
  </si>
  <si>
    <t>Spolu Základná škola Sídl. II 1336,Vranov nad Topľou</t>
  </si>
  <si>
    <t>Spolu Základná škola, Juh 1054, Vranov nad Topľou</t>
  </si>
  <si>
    <t>Spolu Základná škola, Kukučínova ul.106, Vranov nad Topľou</t>
  </si>
  <si>
    <t>Spolu Základná umelecká škola</t>
  </si>
  <si>
    <t>Spolu Zariadenie pre seniorov Vranov nad Topľou</t>
  </si>
  <si>
    <t>Spolu Centrum voľného času</t>
  </si>
  <si>
    <t>Rekapitulácia</t>
  </si>
  <si>
    <t>Názov odberateľa</t>
  </si>
  <si>
    <t>Spolu za tarify v MWh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</si>
  <si>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</si>
  <si>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</si>
  <si>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</si>
  <si>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</si>
  <si>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</si>
  <si>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</si>
  <si>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</si>
  <si>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</si>
  <si>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</si>
  <si>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</si>
  <si>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Spolu</t>
  </si>
  <si>
    <t>spolu v € bez DPH</t>
  </si>
  <si>
    <t>Spolu v € s DPH</t>
  </si>
  <si>
    <t>Množstvo VT/MWh</t>
  </si>
  <si>
    <t>Množstvo NT/MWh</t>
  </si>
  <si>
    <t>Základná umelecká škola Vranov nad Topľou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</si>
</sst>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name val="Calibri"/>
    </font>
    <font>
      <b/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5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5" borderId="0" xfId="0" applyNumberFormat="1" applyFont="1" applyFill="1"/>
    <xf numFmtId="0" fontId="5" fillId="0" borderId="0" xfId="0" applyNumberFormat="1" applyFont="1"/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4" fontId="0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/>
    <xf numFmtId="0" fontId="4" fillId="0" borderId="1" xfId="0" applyNumberFormat="1" applyFont="1" applyBorder="1"/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2">
    <cellStyle name="Normálne" xfId="0" builtinId="0"/>
    <cellStyle name="Zvýraznenie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zoomScaleNormal="100" workbookViewId="0">
      <selection activeCell="B103" sqref="B103:D103"/>
    </sheetView>
  </sheetViews>
  <sheetFormatPr defaultRowHeight="15" x14ac:dyDescent="0.25"/>
  <cols>
    <col min="1" max="1" width="3.85546875" customWidth="1"/>
    <col min="2" max="2" width="19" style="1" customWidth="1"/>
    <col min="3" max="3" width="18.140625" style="3" customWidth="1"/>
    <col min="4" max="4" width="34.7109375" style="3" customWidth="1"/>
    <col min="5" max="5" width="20.28515625" style="1" customWidth="1"/>
    <col min="6" max="6" width="10.42578125" style="1" customWidth="1"/>
    <col min="7" max="8" width="10" style="1" customWidth="1"/>
    <col min="9" max="9" width="26.5703125" style="2" customWidth="1"/>
    <col min="10" max="10" width="9.5703125" style="2" customWidth="1"/>
    <col min="11" max="11" width="12.28515625" style="1" bestFit="1" customWidth="1"/>
    <col min="12" max="12" width="12.42578125" style="1" bestFit="1" customWidth="1"/>
    <col min="13" max="13" width="13.5703125" style="1" customWidth="1"/>
    <col min="14" max="14" width="12.42578125" customWidth="1"/>
    <col min="15" max="15" width="12.140625" customWidth="1"/>
    <col min="16" max="16" width="14.5703125" customWidth="1"/>
    <col min="17" max="17" width="18.5703125" customWidth="1"/>
  </cols>
  <sheetData>
    <row r="1" spans="1:17" ht="75" x14ac:dyDescent="0.25">
      <c r="A1" s="34" t="s">
        <v>143</v>
      </c>
      <c r="B1" s="35" t="s">
        <v>0</v>
      </c>
      <c r="C1" s="35" t="s">
        <v>71</v>
      </c>
      <c r="D1" s="35" t="s">
        <v>70</v>
      </c>
      <c r="E1" s="36" t="s">
        <v>176</v>
      </c>
      <c r="F1" s="37" t="s">
        <v>183</v>
      </c>
      <c r="G1" s="37" t="s">
        <v>184</v>
      </c>
      <c r="H1" s="37" t="s">
        <v>185</v>
      </c>
      <c r="I1" s="35" t="s">
        <v>1</v>
      </c>
      <c r="J1" s="35" t="s">
        <v>75</v>
      </c>
      <c r="K1" s="35" t="s">
        <v>181</v>
      </c>
      <c r="L1" s="36" t="s">
        <v>180</v>
      </c>
      <c r="M1" s="36" t="s">
        <v>182</v>
      </c>
      <c r="N1" s="40" t="s">
        <v>187</v>
      </c>
      <c r="O1" s="36" t="s">
        <v>186</v>
      </c>
      <c r="P1" s="36" t="s">
        <v>188</v>
      </c>
      <c r="Q1" s="36" t="s">
        <v>189</v>
      </c>
    </row>
    <row r="2" spans="1:17" ht="30" x14ac:dyDescent="0.25">
      <c r="A2" s="38">
        <v>1</v>
      </c>
      <c r="B2" s="9" t="s">
        <v>8</v>
      </c>
      <c r="C2" s="10" t="s">
        <v>162</v>
      </c>
      <c r="D2" s="10" t="s">
        <v>162</v>
      </c>
      <c r="E2" s="9" t="s">
        <v>9</v>
      </c>
      <c r="F2" s="9"/>
      <c r="G2" s="9">
        <f>2*18.498</f>
        <v>36.996000000000002</v>
      </c>
      <c r="H2" s="9">
        <f>2*3.726</f>
        <v>7.452</v>
      </c>
      <c r="I2" s="9" t="s">
        <v>6</v>
      </c>
      <c r="J2" s="10" t="s">
        <v>86</v>
      </c>
      <c r="K2" s="17"/>
      <c r="L2" s="17"/>
      <c r="M2" s="17"/>
      <c r="N2" s="20"/>
      <c r="O2" s="20">
        <f>G2*L2</f>
        <v>0</v>
      </c>
      <c r="P2" s="20">
        <f>H2*M2</f>
        <v>0</v>
      </c>
      <c r="Q2" s="20">
        <f>SUM(N2:P2)</f>
        <v>0</v>
      </c>
    </row>
    <row r="3" spans="1:17" ht="30" x14ac:dyDescent="0.25">
      <c r="A3" s="38">
        <v>2</v>
      </c>
      <c r="B3" s="9" t="s">
        <v>10</v>
      </c>
      <c r="C3" s="10" t="s">
        <v>127</v>
      </c>
      <c r="D3" s="10" t="s">
        <v>128</v>
      </c>
      <c r="E3" s="9" t="s">
        <v>9</v>
      </c>
      <c r="F3" s="9">
        <f>2*0.339</f>
        <v>0.67800000000000005</v>
      </c>
      <c r="G3" s="9"/>
      <c r="H3" s="9"/>
      <c r="I3" s="9" t="s">
        <v>4</v>
      </c>
      <c r="J3" s="10" t="s">
        <v>166</v>
      </c>
      <c r="K3" s="17"/>
      <c r="L3" s="17"/>
      <c r="M3" s="17"/>
      <c r="N3" s="20">
        <f t="shared" ref="N3:N83" si="0">F3*K3</f>
        <v>0</v>
      </c>
      <c r="O3" s="20"/>
      <c r="P3" s="20"/>
      <c r="Q3" s="20">
        <f t="shared" ref="Q3:Q83" si="1">SUM(N3:P3)</f>
        <v>0</v>
      </c>
    </row>
    <row r="4" spans="1:17" ht="30" x14ac:dyDescent="0.25">
      <c r="A4" s="38">
        <v>3</v>
      </c>
      <c r="B4" s="9" t="s">
        <v>11</v>
      </c>
      <c r="C4" s="10" t="s">
        <v>96</v>
      </c>
      <c r="D4" s="10" t="s">
        <v>97</v>
      </c>
      <c r="E4" s="9" t="s">
        <v>9</v>
      </c>
      <c r="F4" s="9"/>
      <c r="G4" s="9">
        <f>2*41.593</f>
        <v>83.186000000000007</v>
      </c>
      <c r="H4" s="9">
        <f>2*19.869</f>
        <v>39.738</v>
      </c>
      <c r="I4" s="9" t="s">
        <v>6</v>
      </c>
      <c r="J4" s="10" t="s">
        <v>98</v>
      </c>
      <c r="K4" s="17"/>
      <c r="L4" s="17"/>
      <c r="M4" s="17"/>
      <c r="N4" s="20"/>
      <c r="O4" s="20">
        <f t="shared" ref="O4:O82" si="2">G4*L4</f>
        <v>0</v>
      </c>
      <c r="P4" s="20">
        <f t="shared" ref="P4:P82" si="3">H4*M4</f>
        <v>0</v>
      </c>
      <c r="Q4" s="20">
        <f t="shared" si="1"/>
        <v>0</v>
      </c>
    </row>
    <row r="5" spans="1:17" ht="30" x14ac:dyDescent="0.25">
      <c r="A5" s="38">
        <v>4</v>
      </c>
      <c r="B5" s="9" t="s">
        <v>12</v>
      </c>
      <c r="C5" s="10" t="s">
        <v>112</v>
      </c>
      <c r="D5" s="10" t="s">
        <v>128</v>
      </c>
      <c r="E5" s="9" t="s">
        <v>9</v>
      </c>
      <c r="F5" s="9">
        <f>2*0.212</f>
        <v>0.42399999999999999</v>
      </c>
      <c r="G5" s="9"/>
      <c r="H5" s="9"/>
      <c r="I5" s="9" t="s">
        <v>4</v>
      </c>
      <c r="J5" s="10" t="s">
        <v>165</v>
      </c>
      <c r="K5" s="17"/>
      <c r="L5" s="17"/>
      <c r="M5" s="17"/>
      <c r="N5" s="20">
        <f t="shared" si="0"/>
        <v>0</v>
      </c>
      <c r="O5" s="20"/>
      <c r="P5" s="20"/>
      <c r="Q5" s="20">
        <f t="shared" si="1"/>
        <v>0</v>
      </c>
    </row>
    <row r="6" spans="1:17" ht="30" x14ac:dyDescent="0.25">
      <c r="A6" s="38">
        <v>5</v>
      </c>
      <c r="B6" s="9" t="s">
        <v>13</v>
      </c>
      <c r="C6" s="10" t="s">
        <v>81</v>
      </c>
      <c r="D6" s="10" t="s">
        <v>82</v>
      </c>
      <c r="E6" s="9" t="s">
        <v>9</v>
      </c>
      <c r="F6" s="9"/>
      <c r="G6" s="9">
        <f>2*40.668</f>
        <v>81.335999999999999</v>
      </c>
      <c r="H6" s="9">
        <f>2*6.969</f>
        <v>13.938000000000001</v>
      </c>
      <c r="I6" s="9" t="s">
        <v>6</v>
      </c>
      <c r="J6" s="10" t="s">
        <v>83</v>
      </c>
      <c r="K6" s="17"/>
      <c r="L6" s="17"/>
      <c r="M6" s="17"/>
      <c r="N6" s="20"/>
      <c r="O6" s="20">
        <f t="shared" si="2"/>
        <v>0</v>
      </c>
      <c r="P6" s="20">
        <f t="shared" si="3"/>
        <v>0</v>
      </c>
      <c r="Q6" s="20">
        <f t="shared" si="1"/>
        <v>0</v>
      </c>
    </row>
    <row r="7" spans="1:17" ht="30" x14ac:dyDescent="0.25">
      <c r="A7" s="38">
        <v>6</v>
      </c>
      <c r="B7" s="9" t="s">
        <v>14</v>
      </c>
      <c r="C7" s="10" t="s">
        <v>108</v>
      </c>
      <c r="D7" s="10" t="s">
        <v>108</v>
      </c>
      <c r="E7" s="9" t="s">
        <v>9</v>
      </c>
      <c r="F7" s="9">
        <f>2*0.406</f>
        <v>0.81200000000000006</v>
      </c>
      <c r="G7" s="9"/>
      <c r="H7" s="9"/>
      <c r="I7" s="9" t="s">
        <v>4</v>
      </c>
      <c r="J7" s="10" t="s">
        <v>78</v>
      </c>
      <c r="K7" s="17"/>
      <c r="L7" s="17"/>
      <c r="M7" s="17"/>
      <c r="N7" s="20">
        <f t="shared" si="0"/>
        <v>0</v>
      </c>
      <c r="O7" s="20"/>
      <c r="P7" s="20"/>
      <c r="Q7" s="20">
        <f t="shared" si="1"/>
        <v>0</v>
      </c>
    </row>
    <row r="8" spans="1:17" ht="30" x14ac:dyDescent="0.25">
      <c r="A8" s="38">
        <v>7</v>
      </c>
      <c r="B8" s="9" t="s">
        <v>15</v>
      </c>
      <c r="C8" s="10" t="s">
        <v>127</v>
      </c>
      <c r="D8" s="10" t="s">
        <v>128</v>
      </c>
      <c r="E8" s="9" t="s">
        <v>9</v>
      </c>
      <c r="F8" s="9">
        <f>2*0.186</f>
        <v>0.372</v>
      </c>
      <c r="G8" s="9"/>
      <c r="H8" s="9"/>
      <c r="I8" s="9" t="s">
        <v>4</v>
      </c>
      <c r="J8" s="10" t="s">
        <v>165</v>
      </c>
      <c r="K8" s="17"/>
      <c r="L8" s="17"/>
      <c r="M8" s="17"/>
      <c r="N8" s="20">
        <f t="shared" si="0"/>
        <v>0</v>
      </c>
      <c r="O8" s="20"/>
      <c r="P8" s="20"/>
      <c r="Q8" s="20">
        <f t="shared" si="1"/>
        <v>0</v>
      </c>
    </row>
    <row r="9" spans="1:17" s="5" customFormat="1" ht="30" x14ac:dyDescent="0.25">
      <c r="A9" s="34">
        <v>8</v>
      </c>
      <c r="B9" s="11" t="s">
        <v>16</v>
      </c>
      <c r="C9" s="11" t="s">
        <v>137</v>
      </c>
      <c r="D9" s="11" t="s">
        <v>137</v>
      </c>
      <c r="E9" s="11" t="s">
        <v>9</v>
      </c>
      <c r="F9" s="11">
        <v>0</v>
      </c>
      <c r="G9" s="11"/>
      <c r="H9" s="11"/>
      <c r="I9" s="11" t="s">
        <v>4</v>
      </c>
      <c r="J9" s="11" t="s">
        <v>138</v>
      </c>
      <c r="K9" s="18"/>
      <c r="L9" s="18"/>
      <c r="M9" s="18"/>
      <c r="N9" s="20">
        <f t="shared" si="0"/>
        <v>0</v>
      </c>
      <c r="O9" s="20"/>
      <c r="P9" s="20"/>
      <c r="Q9" s="20">
        <f t="shared" si="1"/>
        <v>0</v>
      </c>
    </row>
    <row r="10" spans="1:17" ht="30" x14ac:dyDescent="0.25">
      <c r="A10" s="38">
        <v>9</v>
      </c>
      <c r="B10" s="9" t="s">
        <v>17</v>
      </c>
      <c r="C10" s="10" t="s">
        <v>116</v>
      </c>
      <c r="D10" s="10" t="s">
        <v>118</v>
      </c>
      <c r="E10" s="9" t="s">
        <v>9</v>
      </c>
      <c r="F10" s="9">
        <f>2*10.832</f>
        <v>21.664000000000001</v>
      </c>
      <c r="G10" s="9"/>
      <c r="H10" s="9"/>
      <c r="I10" s="9" t="s">
        <v>18</v>
      </c>
      <c r="J10" s="11" t="s">
        <v>90</v>
      </c>
      <c r="K10" s="17"/>
      <c r="L10" s="17"/>
      <c r="M10" s="17"/>
      <c r="N10" s="20">
        <f t="shared" si="0"/>
        <v>0</v>
      </c>
      <c r="O10" s="20"/>
      <c r="P10" s="20"/>
      <c r="Q10" s="20">
        <f t="shared" si="1"/>
        <v>0</v>
      </c>
    </row>
    <row r="11" spans="1:17" ht="30" x14ac:dyDescent="0.25">
      <c r="A11" s="34">
        <v>10</v>
      </c>
      <c r="B11" s="11" t="s">
        <v>19</v>
      </c>
      <c r="C11" s="11" t="s">
        <v>142</v>
      </c>
      <c r="D11" s="11" t="s">
        <v>142</v>
      </c>
      <c r="E11" s="11" t="s">
        <v>9</v>
      </c>
      <c r="F11" s="11">
        <f>2*0.35</f>
        <v>0.7</v>
      </c>
      <c r="G11" s="11"/>
      <c r="H11" s="11"/>
      <c r="I11" s="11" t="s">
        <v>4</v>
      </c>
      <c r="J11" s="11" t="s">
        <v>90</v>
      </c>
      <c r="K11" s="17"/>
      <c r="L11" s="17"/>
      <c r="M11" s="17"/>
      <c r="N11" s="20">
        <f t="shared" si="0"/>
        <v>0</v>
      </c>
      <c r="O11" s="20"/>
      <c r="P11" s="20"/>
      <c r="Q11" s="20">
        <f t="shared" si="1"/>
        <v>0</v>
      </c>
    </row>
    <row r="12" spans="1:17" ht="30" x14ac:dyDescent="0.25">
      <c r="A12" s="38">
        <v>11</v>
      </c>
      <c r="B12" s="9" t="s">
        <v>20</v>
      </c>
      <c r="C12" s="10" t="s">
        <v>87</v>
      </c>
      <c r="D12" s="10" t="s">
        <v>87</v>
      </c>
      <c r="E12" s="9" t="s">
        <v>9</v>
      </c>
      <c r="F12" s="9">
        <f>2*1.57</f>
        <v>3.14</v>
      </c>
      <c r="G12" s="9"/>
      <c r="H12" s="9"/>
      <c r="I12" s="9" t="s">
        <v>4</v>
      </c>
      <c r="J12" s="10" t="s">
        <v>78</v>
      </c>
      <c r="K12" s="17"/>
      <c r="L12" s="17"/>
      <c r="M12" s="17"/>
      <c r="N12" s="20">
        <f t="shared" si="0"/>
        <v>0</v>
      </c>
      <c r="O12" s="20"/>
      <c r="P12" s="20"/>
      <c r="Q12" s="20">
        <f t="shared" si="1"/>
        <v>0</v>
      </c>
    </row>
    <row r="13" spans="1:17" ht="30" x14ac:dyDescent="0.25">
      <c r="A13" s="38">
        <v>12</v>
      </c>
      <c r="B13" s="9" t="s">
        <v>21</v>
      </c>
      <c r="C13" s="10" t="s">
        <v>103</v>
      </c>
      <c r="D13" s="10" t="s">
        <v>104</v>
      </c>
      <c r="E13" s="9" t="s">
        <v>9</v>
      </c>
      <c r="F13" s="9">
        <f>2*20.275</f>
        <v>40.549999999999997</v>
      </c>
      <c r="G13" s="9"/>
      <c r="H13" s="9"/>
      <c r="I13" s="9" t="s">
        <v>18</v>
      </c>
      <c r="J13" s="10" t="s">
        <v>78</v>
      </c>
      <c r="K13" s="17"/>
      <c r="L13" s="17"/>
      <c r="M13" s="17"/>
      <c r="N13" s="20">
        <f t="shared" si="0"/>
        <v>0</v>
      </c>
      <c r="O13" s="20"/>
      <c r="P13" s="20"/>
      <c r="Q13" s="20">
        <f t="shared" si="1"/>
        <v>0</v>
      </c>
    </row>
    <row r="14" spans="1:17" ht="30" x14ac:dyDescent="0.25">
      <c r="A14" s="38">
        <v>13</v>
      </c>
      <c r="B14" s="9" t="s">
        <v>22</v>
      </c>
      <c r="C14" s="10" t="s">
        <v>102</v>
      </c>
      <c r="D14" s="10" t="s">
        <v>101</v>
      </c>
      <c r="E14" s="9" t="s">
        <v>9</v>
      </c>
      <c r="F14" s="9"/>
      <c r="G14" s="9">
        <f>2*4.418</f>
        <v>8.8360000000000003</v>
      </c>
      <c r="H14" s="9">
        <f>2*1.914</f>
        <v>3.8279999999999998</v>
      </c>
      <c r="I14" s="9" t="s">
        <v>6</v>
      </c>
      <c r="J14" s="10" t="s">
        <v>92</v>
      </c>
      <c r="K14" s="17"/>
      <c r="L14" s="17"/>
      <c r="M14" s="17"/>
      <c r="N14" s="20"/>
      <c r="O14" s="20">
        <f t="shared" si="2"/>
        <v>0</v>
      </c>
      <c r="P14" s="20">
        <f t="shared" si="3"/>
        <v>0</v>
      </c>
      <c r="Q14" s="20">
        <f t="shared" si="1"/>
        <v>0</v>
      </c>
    </row>
    <row r="15" spans="1:17" ht="30" x14ac:dyDescent="0.25">
      <c r="A15" s="38">
        <v>14</v>
      </c>
      <c r="B15" s="9" t="s">
        <v>23</v>
      </c>
      <c r="C15" s="10" t="s">
        <v>91</v>
      </c>
      <c r="D15" s="10" t="s">
        <v>91</v>
      </c>
      <c r="E15" s="9" t="s">
        <v>9</v>
      </c>
      <c r="F15" s="9"/>
      <c r="G15" s="9">
        <f>2*39.372</f>
        <v>78.744</v>
      </c>
      <c r="H15" s="9">
        <f>2*7.146</f>
        <v>14.292</v>
      </c>
      <c r="I15" s="9" t="s">
        <v>6</v>
      </c>
      <c r="J15" s="10" t="s">
        <v>92</v>
      </c>
      <c r="K15" s="17"/>
      <c r="L15" s="17"/>
      <c r="M15" s="17"/>
      <c r="N15" s="20"/>
      <c r="O15" s="20">
        <f t="shared" si="2"/>
        <v>0</v>
      </c>
      <c r="P15" s="20">
        <f t="shared" si="3"/>
        <v>0</v>
      </c>
      <c r="Q15" s="20">
        <f t="shared" si="1"/>
        <v>0</v>
      </c>
    </row>
    <row r="16" spans="1:17" ht="30" x14ac:dyDescent="0.25">
      <c r="A16" s="38">
        <v>15</v>
      </c>
      <c r="B16" s="9" t="s">
        <v>24</v>
      </c>
      <c r="C16" s="11" t="s">
        <v>105</v>
      </c>
      <c r="D16" s="10" t="s">
        <v>130</v>
      </c>
      <c r="E16" s="9" t="s">
        <v>9</v>
      </c>
      <c r="F16" s="9"/>
      <c r="G16" s="9">
        <f>2*1.501</f>
        <v>3.0019999999999998</v>
      </c>
      <c r="H16" s="9">
        <f>2*0.58</f>
        <v>1.1599999999999999</v>
      </c>
      <c r="I16" s="9" t="s">
        <v>6</v>
      </c>
      <c r="J16" s="10" t="s">
        <v>76</v>
      </c>
      <c r="K16" s="17"/>
      <c r="L16" s="17"/>
      <c r="M16" s="17"/>
      <c r="N16" s="20"/>
      <c r="O16" s="20">
        <f t="shared" si="2"/>
        <v>0</v>
      </c>
      <c r="P16" s="20">
        <f t="shared" si="3"/>
        <v>0</v>
      </c>
      <c r="Q16" s="20">
        <f t="shared" si="1"/>
        <v>0</v>
      </c>
    </row>
    <row r="17" spans="1:17" ht="30" x14ac:dyDescent="0.25">
      <c r="A17" s="38">
        <v>16</v>
      </c>
      <c r="B17" s="9" t="s">
        <v>25</v>
      </c>
      <c r="C17" s="10" t="s">
        <v>109</v>
      </c>
      <c r="D17" s="10" t="s">
        <v>109</v>
      </c>
      <c r="E17" s="9" t="s">
        <v>9</v>
      </c>
      <c r="F17" s="9">
        <f>2*0.042</f>
        <v>8.4000000000000005E-2</v>
      </c>
      <c r="G17" s="9"/>
      <c r="H17" s="9"/>
      <c r="I17" s="9" t="s">
        <v>4</v>
      </c>
      <c r="J17" s="10" t="s">
        <v>79</v>
      </c>
      <c r="K17" s="17"/>
      <c r="L17" s="17"/>
      <c r="M17" s="17"/>
      <c r="N17" s="20">
        <f t="shared" si="0"/>
        <v>0</v>
      </c>
      <c r="O17" s="20"/>
      <c r="P17" s="20"/>
      <c r="Q17" s="20">
        <f t="shared" si="1"/>
        <v>0</v>
      </c>
    </row>
    <row r="18" spans="1:17" ht="30" x14ac:dyDescent="0.25">
      <c r="A18" s="38">
        <v>17</v>
      </c>
      <c r="B18" s="9" t="s">
        <v>26</v>
      </c>
      <c r="C18" s="10" t="s">
        <v>84</v>
      </c>
      <c r="D18" s="10" t="s">
        <v>85</v>
      </c>
      <c r="E18" s="9" t="s">
        <v>9</v>
      </c>
      <c r="F18" s="9"/>
      <c r="G18" s="9">
        <f>2*23.79</f>
        <v>47.58</v>
      </c>
      <c r="H18" s="9">
        <f>2*4.35</f>
        <v>8.6999999999999993</v>
      </c>
      <c r="I18" s="9" t="s">
        <v>6</v>
      </c>
      <c r="J18" s="10" t="s">
        <v>86</v>
      </c>
      <c r="K18" s="17"/>
      <c r="L18" s="17"/>
      <c r="M18" s="17"/>
      <c r="N18" s="20">
        <f t="shared" si="0"/>
        <v>0</v>
      </c>
      <c r="O18" s="20">
        <f t="shared" si="2"/>
        <v>0</v>
      </c>
      <c r="P18" s="20">
        <f t="shared" si="3"/>
        <v>0</v>
      </c>
      <c r="Q18" s="20">
        <f t="shared" si="1"/>
        <v>0</v>
      </c>
    </row>
    <row r="19" spans="1:17" ht="30" x14ac:dyDescent="0.25">
      <c r="A19" s="38">
        <v>18</v>
      </c>
      <c r="B19" s="9" t="s">
        <v>27</v>
      </c>
      <c r="C19" s="10" t="s">
        <v>131</v>
      </c>
      <c r="D19" s="10" t="s">
        <v>131</v>
      </c>
      <c r="E19" s="9" t="s">
        <v>9</v>
      </c>
      <c r="F19" s="9">
        <f>2*0.602</f>
        <v>1.204</v>
      </c>
      <c r="G19" s="9"/>
      <c r="H19" s="9"/>
      <c r="I19" s="9" t="s">
        <v>4</v>
      </c>
      <c r="J19" s="10" t="s">
        <v>80</v>
      </c>
      <c r="K19" s="17"/>
      <c r="L19" s="17"/>
      <c r="M19" s="17"/>
      <c r="N19" s="20">
        <f t="shared" si="0"/>
        <v>0</v>
      </c>
      <c r="O19" s="20"/>
      <c r="P19" s="20"/>
      <c r="Q19" s="20">
        <f t="shared" si="1"/>
        <v>0</v>
      </c>
    </row>
    <row r="20" spans="1:17" ht="30" x14ac:dyDescent="0.25">
      <c r="A20" s="38">
        <v>19</v>
      </c>
      <c r="B20" s="9" t="s">
        <v>28</v>
      </c>
      <c r="C20" s="10" t="s">
        <v>126</v>
      </c>
      <c r="D20" s="10" t="s">
        <v>121</v>
      </c>
      <c r="E20" s="9" t="s">
        <v>9</v>
      </c>
      <c r="F20" s="9">
        <f>2*0.179</f>
        <v>0.35799999999999998</v>
      </c>
      <c r="G20" s="9"/>
      <c r="H20" s="9"/>
      <c r="I20" s="9" t="s">
        <v>4</v>
      </c>
      <c r="J20" s="10" t="s">
        <v>80</v>
      </c>
      <c r="K20" s="17"/>
      <c r="L20" s="17"/>
      <c r="M20" s="17"/>
      <c r="N20" s="20">
        <f t="shared" si="0"/>
        <v>0</v>
      </c>
      <c r="O20" s="20"/>
      <c r="P20" s="20"/>
      <c r="Q20" s="20">
        <f t="shared" si="1"/>
        <v>0</v>
      </c>
    </row>
    <row r="21" spans="1:17" ht="30" x14ac:dyDescent="0.25">
      <c r="A21" s="38">
        <v>20</v>
      </c>
      <c r="B21" s="9" t="s">
        <v>29</v>
      </c>
      <c r="C21" s="10" t="s">
        <v>116</v>
      </c>
      <c r="D21" s="10" t="s">
        <v>129</v>
      </c>
      <c r="E21" s="9" t="s">
        <v>9</v>
      </c>
      <c r="F21" s="9">
        <f>2*5.325</f>
        <v>10.65</v>
      </c>
      <c r="G21" s="9"/>
      <c r="H21" s="9"/>
      <c r="I21" s="9" t="s">
        <v>4</v>
      </c>
      <c r="J21" s="11" t="s">
        <v>90</v>
      </c>
      <c r="K21" s="17"/>
      <c r="L21" s="17"/>
      <c r="M21" s="17"/>
      <c r="N21" s="20">
        <f t="shared" si="0"/>
        <v>0</v>
      </c>
      <c r="O21" s="20"/>
      <c r="P21" s="20"/>
      <c r="Q21" s="20">
        <f t="shared" si="1"/>
        <v>0</v>
      </c>
    </row>
    <row r="22" spans="1:17" ht="30" x14ac:dyDescent="0.25">
      <c r="A22" s="38">
        <v>21</v>
      </c>
      <c r="B22" s="9" t="s">
        <v>30</v>
      </c>
      <c r="C22" s="10" t="s">
        <v>89</v>
      </c>
      <c r="D22" s="10" t="s">
        <v>88</v>
      </c>
      <c r="E22" s="9" t="s">
        <v>9</v>
      </c>
      <c r="F22" s="9"/>
      <c r="G22" s="9">
        <f>2*1.666</f>
        <v>3.3319999999999999</v>
      </c>
      <c r="H22" s="9">
        <f>2*1.107</f>
        <v>2.214</v>
      </c>
      <c r="I22" s="9" t="s">
        <v>31</v>
      </c>
      <c r="J22" s="10" t="s">
        <v>90</v>
      </c>
      <c r="K22" s="17"/>
      <c r="L22" s="17"/>
      <c r="M22" s="17"/>
      <c r="N22" s="20"/>
      <c r="O22" s="20">
        <f t="shared" si="2"/>
        <v>0</v>
      </c>
      <c r="P22" s="20">
        <f t="shared" si="3"/>
        <v>0</v>
      </c>
      <c r="Q22" s="20">
        <f t="shared" si="1"/>
        <v>0</v>
      </c>
    </row>
    <row r="23" spans="1:17" ht="30" x14ac:dyDescent="0.25">
      <c r="A23" s="38">
        <v>22</v>
      </c>
      <c r="B23" s="9" t="s">
        <v>32</v>
      </c>
      <c r="C23" s="10" t="s">
        <v>110</v>
      </c>
      <c r="D23" s="10" t="s">
        <v>110</v>
      </c>
      <c r="E23" s="9" t="s">
        <v>9</v>
      </c>
      <c r="F23" s="9">
        <f>2*0.371</f>
        <v>0.74199999999999999</v>
      </c>
      <c r="G23" s="9"/>
      <c r="H23" s="9"/>
      <c r="I23" s="9" t="s">
        <v>4</v>
      </c>
      <c r="J23" s="10" t="s">
        <v>78</v>
      </c>
      <c r="K23" s="17"/>
      <c r="L23" s="17"/>
      <c r="M23" s="17"/>
      <c r="N23" s="20">
        <f t="shared" si="0"/>
        <v>0</v>
      </c>
      <c r="O23" s="20"/>
      <c r="P23" s="20"/>
      <c r="Q23" s="20">
        <f t="shared" si="1"/>
        <v>0</v>
      </c>
    </row>
    <row r="24" spans="1:17" ht="30" x14ac:dyDescent="0.25">
      <c r="A24" s="38">
        <v>23</v>
      </c>
      <c r="B24" s="9" t="s">
        <v>33</v>
      </c>
      <c r="C24" s="10" t="s">
        <v>95</v>
      </c>
      <c r="D24" s="10" t="s">
        <v>95</v>
      </c>
      <c r="E24" s="9" t="s">
        <v>9</v>
      </c>
      <c r="F24" s="9"/>
      <c r="G24" s="9">
        <f>2*10.26</f>
        <v>20.52</v>
      </c>
      <c r="H24" s="9">
        <f>2*4.945</f>
        <v>9.89</v>
      </c>
      <c r="I24" s="9" t="s">
        <v>6</v>
      </c>
      <c r="J24" s="9">
        <v>85.9</v>
      </c>
      <c r="K24" s="17"/>
      <c r="L24" s="17"/>
      <c r="M24" s="17"/>
      <c r="N24" s="20"/>
      <c r="O24" s="20">
        <f t="shared" si="2"/>
        <v>0</v>
      </c>
      <c r="P24" s="20">
        <f t="shared" si="3"/>
        <v>0</v>
      </c>
      <c r="Q24" s="20">
        <f t="shared" si="1"/>
        <v>0</v>
      </c>
    </row>
    <row r="25" spans="1:17" ht="30" x14ac:dyDescent="0.25">
      <c r="A25" s="38">
        <v>24</v>
      </c>
      <c r="B25" s="9" t="s">
        <v>34</v>
      </c>
      <c r="C25" s="10" t="s">
        <v>116</v>
      </c>
      <c r="D25" s="10" t="s">
        <v>117</v>
      </c>
      <c r="E25" s="9" t="s">
        <v>9</v>
      </c>
      <c r="F25" s="9">
        <f>2*3.228</f>
        <v>6.4560000000000004</v>
      </c>
      <c r="G25" s="9"/>
      <c r="H25" s="9"/>
      <c r="I25" s="9" t="s">
        <v>4</v>
      </c>
      <c r="J25" s="11" t="s">
        <v>144</v>
      </c>
      <c r="K25" s="17"/>
      <c r="L25" s="17"/>
      <c r="M25" s="17"/>
      <c r="N25" s="20">
        <f t="shared" si="0"/>
        <v>0</v>
      </c>
      <c r="O25" s="20"/>
      <c r="P25" s="20"/>
      <c r="Q25" s="20">
        <f t="shared" si="1"/>
        <v>0</v>
      </c>
    </row>
    <row r="26" spans="1:17" ht="30" x14ac:dyDescent="0.25">
      <c r="A26" s="38">
        <v>25</v>
      </c>
      <c r="B26" s="9" t="s">
        <v>35</v>
      </c>
      <c r="C26" s="10" t="s">
        <v>150</v>
      </c>
      <c r="D26" s="10" t="s">
        <v>125</v>
      </c>
      <c r="E26" s="9" t="s">
        <v>9</v>
      </c>
      <c r="F26" s="9">
        <f>2*10.675</f>
        <v>21.35</v>
      </c>
      <c r="G26" s="9"/>
      <c r="H26" s="9"/>
      <c r="I26" s="9" t="s">
        <v>18</v>
      </c>
      <c r="J26" s="10" t="s">
        <v>145</v>
      </c>
      <c r="K26" s="17"/>
      <c r="L26" s="17"/>
      <c r="M26" s="17"/>
      <c r="N26" s="20">
        <f t="shared" si="0"/>
        <v>0</v>
      </c>
      <c r="O26" s="20"/>
      <c r="P26" s="20"/>
      <c r="Q26" s="20">
        <f t="shared" si="1"/>
        <v>0</v>
      </c>
    </row>
    <row r="27" spans="1:17" ht="30" x14ac:dyDescent="0.25">
      <c r="A27" s="38">
        <v>26</v>
      </c>
      <c r="B27" s="9" t="s">
        <v>36</v>
      </c>
      <c r="C27" s="10" t="s">
        <v>107</v>
      </c>
      <c r="D27" s="10" t="s">
        <v>107</v>
      </c>
      <c r="E27" s="9" t="s">
        <v>9</v>
      </c>
      <c r="F27" s="9">
        <f>2*0.027</f>
        <v>5.3999999999999999E-2</v>
      </c>
      <c r="G27" s="9"/>
      <c r="H27" s="9"/>
      <c r="I27" s="9" t="s">
        <v>4</v>
      </c>
      <c r="J27" s="10" t="s">
        <v>78</v>
      </c>
      <c r="K27" s="17"/>
      <c r="L27" s="17"/>
      <c r="M27" s="17"/>
      <c r="N27" s="20">
        <f t="shared" si="0"/>
        <v>0</v>
      </c>
      <c r="O27" s="20"/>
      <c r="P27" s="20"/>
      <c r="Q27" s="20">
        <f t="shared" si="1"/>
        <v>0</v>
      </c>
    </row>
    <row r="28" spans="1:17" ht="30" x14ac:dyDescent="0.25">
      <c r="A28" s="38">
        <v>27</v>
      </c>
      <c r="B28" s="9" t="s">
        <v>37</v>
      </c>
      <c r="C28" s="10" t="s">
        <v>114</v>
      </c>
      <c r="D28" s="10" t="s">
        <v>115</v>
      </c>
      <c r="E28" s="9" t="s">
        <v>9</v>
      </c>
      <c r="F28" s="9"/>
      <c r="G28" s="9">
        <f>2*13.874</f>
        <v>27.748000000000001</v>
      </c>
      <c r="H28" s="9">
        <f>2*4.679</f>
        <v>9.3580000000000005</v>
      </c>
      <c r="I28" s="9" t="s">
        <v>6</v>
      </c>
      <c r="J28" s="11" t="s">
        <v>141</v>
      </c>
      <c r="K28" s="17"/>
      <c r="L28" s="17"/>
      <c r="M28" s="17"/>
      <c r="N28" s="20"/>
      <c r="O28" s="20">
        <f t="shared" si="2"/>
        <v>0</v>
      </c>
      <c r="P28" s="20">
        <f t="shared" si="3"/>
        <v>0</v>
      </c>
      <c r="Q28" s="20">
        <f t="shared" si="1"/>
        <v>0</v>
      </c>
    </row>
    <row r="29" spans="1:17" ht="30" x14ac:dyDescent="0.25">
      <c r="A29" s="38">
        <v>28</v>
      </c>
      <c r="B29" s="9" t="s">
        <v>38</v>
      </c>
      <c r="C29" s="10" t="s">
        <v>93</v>
      </c>
      <c r="D29" s="10" t="s">
        <v>93</v>
      </c>
      <c r="E29" s="9" t="s">
        <v>9</v>
      </c>
      <c r="F29" s="9"/>
      <c r="G29" s="9">
        <f>2*25.02</f>
        <v>50.04</v>
      </c>
      <c r="H29" s="9">
        <f>2*11.457</f>
        <v>22.914000000000001</v>
      </c>
      <c r="I29" s="9" t="s">
        <v>6</v>
      </c>
      <c r="J29" s="10" t="s">
        <v>94</v>
      </c>
      <c r="K29" s="17"/>
      <c r="L29" s="17"/>
      <c r="M29" s="17"/>
      <c r="N29" s="20"/>
      <c r="O29" s="20">
        <f t="shared" si="2"/>
        <v>0</v>
      </c>
      <c r="P29" s="20">
        <f t="shared" si="3"/>
        <v>0</v>
      </c>
      <c r="Q29" s="20">
        <f t="shared" si="1"/>
        <v>0</v>
      </c>
    </row>
    <row r="30" spans="1:17" ht="30" x14ac:dyDescent="0.25">
      <c r="A30" s="38">
        <v>29</v>
      </c>
      <c r="B30" s="9" t="s">
        <v>39</v>
      </c>
      <c r="C30" s="10" t="s">
        <v>116</v>
      </c>
      <c r="D30" s="10" t="s">
        <v>119</v>
      </c>
      <c r="E30" s="9" t="s">
        <v>9</v>
      </c>
      <c r="F30" s="9"/>
      <c r="G30" s="11">
        <f>2*4.1</f>
        <v>8.1999999999999993</v>
      </c>
      <c r="H30" s="11">
        <f>2*3.1</f>
        <v>6.2</v>
      </c>
      <c r="I30" s="9" t="s">
        <v>31</v>
      </c>
      <c r="J30" s="11" t="s">
        <v>78</v>
      </c>
      <c r="K30" s="17"/>
      <c r="L30" s="17"/>
      <c r="M30" s="17"/>
      <c r="N30" s="20"/>
      <c r="O30" s="20">
        <f t="shared" si="2"/>
        <v>0</v>
      </c>
      <c r="P30" s="20">
        <f t="shared" si="3"/>
        <v>0</v>
      </c>
      <c r="Q30" s="20">
        <f t="shared" si="1"/>
        <v>0</v>
      </c>
    </row>
    <row r="31" spans="1:17" ht="30" x14ac:dyDescent="0.25">
      <c r="A31" s="38">
        <v>30</v>
      </c>
      <c r="B31" s="9" t="s">
        <v>40</v>
      </c>
      <c r="C31" s="10" t="s">
        <v>120</v>
      </c>
      <c r="D31" s="10" t="s">
        <v>121</v>
      </c>
      <c r="E31" s="9" t="s">
        <v>9</v>
      </c>
      <c r="F31" s="9"/>
      <c r="G31" s="9">
        <f>2*42.468</f>
        <v>84.936000000000007</v>
      </c>
      <c r="H31" s="9">
        <f>2*16.986</f>
        <v>33.972000000000001</v>
      </c>
      <c r="I31" s="9" t="s">
        <v>6</v>
      </c>
      <c r="J31" s="10" t="s">
        <v>144</v>
      </c>
      <c r="K31" s="17"/>
      <c r="L31" s="17"/>
      <c r="M31" s="17"/>
      <c r="N31" s="20"/>
      <c r="O31" s="20">
        <f t="shared" si="2"/>
        <v>0</v>
      </c>
      <c r="P31" s="20">
        <f t="shared" si="3"/>
        <v>0</v>
      </c>
      <c r="Q31" s="20">
        <f t="shared" si="1"/>
        <v>0</v>
      </c>
    </row>
    <row r="32" spans="1:17" ht="30" x14ac:dyDescent="0.25">
      <c r="A32" s="38">
        <v>31</v>
      </c>
      <c r="B32" s="9" t="s">
        <v>41</v>
      </c>
      <c r="C32" s="10" t="s">
        <v>124</v>
      </c>
      <c r="D32" s="10" t="s">
        <v>121</v>
      </c>
      <c r="E32" s="9" t="s">
        <v>9</v>
      </c>
      <c r="F32" s="9"/>
      <c r="G32" s="9">
        <f>2*5.277</f>
        <v>10.554</v>
      </c>
      <c r="H32" s="9">
        <f>2*1.771</f>
        <v>3.5419999999999998</v>
      </c>
      <c r="I32" s="9" t="s">
        <v>6</v>
      </c>
      <c r="J32" s="10" t="s">
        <v>80</v>
      </c>
      <c r="K32" s="17"/>
      <c r="L32" s="17"/>
      <c r="M32" s="17"/>
      <c r="N32" s="20"/>
      <c r="O32" s="20">
        <f t="shared" si="2"/>
        <v>0</v>
      </c>
      <c r="P32" s="20">
        <f t="shared" si="3"/>
        <v>0</v>
      </c>
      <c r="Q32" s="20">
        <f t="shared" si="1"/>
        <v>0</v>
      </c>
    </row>
    <row r="33" spans="1:18" ht="30" x14ac:dyDescent="0.25">
      <c r="A33" s="34">
        <v>32</v>
      </c>
      <c r="B33" s="11" t="s">
        <v>42</v>
      </c>
      <c r="C33" s="11" t="s">
        <v>163</v>
      </c>
      <c r="D33" s="11" t="s">
        <v>164</v>
      </c>
      <c r="E33" s="11" t="s">
        <v>9</v>
      </c>
      <c r="F33" s="11"/>
      <c r="G33" s="11">
        <f>2*5.524</f>
        <v>11.048</v>
      </c>
      <c r="H33" s="11">
        <f>2*2.075</f>
        <v>4.1500000000000004</v>
      </c>
      <c r="I33" s="11" t="s">
        <v>6</v>
      </c>
      <c r="J33" s="11" t="s">
        <v>141</v>
      </c>
      <c r="K33" s="17"/>
      <c r="L33" s="17"/>
      <c r="M33" s="17"/>
      <c r="N33" s="20"/>
      <c r="O33" s="20">
        <f t="shared" si="2"/>
        <v>0</v>
      </c>
      <c r="P33" s="20">
        <f t="shared" si="3"/>
        <v>0</v>
      </c>
      <c r="Q33" s="20">
        <f t="shared" si="1"/>
        <v>0</v>
      </c>
    </row>
    <row r="34" spans="1:18" ht="30" x14ac:dyDescent="0.25">
      <c r="A34" s="38">
        <v>33</v>
      </c>
      <c r="B34" s="9" t="s">
        <v>43</v>
      </c>
      <c r="C34" s="10" t="s">
        <v>122</v>
      </c>
      <c r="D34" s="10" t="s">
        <v>123</v>
      </c>
      <c r="E34" s="9" t="s">
        <v>9</v>
      </c>
      <c r="F34" s="9"/>
      <c r="G34" s="9">
        <f>2*5.071</f>
        <v>10.141999999999999</v>
      </c>
      <c r="H34" s="9">
        <f>2*1.467</f>
        <v>2.9340000000000002</v>
      </c>
      <c r="I34" s="9" t="s">
        <v>6</v>
      </c>
      <c r="J34" s="10" t="s">
        <v>80</v>
      </c>
      <c r="K34" s="17"/>
      <c r="L34" s="17"/>
      <c r="M34" s="17"/>
      <c r="N34" s="20"/>
      <c r="O34" s="20">
        <f t="shared" si="2"/>
        <v>0</v>
      </c>
      <c r="P34" s="20">
        <f t="shared" si="3"/>
        <v>0</v>
      </c>
      <c r="Q34" s="20">
        <f t="shared" si="1"/>
        <v>0</v>
      </c>
    </row>
    <row r="35" spans="1:18" ht="30" x14ac:dyDescent="0.25">
      <c r="A35" s="38">
        <v>34</v>
      </c>
      <c r="B35" s="9" t="s">
        <v>44</v>
      </c>
      <c r="C35" s="10" t="s">
        <v>106</v>
      </c>
      <c r="D35" s="10" t="s">
        <v>111</v>
      </c>
      <c r="E35" s="9" t="s">
        <v>9</v>
      </c>
      <c r="F35" s="9">
        <f>2*0.1</f>
        <v>0.2</v>
      </c>
      <c r="G35" s="9"/>
      <c r="H35" s="9"/>
      <c r="I35" s="9" t="s">
        <v>4</v>
      </c>
      <c r="J35" s="11" t="s">
        <v>167</v>
      </c>
      <c r="K35" s="17"/>
      <c r="L35" s="17"/>
      <c r="M35" s="17"/>
      <c r="N35" s="20">
        <f t="shared" si="0"/>
        <v>0</v>
      </c>
      <c r="O35" s="20"/>
      <c r="P35" s="20"/>
      <c r="Q35" s="20">
        <f t="shared" si="1"/>
        <v>0</v>
      </c>
    </row>
    <row r="36" spans="1:18" ht="30" x14ac:dyDescent="0.25">
      <c r="A36" s="38">
        <v>35</v>
      </c>
      <c r="B36" s="9" t="s">
        <v>45</v>
      </c>
      <c r="C36" s="10" t="s">
        <v>113</v>
      </c>
      <c r="D36" s="11" t="s">
        <v>173</v>
      </c>
      <c r="E36" s="9" t="s">
        <v>9</v>
      </c>
      <c r="F36" s="9"/>
      <c r="G36" s="11">
        <f>2*0.8</f>
        <v>1.6</v>
      </c>
      <c r="H36" s="11">
        <f>2*0.9</f>
        <v>1.8</v>
      </c>
      <c r="I36" s="9" t="s">
        <v>69</v>
      </c>
      <c r="J36" s="21"/>
      <c r="K36" s="17"/>
      <c r="L36" s="17"/>
      <c r="M36" s="17"/>
      <c r="N36" s="20"/>
      <c r="O36" s="20">
        <f t="shared" si="2"/>
        <v>0</v>
      </c>
      <c r="P36" s="20">
        <f t="shared" si="3"/>
        <v>0</v>
      </c>
      <c r="Q36" s="20">
        <f t="shared" si="1"/>
        <v>0</v>
      </c>
    </row>
    <row r="37" spans="1:18" ht="30" x14ac:dyDescent="0.25">
      <c r="A37" s="38">
        <v>36</v>
      </c>
      <c r="B37" s="9" t="s">
        <v>46</v>
      </c>
      <c r="C37" s="11" t="s">
        <v>148</v>
      </c>
      <c r="D37" s="11" t="s">
        <v>148</v>
      </c>
      <c r="E37" s="11" t="s">
        <v>9</v>
      </c>
      <c r="F37" s="9"/>
      <c r="G37" s="9">
        <f>2*6.876</f>
        <v>13.752000000000001</v>
      </c>
      <c r="H37" s="9">
        <f>2*3.441</f>
        <v>6.8819999999999997</v>
      </c>
      <c r="I37" s="9" t="s">
        <v>47</v>
      </c>
      <c r="J37" s="10" t="s">
        <v>90</v>
      </c>
      <c r="K37" s="17"/>
      <c r="L37" s="17"/>
      <c r="M37" s="17"/>
      <c r="N37" s="20"/>
      <c r="O37" s="20">
        <f t="shared" si="2"/>
        <v>0</v>
      </c>
      <c r="P37" s="20">
        <f t="shared" si="3"/>
        <v>0</v>
      </c>
      <c r="Q37" s="20">
        <f t="shared" si="1"/>
        <v>0</v>
      </c>
    </row>
    <row r="38" spans="1:18" s="5" customFormat="1" ht="30" x14ac:dyDescent="0.25">
      <c r="A38" s="34">
        <v>37</v>
      </c>
      <c r="B38" s="11" t="s">
        <v>48</v>
      </c>
      <c r="C38" s="11" t="s">
        <v>149</v>
      </c>
      <c r="D38" s="11" t="s">
        <v>139</v>
      </c>
      <c r="E38" s="11" t="s">
        <v>9</v>
      </c>
      <c r="F38" s="11">
        <f>0.1</f>
        <v>0.1</v>
      </c>
      <c r="G38" s="11"/>
      <c r="H38" s="11"/>
      <c r="I38" s="11" t="s">
        <v>4</v>
      </c>
      <c r="J38" s="11" t="s">
        <v>140</v>
      </c>
      <c r="K38" s="19"/>
      <c r="L38" s="19"/>
      <c r="M38" s="19"/>
      <c r="N38" s="20">
        <f t="shared" si="0"/>
        <v>0</v>
      </c>
      <c r="O38" s="20"/>
      <c r="P38" s="20"/>
      <c r="Q38" s="20">
        <f t="shared" si="1"/>
        <v>0</v>
      </c>
    </row>
    <row r="39" spans="1:18" s="5" customFormat="1" ht="30" x14ac:dyDescent="0.25">
      <c r="A39" s="38">
        <v>38</v>
      </c>
      <c r="B39" s="11" t="s">
        <v>168</v>
      </c>
      <c r="C39" s="11" t="s">
        <v>175</v>
      </c>
      <c r="D39" s="11" t="s">
        <v>169</v>
      </c>
      <c r="E39" s="11" t="s">
        <v>9</v>
      </c>
      <c r="F39" s="11"/>
      <c r="G39" s="11">
        <f>2*30</f>
        <v>60</v>
      </c>
      <c r="H39" s="11"/>
      <c r="I39" s="11" t="s">
        <v>170</v>
      </c>
      <c r="J39" s="22" t="s">
        <v>92</v>
      </c>
      <c r="K39" s="19"/>
      <c r="L39" s="19"/>
      <c r="M39" s="19"/>
      <c r="N39" s="20">
        <f t="shared" si="0"/>
        <v>0</v>
      </c>
      <c r="O39" s="20">
        <f t="shared" si="2"/>
        <v>0</v>
      </c>
      <c r="P39" s="20"/>
      <c r="Q39" s="20">
        <f t="shared" si="1"/>
        <v>0</v>
      </c>
    </row>
    <row r="40" spans="1:18" s="5" customFormat="1" ht="30" x14ac:dyDescent="0.25">
      <c r="A40" s="38"/>
      <c r="B40" s="48" t="s">
        <v>190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23" t="s">
        <v>191</v>
      </c>
      <c r="Q40" s="23">
        <f>SUM(Q2:Q39)</f>
        <v>0</v>
      </c>
    </row>
    <row r="41" spans="1:18" s="5" customFormat="1" x14ac:dyDescent="0.25">
      <c r="A41" s="3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23" t="s">
        <v>192</v>
      </c>
      <c r="Q41" s="23">
        <f>0.2*Q40</f>
        <v>0</v>
      </c>
    </row>
    <row r="42" spans="1:18" s="5" customFormat="1" x14ac:dyDescent="0.25">
      <c r="A42" s="3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23" t="s">
        <v>193</v>
      </c>
      <c r="Q42" s="23">
        <f>Q40+Q41</f>
        <v>0</v>
      </c>
    </row>
    <row r="43" spans="1:18" ht="45" x14ac:dyDescent="0.25">
      <c r="A43" s="38">
        <v>39</v>
      </c>
      <c r="B43" s="12" t="s">
        <v>49</v>
      </c>
      <c r="C43" s="13" t="s">
        <v>174</v>
      </c>
      <c r="D43" s="13" t="s">
        <v>151</v>
      </c>
      <c r="E43" s="14" t="s">
        <v>50</v>
      </c>
      <c r="F43" s="12"/>
      <c r="G43" s="12">
        <f>2*5.997</f>
        <v>11.994</v>
      </c>
      <c r="H43" s="12">
        <f>2*2.102</f>
        <v>4.2039999999999997</v>
      </c>
      <c r="I43" s="12" t="s">
        <v>6</v>
      </c>
      <c r="J43" s="13" t="s">
        <v>76</v>
      </c>
      <c r="K43" s="17"/>
      <c r="L43" s="17"/>
      <c r="M43" s="17"/>
      <c r="N43" s="20"/>
      <c r="O43" s="20">
        <f t="shared" si="2"/>
        <v>0</v>
      </c>
      <c r="P43" s="20">
        <f t="shared" si="3"/>
        <v>0</v>
      </c>
      <c r="Q43" s="20">
        <f t="shared" si="1"/>
        <v>0</v>
      </c>
    </row>
    <row r="44" spans="1:18" ht="45" x14ac:dyDescent="0.25">
      <c r="A44" s="38">
        <v>40</v>
      </c>
      <c r="B44" s="12" t="s">
        <v>51</v>
      </c>
      <c r="C44" s="13" t="s">
        <v>174</v>
      </c>
      <c r="D44" s="13" t="s">
        <v>151</v>
      </c>
      <c r="E44" s="12" t="s">
        <v>50</v>
      </c>
      <c r="F44" s="12"/>
      <c r="G44" s="14">
        <f>2*4.983</f>
        <v>9.9659999999999993</v>
      </c>
      <c r="H44" s="12">
        <f>2*0.915</f>
        <v>1.83</v>
      </c>
      <c r="I44" s="12" t="s">
        <v>6</v>
      </c>
      <c r="J44" s="13" t="s">
        <v>152</v>
      </c>
      <c r="K44" s="17"/>
      <c r="L44" s="17"/>
      <c r="M44" s="17"/>
      <c r="N44" s="20"/>
      <c r="O44" s="20">
        <f t="shared" si="2"/>
        <v>0</v>
      </c>
      <c r="P44" s="20">
        <f t="shared" si="3"/>
        <v>0</v>
      </c>
      <c r="Q44" s="20">
        <f t="shared" si="1"/>
        <v>0</v>
      </c>
    </row>
    <row r="45" spans="1:18" s="4" customFormat="1" ht="45" x14ac:dyDescent="0.25">
      <c r="A45" s="38">
        <v>41</v>
      </c>
      <c r="B45" s="15" t="s">
        <v>52</v>
      </c>
      <c r="C45" s="16" t="s">
        <v>174</v>
      </c>
      <c r="D45" s="16" t="s">
        <v>151</v>
      </c>
      <c r="E45" s="15" t="s">
        <v>50</v>
      </c>
      <c r="F45" s="15">
        <f>2*0.903</f>
        <v>1.806</v>
      </c>
      <c r="G45" s="15"/>
      <c r="H45" s="15"/>
      <c r="I45" s="15" t="s">
        <v>4</v>
      </c>
      <c r="J45" s="16" t="s">
        <v>144</v>
      </c>
      <c r="K45" s="17"/>
      <c r="L45" s="17"/>
      <c r="M45" s="17"/>
      <c r="N45" s="20">
        <f t="shared" si="0"/>
        <v>0</v>
      </c>
      <c r="O45" s="20"/>
      <c r="P45" s="20"/>
      <c r="Q45" s="20">
        <f t="shared" si="1"/>
        <v>0</v>
      </c>
    </row>
    <row r="46" spans="1:18" ht="45" x14ac:dyDescent="0.25">
      <c r="A46" s="38">
        <v>42</v>
      </c>
      <c r="B46" s="12" t="s">
        <v>53</v>
      </c>
      <c r="C46" s="13" t="s">
        <v>174</v>
      </c>
      <c r="D46" s="13" t="s">
        <v>151</v>
      </c>
      <c r="E46" s="12" t="s">
        <v>50</v>
      </c>
      <c r="F46" s="12"/>
      <c r="G46" s="12">
        <f>2*50.914</f>
        <v>101.828</v>
      </c>
      <c r="H46" s="12">
        <f>2*10.706</f>
        <v>21.411999999999999</v>
      </c>
      <c r="I46" s="12" t="s">
        <v>6</v>
      </c>
      <c r="J46" s="13" t="s">
        <v>86</v>
      </c>
      <c r="K46" s="17"/>
      <c r="L46" s="17"/>
      <c r="M46" s="17"/>
      <c r="N46" s="20"/>
      <c r="O46" s="20">
        <f t="shared" si="2"/>
        <v>0</v>
      </c>
      <c r="P46" s="20">
        <f t="shared" si="3"/>
        <v>0</v>
      </c>
      <c r="Q46" s="20">
        <f t="shared" si="1"/>
        <v>0</v>
      </c>
    </row>
    <row r="47" spans="1:18" ht="30" x14ac:dyDescent="0.25">
      <c r="A47" s="38"/>
      <c r="B47" s="49" t="s">
        <v>194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23" t="s">
        <v>191</v>
      </c>
      <c r="Q47" s="24">
        <f>SUM(Q43:Q46)</f>
        <v>0</v>
      </c>
    </row>
    <row r="48" spans="1:18" x14ac:dyDescent="0.25">
      <c r="A48" s="3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23" t="s">
        <v>192</v>
      </c>
      <c r="Q48" s="24">
        <f>0.2*Q47</f>
        <v>0</v>
      </c>
      <c r="R48">
        <f>SUM(F43:H46)</f>
        <v>153.04000000000002</v>
      </c>
    </row>
    <row r="49" spans="1:17" x14ac:dyDescent="0.25">
      <c r="A49" s="3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23" t="s">
        <v>193</v>
      </c>
      <c r="Q49" s="24">
        <f>Q47+Q48</f>
        <v>0</v>
      </c>
    </row>
    <row r="50" spans="1:17" ht="30" x14ac:dyDescent="0.25">
      <c r="A50" s="38">
        <v>43</v>
      </c>
      <c r="B50" s="9" t="s">
        <v>54</v>
      </c>
      <c r="C50" s="10" t="s">
        <v>135</v>
      </c>
      <c r="D50" s="10" t="s">
        <v>160</v>
      </c>
      <c r="E50" s="11" t="s">
        <v>136</v>
      </c>
      <c r="F50" s="9"/>
      <c r="G50" s="9">
        <f>2*62.302</f>
        <v>124.604</v>
      </c>
      <c r="H50" s="9">
        <f>2*15.616</f>
        <v>31.231999999999999</v>
      </c>
      <c r="I50" s="9" t="s">
        <v>6</v>
      </c>
      <c r="J50" s="10" t="s">
        <v>146</v>
      </c>
      <c r="K50" s="17"/>
      <c r="L50" s="17"/>
      <c r="M50" s="17"/>
      <c r="N50" s="20"/>
      <c r="O50" s="20">
        <f t="shared" si="2"/>
        <v>0</v>
      </c>
      <c r="P50" s="20">
        <f t="shared" si="3"/>
        <v>0</v>
      </c>
      <c r="Q50" s="20">
        <f t="shared" si="1"/>
        <v>0</v>
      </c>
    </row>
    <row r="51" spans="1:17" ht="30" x14ac:dyDescent="0.25">
      <c r="A51" s="38"/>
      <c r="B51" s="44" t="s">
        <v>195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23" t="s">
        <v>191</v>
      </c>
      <c r="Q51" s="24">
        <f>Q50</f>
        <v>0</v>
      </c>
    </row>
    <row r="52" spans="1:17" x14ac:dyDescent="0.25">
      <c r="A52" s="3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23" t="s">
        <v>192</v>
      </c>
      <c r="Q52" s="24">
        <f>0.2*Q51</f>
        <v>0</v>
      </c>
    </row>
    <row r="53" spans="1:17" x14ac:dyDescent="0.25">
      <c r="A53" s="3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23" t="s">
        <v>193</v>
      </c>
      <c r="Q53" s="24">
        <f>Q52+Q51</f>
        <v>0</v>
      </c>
    </row>
    <row r="54" spans="1:17" ht="30" x14ac:dyDescent="0.25">
      <c r="A54" s="38">
        <v>44</v>
      </c>
      <c r="B54" s="12" t="s">
        <v>55</v>
      </c>
      <c r="C54" s="13" t="s">
        <v>155</v>
      </c>
      <c r="D54" s="13" t="s">
        <v>157</v>
      </c>
      <c r="E54" s="14" t="s">
        <v>56</v>
      </c>
      <c r="F54" s="12"/>
      <c r="G54" s="12">
        <f>2*9.53</f>
        <v>19.059999999999999</v>
      </c>
      <c r="H54" s="12">
        <f>2*4.062</f>
        <v>8.1240000000000006</v>
      </c>
      <c r="I54" s="12" t="s">
        <v>6</v>
      </c>
      <c r="J54" s="14" t="s">
        <v>165</v>
      </c>
      <c r="K54" s="17"/>
      <c r="L54" s="17"/>
      <c r="M54" s="17"/>
      <c r="N54" s="20"/>
      <c r="O54" s="20">
        <f t="shared" si="2"/>
        <v>0</v>
      </c>
      <c r="P54" s="20">
        <f t="shared" si="3"/>
        <v>0</v>
      </c>
      <c r="Q54" s="20">
        <f t="shared" si="1"/>
        <v>0</v>
      </c>
    </row>
    <row r="55" spans="1:17" ht="30" x14ac:dyDescent="0.25">
      <c r="A55" s="38">
        <v>45</v>
      </c>
      <c r="B55" s="12" t="s">
        <v>57</v>
      </c>
      <c r="C55" s="13" t="s">
        <v>156</v>
      </c>
      <c r="D55" s="13" t="s">
        <v>157</v>
      </c>
      <c r="E55" s="12" t="s">
        <v>56</v>
      </c>
      <c r="F55" s="12"/>
      <c r="G55" s="12">
        <f>2*74.559</f>
        <v>149.11799999999999</v>
      </c>
      <c r="H55" s="12">
        <f>2*11.721</f>
        <v>23.442</v>
      </c>
      <c r="I55" s="12" t="s">
        <v>6</v>
      </c>
      <c r="J55" s="14" t="s">
        <v>171</v>
      </c>
      <c r="K55" s="17"/>
      <c r="L55" s="17"/>
      <c r="M55" s="17"/>
      <c r="N55" s="20"/>
      <c r="O55" s="20">
        <f t="shared" si="2"/>
        <v>0</v>
      </c>
      <c r="P55" s="20">
        <f t="shared" si="3"/>
        <v>0</v>
      </c>
      <c r="Q55" s="20">
        <f t="shared" si="1"/>
        <v>0</v>
      </c>
    </row>
    <row r="56" spans="1:17" ht="30" x14ac:dyDescent="0.25">
      <c r="A56" s="38"/>
      <c r="B56" s="44" t="s">
        <v>196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23" t="s">
        <v>191</v>
      </c>
      <c r="Q56" s="24">
        <f>SUM(Q54:Q55)</f>
        <v>0</v>
      </c>
    </row>
    <row r="57" spans="1:17" x14ac:dyDescent="0.25">
      <c r="A57" s="3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23" t="s">
        <v>192</v>
      </c>
      <c r="Q57" s="24">
        <f>0.2*Q56</f>
        <v>0</v>
      </c>
    </row>
    <row r="58" spans="1:17" x14ac:dyDescent="0.25">
      <c r="A58" s="3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23" t="s">
        <v>193</v>
      </c>
      <c r="Q58" s="24">
        <f>Q57+Q56</f>
        <v>0</v>
      </c>
    </row>
    <row r="59" spans="1:17" ht="45" x14ac:dyDescent="0.25">
      <c r="A59" s="38">
        <v>46</v>
      </c>
      <c r="B59" s="9" t="s">
        <v>58</v>
      </c>
      <c r="C59" s="10" t="s">
        <v>133</v>
      </c>
      <c r="D59" s="10" t="s">
        <v>161</v>
      </c>
      <c r="E59" s="11" t="s">
        <v>59</v>
      </c>
      <c r="F59" s="9"/>
      <c r="G59" s="9">
        <f>2*82.268</f>
        <v>164.536</v>
      </c>
      <c r="H59" s="9">
        <f>2*12.246</f>
        <v>24.492000000000001</v>
      </c>
      <c r="I59" s="9" t="s">
        <v>6</v>
      </c>
      <c r="J59" s="11" t="s">
        <v>86</v>
      </c>
      <c r="K59" s="17"/>
      <c r="L59" s="17"/>
      <c r="M59" s="17"/>
      <c r="N59" s="20"/>
      <c r="O59" s="20">
        <f t="shared" si="2"/>
        <v>0</v>
      </c>
      <c r="P59" s="20">
        <f t="shared" si="3"/>
        <v>0</v>
      </c>
      <c r="Q59" s="20">
        <f t="shared" si="1"/>
        <v>0</v>
      </c>
    </row>
    <row r="60" spans="1:17" ht="30" x14ac:dyDescent="0.25">
      <c r="A60" s="38"/>
      <c r="B60" s="44" t="s">
        <v>197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23" t="s">
        <v>191</v>
      </c>
      <c r="Q60" s="24">
        <f>Q59</f>
        <v>0</v>
      </c>
    </row>
    <row r="61" spans="1:17" x14ac:dyDescent="0.25">
      <c r="A61" s="3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23" t="s">
        <v>192</v>
      </c>
      <c r="Q61" s="24">
        <f>0.2*Q60</f>
        <v>0</v>
      </c>
    </row>
    <row r="62" spans="1:17" x14ac:dyDescent="0.25">
      <c r="A62" s="38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23" t="s">
        <v>193</v>
      </c>
      <c r="Q62" s="24">
        <f>Q60+Q61</f>
        <v>0</v>
      </c>
    </row>
    <row r="63" spans="1:17" ht="45" x14ac:dyDescent="0.25">
      <c r="A63" s="38">
        <v>47</v>
      </c>
      <c r="B63" s="12" t="s">
        <v>60</v>
      </c>
      <c r="C63" s="13" t="s">
        <v>158</v>
      </c>
      <c r="D63" s="13" t="s">
        <v>159</v>
      </c>
      <c r="E63" s="14" t="s">
        <v>61</v>
      </c>
      <c r="F63" s="12"/>
      <c r="G63" s="12">
        <f>2*41.273</f>
        <v>82.546000000000006</v>
      </c>
      <c r="H63" s="12">
        <f>2*16.867</f>
        <v>33.734000000000002</v>
      </c>
      <c r="I63" s="12" t="s">
        <v>6</v>
      </c>
      <c r="J63" s="14" t="s">
        <v>165</v>
      </c>
      <c r="K63" s="17"/>
      <c r="L63" s="17"/>
      <c r="M63" s="17"/>
      <c r="N63" s="20"/>
      <c r="O63" s="20">
        <f t="shared" si="2"/>
        <v>0</v>
      </c>
      <c r="P63" s="20">
        <f t="shared" si="3"/>
        <v>0</v>
      </c>
      <c r="Q63" s="20">
        <f t="shared" si="1"/>
        <v>0</v>
      </c>
    </row>
    <row r="64" spans="1:17" ht="45" x14ac:dyDescent="0.25">
      <c r="A64" s="38">
        <v>48</v>
      </c>
      <c r="B64" s="12" t="s">
        <v>62</v>
      </c>
      <c r="C64" s="13" t="s">
        <v>132</v>
      </c>
      <c r="D64" s="13" t="s">
        <v>159</v>
      </c>
      <c r="E64" s="12" t="s">
        <v>61</v>
      </c>
      <c r="F64" s="12"/>
      <c r="G64" s="12">
        <f>2*62.322</f>
        <v>124.64400000000001</v>
      </c>
      <c r="H64" s="12">
        <f>2*13.8</f>
        <v>27.6</v>
      </c>
      <c r="I64" s="12" t="s">
        <v>6</v>
      </c>
      <c r="J64" s="14" t="s">
        <v>172</v>
      </c>
      <c r="K64" s="17"/>
      <c r="L64" s="17"/>
      <c r="M64" s="17"/>
      <c r="N64" s="20"/>
      <c r="O64" s="20">
        <f t="shared" si="2"/>
        <v>0</v>
      </c>
      <c r="P64" s="20">
        <f t="shared" si="3"/>
        <v>0</v>
      </c>
      <c r="Q64" s="20">
        <f t="shared" si="1"/>
        <v>0</v>
      </c>
    </row>
    <row r="65" spans="1:17" ht="30" x14ac:dyDescent="0.25">
      <c r="A65" s="38"/>
      <c r="B65" s="44" t="s">
        <v>198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23" t="s">
        <v>191</v>
      </c>
      <c r="Q65" s="24">
        <f>SUM(Q63:Q64)</f>
        <v>0</v>
      </c>
    </row>
    <row r="66" spans="1:17" x14ac:dyDescent="0.25">
      <c r="A66" s="38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23" t="s">
        <v>192</v>
      </c>
      <c r="Q66" s="24">
        <f>0.2*Q65</f>
        <v>0</v>
      </c>
    </row>
    <row r="67" spans="1:17" x14ac:dyDescent="0.25">
      <c r="A67" s="3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23" t="s">
        <v>193</v>
      </c>
      <c r="Q67" s="24">
        <f>SUM(Q65:Q66)</f>
        <v>0</v>
      </c>
    </row>
    <row r="68" spans="1:17" ht="45" x14ac:dyDescent="0.25">
      <c r="A68" s="38">
        <v>49</v>
      </c>
      <c r="B68" s="9" t="s">
        <v>63</v>
      </c>
      <c r="C68" s="11" t="s">
        <v>134</v>
      </c>
      <c r="D68" s="11" t="s">
        <v>134</v>
      </c>
      <c r="E68" s="11" t="s">
        <v>147</v>
      </c>
      <c r="F68" s="9"/>
      <c r="G68" s="9">
        <f>2*49.422</f>
        <v>98.843999999999994</v>
      </c>
      <c r="H68" s="9">
        <f>2*12.158</f>
        <v>24.315999999999999</v>
      </c>
      <c r="I68" s="9" t="s">
        <v>6</v>
      </c>
      <c r="J68" s="16" t="s">
        <v>86</v>
      </c>
      <c r="K68" s="17"/>
      <c r="L68" s="17"/>
      <c r="M68" s="17"/>
      <c r="N68" s="20"/>
      <c r="O68" s="20">
        <f t="shared" si="2"/>
        <v>0</v>
      </c>
      <c r="P68" s="20">
        <f t="shared" si="3"/>
        <v>0</v>
      </c>
      <c r="Q68" s="20">
        <f t="shared" si="1"/>
        <v>0</v>
      </c>
    </row>
    <row r="69" spans="1:17" ht="30" x14ac:dyDescent="0.25">
      <c r="A69" s="38"/>
      <c r="B69" s="44" t="s">
        <v>199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23" t="s">
        <v>191</v>
      </c>
      <c r="Q69" s="24">
        <f>Q68</f>
        <v>0</v>
      </c>
    </row>
    <row r="70" spans="1:17" x14ac:dyDescent="0.25">
      <c r="A70" s="3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23" t="s">
        <v>192</v>
      </c>
      <c r="Q70" s="24">
        <f>0.2*Q69</f>
        <v>0</v>
      </c>
    </row>
    <row r="71" spans="1:17" x14ac:dyDescent="0.25">
      <c r="A71" s="3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23" t="s">
        <v>193</v>
      </c>
      <c r="Q71" s="24">
        <f>Q70+Q69</f>
        <v>0</v>
      </c>
    </row>
    <row r="72" spans="1:17" ht="30" x14ac:dyDescent="0.25">
      <c r="A72" s="38">
        <v>50</v>
      </c>
      <c r="B72" s="12" t="s">
        <v>64</v>
      </c>
      <c r="C72" s="13" t="s">
        <v>153</v>
      </c>
      <c r="D72" s="13" t="s">
        <v>153</v>
      </c>
      <c r="E72" s="14" t="s">
        <v>65</v>
      </c>
      <c r="F72" s="12"/>
      <c r="G72" s="12">
        <f>2*6.277</f>
        <v>12.554</v>
      </c>
      <c r="H72" s="12">
        <f>2*2.587</f>
        <v>5.1740000000000004</v>
      </c>
      <c r="I72" s="12" t="s">
        <v>6</v>
      </c>
      <c r="J72" s="14" t="s">
        <v>144</v>
      </c>
      <c r="K72" s="17"/>
      <c r="L72" s="17"/>
      <c r="M72" s="17"/>
      <c r="N72" s="20"/>
      <c r="O72" s="20">
        <f t="shared" si="2"/>
        <v>0</v>
      </c>
      <c r="P72" s="20">
        <f t="shared" si="3"/>
        <v>0</v>
      </c>
      <c r="Q72" s="20">
        <f t="shared" si="1"/>
        <v>0</v>
      </c>
    </row>
    <row r="73" spans="1:17" ht="30" x14ac:dyDescent="0.25">
      <c r="A73" s="38">
        <v>51</v>
      </c>
      <c r="B73" s="12" t="s">
        <v>66</v>
      </c>
      <c r="C73" s="13" t="s">
        <v>154</v>
      </c>
      <c r="D73" s="13" t="s">
        <v>154</v>
      </c>
      <c r="E73" s="12" t="s">
        <v>65</v>
      </c>
      <c r="F73" s="12">
        <f>2*0.865</f>
        <v>1.73</v>
      </c>
      <c r="G73" s="12"/>
      <c r="H73" s="12"/>
      <c r="I73" s="12" t="s">
        <v>4</v>
      </c>
      <c r="J73" s="14" t="s">
        <v>90</v>
      </c>
      <c r="K73" s="17"/>
      <c r="L73" s="17"/>
      <c r="M73" s="17"/>
      <c r="N73" s="20">
        <f t="shared" si="0"/>
        <v>0</v>
      </c>
      <c r="O73" s="20"/>
      <c r="P73" s="20"/>
      <c r="Q73" s="20">
        <f t="shared" si="1"/>
        <v>0</v>
      </c>
    </row>
    <row r="74" spans="1:17" ht="30" x14ac:dyDescent="0.25">
      <c r="A74" s="38"/>
      <c r="B74" s="44" t="s">
        <v>200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23" t="s">
        <v>191</v>
      </c>
      <c r="Q74" s="24">
        <f>SUM(Q72:Q73)</f>
        <v>0</v>
      </c>
    </row>
    <row r="75" spans="1:17" x14ac:dyDescent="0.25">
      <c r="A75" s="3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23" t="s">
        <v>192</v>
      </c>
      <c r="Q75" s="24">
        <f>0.2*Q74</f>
        <v>0</v>
      </c>
    </row>
    <row r="76" spans="1:17" x14ac:dyDescent="0.25">
      <c r="A76" s="3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23" t="s">
        <v>193</v>
      </c>
      <c r="Q76" s="24">
        <f>Q74+Q75</f>
        <v>0</v>
      </c>
    </row>
    <row r="77" spans="1:17" ht="45" x14ac:dyDescent="0.25">
      <c r="A77" s="38">
        <v>52</v>
      </c>
      <c r="B77" s="9" t="s">
        <v>67</v>
      </c>
      <c r="C77" s="10" t="s">
        <v>99</v>
      </c>
      <c r="D77" s="10" t="s">
        <v>100</v>
      </c>
      <c r="E77" s="11" t="s">
        <v>68</v>
      </c>
      <c r="F77" s="9"/>
      <c r="G77" s="9">
        <f>2*105.099</f>
        <v>210.19800000000001</v>
      </c>
      <c r="H77" s="9">
        <f>2*21.552</f>
        <v>43.103999999999999</v>
      </c>
      <c r="I77" s="9" t="s">
        <v>6</v>
      </c>
      <c r="J77" s="10" t="s">
        <v>94</v>
      </c>
      <c r="K77" s="17"/>
      <c r="L77" s="17"/>
      <c r="M77" s="17"/>
      <c r="N77" s="20"/>
      <c r="O77" s="20">
        <f t="shared" si="2"/>
        <v>0</v>
      </c>
      <c r="P77" s="20">
        <f t="shared" si="3"/>
        <v>0</v>
      </c>
      <c r="Q77" s="20">
        <f t="shared" si="1"/>
        <v>0</v>
      </c>
    </row>
    <row r="78" spans="1:17" ht="30" x14ac:dyDescent="0.25">
      <c r="A78" s="38"/>
      <c r="B78" s="44" t="s">
        <v>201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23" t="s">
        <v>191</v>
      </c>
      <c r="Q78" s="24">
        <f>Q77</f>
        <v>0</v>
      </c>
    </row>
    <row r="79" spans="1:17" x14ac:dyDescent="0.25">
      <c r="A79" s="3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23" t="s">
        <v>192</v>
      </c>
      <c r="Q79" s="24">
        <f>0.2*Q78</f>
        <v>0</v>
      </c>
    </row>
    <row r="80" spans="1:17" x14ac:dyDescent="0.25">
      <c r="A80" s="38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23" t="s">
        <v>193</v>
      </c>
      <c r="Q80" s="24">
        <f>Q79+Q78</f>
        <v>0</v>
      </c>
    </row>
    <row r="81" spans="1:17" ht="30" x14ac:dyDescent="0.25">
      <c r="A81" s="38">
        <v>53</v>
      </c>
      <c r="B81" s="12" t="s">
        <v>2</v>
      </c>
      <c r="C81" s="14" t="s">
        <v>177</v>
      </c>
      <c r="D81" s="13" t="s">
        <v>74</v>
      </c>
      <c r="E81" s="14" t="s">
        <v>3</v>
      </c>
      <c r="F81" s="12">
        <f>2*0.292</f>
        <v>0.58399999999999996</v>
      </c>
      <c r="G81" s="12"/>
      <c r="H81" s="12"/>
      <c r="I81" s="12" t="s">
        <v>4</v>
      </c>
      <c r="J81" s="13" t="s">
        <v>76</v>
      </c>
      <c r="K81" s="17"/>
      <c r="L81" s="17"/>
      <c r="M81" s="17"/>
      <c r="N81" s="20">
        <f t="shared" si="0"/>
        <v>0</v>
      </c>
      <c r="O81" s="20"/>
      <c r="P81" s="20"/>
      <c r="Q81" s="20">
        <f t="shared" si="1"/>
        <v>0</v>
      </c>
    </row>
    <row r="82" spans="1:17" ht="30" x14ac:dyDescent="0.25">
      <c r="A82" s="38">
        <v>54</v>
      </c>
      <c r="B82" s="12" t="s">
        <v>5</v>
      </c>
      <c r="C82" s="13" t="s">
        <v>72</v>
      </c>
      <c r="D82" s="13" t="s">
        <v>72</v>
      </c>
      <c r="E82" s="12" t="s">
        <v>3</v>
      </c>
      <c r="F82" s="12"/>
      <c r="G82" s="12">
        <f>2*9.687</f>
        <v>19.373999999999999</v>
      </c>
      <c r="H82" s="12">
        <f>2*2.92</f>
        <v>5.84</v>
      </c>
      <c r="I82" s="12" t="s">
        <v>6</v>
      </c>
      <c r="J82" s="13" t="s">
        <v>76</v>
      </c>
      <c r="K82" s="17"/>
      <c r="L82" s="17"/>
      <c r="M82" s="17"/>
      <c r="N82" s="20"/>
      <c r="O82" s="20">
        <f t="shared" si="2"/>
        <v>0</v>
      </c>
      <c r="P82" s="20">
        <f t="shared" si="3"/>
        <v>0</v>
      </c>
      <c r="Q82" s="20">
        <f t="shared" si="1"/>
        <v>0</v>
      </c>
    </row>
    <row r="83" spans="1:17" ht="30" x14ac:dyDescent="0.25">
      <c r="A83" s="38">
        <v>55</v>
      </c>
      <c r="B83" s="12" t="s">
        <v>7</v>
      </c>
      <c r="C83" s="14" t="s">
        <v>178</v>
      </c>
      <c r="D83" s="13" t="s">
        <v>73</v>
      </c>
      <c r="E83" s="12" t="s">
        <v>3</v>
      </c>
      <c r="F83" s="12">
        <f>2*0.01</f>
        <v>0.02</v>
      </c>
      <c r="G83" s="12"/>
      <c r="H83" s="12"/>
      <c r="I83" s="12" t="s">
        <v>4</v>
      </c>
      <c r="J83" s="13" t="s">
        <v>77</v>
      </c>
      <c r="K83" s="17"/>
      <c r="L83" s="17"/>
      <c r="M83" s="17"/>
      <c r="N83" s="20">
        <f t="shared" si="0"/>
        <v>0</v>
      </c>
      <c r="O83" s="20"/>
      <c r="P83" s="20"/>
      <c r="Q83" s="20">
        <f t="shared" si="1"/>
        <v>0</v>
      </c>
    </row>
    <row r="84" spans="1:17" ht="30" x14ac:dyDescent="0.25">
      <c r="A84" s="38"/>
      <c r="B84" s="44" t="s">
        <v>202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23" t="s">
        <v>191</v>
      </c>
      <c r="Q84" s="24">
        <f>SUM(Q81:Q83)</f>
        <v>0</v>
      </c>
    </row>
    <row r="85" spans="1:17" x14ac:dyDescent="0.25">
      <c r="A85" s="3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23" t="s">
        <v>192</v>
      </c>
      <c r="Q85" s="24">
        <f>0.2*Q84</f>
        <v>0</v>
      </c>
    </row>
    <row r="86" spans="1:17" x14ac:dyDescent="0.25">
      <c r="A86" s="26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23" t="s">
        <v>193</v>
      </c>
      <c r="Q86" s="24">
        <f>Q84+Q85</f>
        <v>0</v>
      </c>
    </row>
    <row r="87" spans="1:17" x14ac:dyDescent="0.25">
      <c r="Q87" s="8"/>
    </row>
    <row r="88" spans="1:17" ht="30" x14ac:dyDescent="0.25">
      <c r="B88" s="25"/>
      <c r="E88" s="25"/>
      <c r="F88" s="36" t="s">
        <v>183</v>
      </c>
      <c r="G88" s="36" t="s">
        <v>219</v>
      </c>
      <c r="H88" s="36" t="s">
        <v>220</v>
      </c>
      <c r="K88" s="25"/>
      <c r="L88" s="25"/>
      <c r="M88" s="25"/>
      <c r="Q88" s="8"/>
    </row>
    <row r="89" spans="1:17" x14ac:dyDescent="0.25">
      <c r="D89" s="6"/>
      <c r="E89" s="31" t="s">
        <v>205</v>
      </c>
      <c r="F89" s="39">
        <f>SUM(F2:F83)</f>
        <v>113.67800000000003</v>
      </c>
      <c r="G89" s="39">
        <f>SUM(G2:G83)</f>
        <v>1770.8180000000004</v>
      </c>
      <c r="H89" s="39">
        <f>SUM(H2:H83)</f>
        <v>447.46800000000002</v>
      </c>
    </row>
    <row r="90" spans="1:17" x14ac:dyDescent="0.25">
      <c r="D90" s="7"/>
      <c r="E90" s="31" t="s">
        <v>179</v>
      </c>
      <c r="F90" s="52">
        <f>F89+G89+H89</f>
        <v>2331.9640000000004</v>
      </c>
      <c r="G90" s="52"/>
      <c r="H90" s="52"/>
    </row>
    <row r="91" spans="1:17" x14ac:dyDescent="0.25">
      <c r="D91" s="7"/>
    </row>
    <row r="92" spans="1:17" x14ac:dyDescent="0.25">
      <c r="B92" s="46" t="s">
        <v>203</v>
      </c>
      <c r="C92" s="47"/>
      <c r="D92" s="47"/>
    </row>
    <row r="93" spans="1:17" x14ac:dyDescent="0.25">
      <c r="A93" s="30"/>
      <c r="B93" s="45" t="s">
        <v>204</v>
      </c>
      <c r="C93" s="45"/>
      <c r="D93" s="45"/>
      <c r="E93" s="31" t="s">
        <v>217</v>
      </c>
      <c r="F93" s="45" t="s">
        <v>192</v>
      </c>
      <c r="G93" s="45"/>
      <c r="H93" s="45" t="s">
        <v>218</v>
      </c>
      <c r="I93" s="45"/>
      <c r="J93" s="28"/>
    </row>
    <row r="94" spans="1:17" x14ac:dyDescent="0.25">
      <c r="A94" s="27" t="s">
        <v>206</v>
      </c>
      <c r="B94" s="50" t="s">
        <v>9</v>
      </c>
      <c r="C94" s="51"/>
      <c r="D94" s="51"/>
      <c r="E94" s="32">
        <f>Q40</f>
        <v>0</v>
      </c>
      <c r="F94" s="41">
        <f>0.2*E94</f>
        <v>0</v>
      </c>
      <c r="G94" s="41"/>
      <c r="H94" s="41">
        <f>E94+F94</f>
        <v>0</v>
      </c>
      <c r="I94" s="41"/>
      <c r="J94" s="28"/>
    </row>
    <row r="95" spans="1:17" x14ac:dyDescent="0.25">
      <c r="A95" s="27" t="s">
        <v>207</v>
      </c>
      <c r="B95" s="50" t="s">
        <v>50</v>
      </c>
      <c r="C95" s="51"/>
      <c r="D95" s="51"/>
      <c r="E95" s="32">
        <f>Q47</f>
        <v>0</v>
      </c>
      <c r="F95" s="41">
        <f t="shared" ref="F95:F103" si="4">0.2*E95</f>
        <v>0</v>
      </c>
      <c r="G95" s="41"/>
      <c r="H95" s="41">
        <f t="shared" ref="H95:H103" si="5">E95+F95</f>
        <v>0</v>
      </c>
      <c r="I95" s="41"/>
      <c r="J95" s="28"/>
    </row>
    <row r="96" spans="1:17" x14ac:dyDescent="0.25">
      <c r="A96" s="27" t="s">
        <v>208</v>
      </c>
      <c r="B96" s="50" t="s">
        <v>136</v>
      </c>
      <c r="C96" s="51"/>
      <c r="D96" s="51"/>
      <c r="E96" s="32">
        <f>Q51</f>
        <v>0</v>
      </c>
      <c r="F96" s="41">
        <f t="shared" si="4"/>
        <v>0</v>
      </c>
      <c r="G96" s="41"/>
      <c r="H96" s="41">
        <f t="shared" si="5"/>
        <v>0</v>
      </c>
      <c r="I96" s="41"/>
      <c r="J96" s="28"/>
    </row>
    <row r="97" spans="1:10" x14ac:dyDescent="0.25">
      <c r="A97" s="27" t="s">
        <v>209</v>
      </c>
      <c r="B97" s="50" t="s">
        <v>56</v>
      </c>
      <c r="C97" s="51"/>
      <c r="D97" s="51"/>
      <c r="E97" s="32">
        <f>Q56</f>
        <v>0</v>
      </c>
      <c r="F97" s="41">
        <f t="shared" si="4"/>
        <v>0</v>
      </c>
      <c r="G97" s="41"/>
      <c r="H97" s="41">
        <f t="shared" si="5"/>
        <v>0</v>
      </c>
      <c r="I97" s="41"/>
      <c r="J97" s="28"/>
    </row>
    <row r="98" spans="1:10" x14ac:dyDescent="0.25">
      <c r="A98" s="27" t="s">
        <v>210</v>
      </c>
      <c r="B98" s="50" t="s">
        <v>59</v>
      </c>
      <c r="C98" s="51"/>
      <c r="D98" s="51"/>
      <c r="E98" s="32">
        <f>Q60</f>
        <v>0</v>
      </c>
      <c r="F98" s="41">
        <f t="shared" si="4"/>
        <v>0</v>
      </c>
      <c r="G98" s="41"/>
      <c r="H98" s="41">
        <f t="shared" si="5"/>
        <v>0</v>
      </c>
      <c r="I98" s="41"/>
      <c r="J98" s="28"/>
    </row>
    <row r="99" spans="1:10" x14ac:dyDescent="0.25">
      <c r="A99" s="27" t="s">
        <v>211</v>
      </c>
      <c r="B99" s="50" t="s">
        <v>61</v>
      </c>
      <c r="C99" s="51"/>
      <c r="D99" s="51"/>
      <c r="E99" s="32">
        <f>Q65</f>
        <v>0</v>
      </c>
      <c r="F99" s="41">
        <f t="shared" si="4"/>
        <v>0</v>
      </c>
      <c r="G99" s="41"/>
      <c r="H99" s="41">
        <f t="shared" si="5"/>
        <v>0</v>
      </c>
      <c r="I99" s="41"/>
      <c r="J99" s="28"/>
    </row>
    <row r="100" spans="1:10" x14ac:dyDescent="0.25">
      <c r="A100" s="27" t="s">
        <v>212</v>
      </c>
      <c r="B100" s="50" t="s">
        <v>147</v>
      </c>
      <c r="C100" s="51"/>
      <c r="D100" s="51"/>
      <c r="E100" s="32">
        <f>Q69</f>
        <v>0</v>
      </c>
      <c r="F100" s="41">
        <f t="shared" si="4"/>
        <v>0</v>
      </c>
      <c r="G100" s="41"/>
      <c r="H100" s="41">
        <f t="shared" si="5"/>
        <v>0</v>
      </c>
      <c r="I100" s="41"/>
      <c r="J100" s="28"/>
    </row>
    <row r="101" spans="1:10" x14ac:dyDescent="0.25">
      <c r="A101" s="27" t="s">
        <v>213</v>
      </c>
      <c r="B101" s="50" t="s">
        <v>221</v>
      </c>
      <c r="C101" s="51"/>
      <c r="D101" s="51"/>
      <c r="E101" s="32">
        <f>Q74</f>
        <v>0</v>
      </c>
      <c r="F101" s="41">
        <f t="shared" si="4"/>
        <v>0</v>
      </c>
      <c r="G101" s="41"/>
      <c r="H101" s="41">
        <f t="shared" si="5"/>
        <v>0</v>
      </c>
      <c r="I101" s="41"/>
      <c r="J101" s="28"/>
    </row>
    <row r="102" spans="1:10" x14ac:dyDescent="0.25">
      <c r="A102" s="27" t="s">
        <v>214</v>
      </c>
      <c r="B102" s="50" t="s">
        <v>68</v>
      </c>
      <c r="C102" s="51"/>
      <c r="D102" s="51"/>
      <c r="E102" s="32">
        <f>Q78</f>
        <v>0</v>
      </c>
      <c r="F102" s="41">
        <f t="shared" si="4"/>
        <v>0</v>
      </c>
      <c r="G102" s="41"/>
      <c r="H102" s="41">
        <f t="shared" si="5"/>
        <v>0</v>
      </c>
      <c r="I102" s="41"/>
      <c r="J102" s="28"/>
    </row>
    <row r="103" spans="1:10" x14ac:dyDescent="0.25">
      <c r="A103" s="27" t="s">
        <v>215</v>
      </c>
      <c r="B103" s="50" t="s">
        <v>3</v>
      </c>
      <c r="C103" s="51"/>
      <c r="D103" s="51"/>
      <c r="E103" s="32">
        <f>Q84</f>
        <v>0</v>
      </c>
      <c r="F103" s="41">
        <f t="shared" si="4"/>
        <v>0</v>
      </c>
      <c r="G103" s="41"/>
      <c r="H103" s="41">
        <f t="shared" si="5"/>
        <v>0</v>
      </c>
      <c r="I103" s="41"/>
      <c r="J103" s="29"/>
    </row>
    <row r="104" spans="1:10" x14ac:dyDescent="0.25">
      <c r="A104" s="26"/>
      <c r="B104" s="53" t="s">
        <v>216</v>
      </c>
      <c r="C104" s="54"/>
      <c r="D104" s="54"/>
      <c r="E104" s="33">
        <f>SUM(E94:E103)</f>
        <v>0</v>
      </c>
      <c r="F104" s="42">
        <f>SUM(F94:G103)</f>
        <v>0</v>
      </c>
      <c r="G104" s="43"/>
      <c r="H104" s="42">
        <f>SUM(H94:I103)</f>
        <v>0</v>
      </c>
      <c r="I104" s="43"/>
      <c r="J104" s="29"/>
    </row>
  </sheetData>
  <autoFilter ref="B1:M86"/>
  <mergeCells count="48">
    <mergeCell ref="B94:D94"/>
    <mergeCell ref="B95:D95"/>
    <mergeCell ref="F90:H90"/>
    <mergeCell ref="B103:D103"/>
    <mergeCell ref="B104:D104"/>
    <mergeCell ref="B97:D97"/>
    <mergeCell ref="B98:D98"/>
    <mergeCell ref="B99:D99"/>
    <mergeCell ref="B100:D100"/>
    <mergeCell ref="B101:D101"/>
    <mergeCell ref="B102:D102"/>
    <mergeCell ref="F99:G99"/>
    <mergeCell ref="F100:G100"/>
    <mergeCell ref="F101:G101"/>
    <mergeCell ref="B96:D96"/>
    <mergeCell ref="H104:I104"/>
    <mergeCell ref="B40:O42"/>
    <mergeCell ref="B47:O49"/>
    <mergeCell ref="B51:O53"/>
    <mergeCell ref="B56:O58"/>
    <mergeCell ref="B60:O62"/>
    <mergeCell ref="B65:O67"/>
    <mergeCell ref="B69:O71"/>
    <mergeCell ref="B74:O76"/>
    <mergeCell ref="B78:O80"/>
    <mergeCell ref="F98:G98"/>
    <mergeCell ref="H93:I93"/>
    <mergeCell ref="H94:I94"/>
    <mergeCell ref="H95:I95"/>
    <mergeCell ref="F97:G97"/>
    <mergeCell ref="F93:G93"/>
    <mergeCell ref="F94:G94"/>
    <mergeCell ref="F95:G95"/>
    <mergeCell ref="F96:G96"/>
    <mergeCell ref="B84:O86"/>
    <mergeCell ref="B92:D92"/>
    <mergeCell ref="B93:D93"/>
    <mergeCell ref="F102:G102"/>
    <mergeCell ref="F103:G103"/>
    <mergeCell ref="F104:G104"/>
    <mergeCell ref="H96:I96"/>
    <mergeCell ref="H97:I97"/>
    <mergeCell ref="H98:I98"/>
    <mergeCell ref="H99:I99"/>
    <mergeCell ref="H100:I100"/>
    <mergeCell ref="H101:I101"/>
    <mergeCell ref="H102:I102"/>
    <mergeCell ref="H103:I10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kerekesova</dc:creator>
  <cp:lastModifiedBy>Ján Halgaš</cp:lastModifiedBy>
  <cp:lastPrinted>2018-10-18T09:36:38Z</cp:lastPrinted>
  <dcterms:created xsi:type="dcterms:W3CDTF">2018-08-08T12:43:43Z</dcterms:created>
  <dcterms:modified xsi:type="dcterms:W3CDTF">2018-11-08T20:38:39Z</dcterms:modified>
</cp:coreProperties>
</file>