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HSK\Projekty\SK1186.00_Sanacia Zosuvov na cestach 3.tr\1186.00.03_Rykincice\5_Vykresy_Zoznamy\51_Vlastne vykresy\Doku\"/>
    </mc:Choice>
  </mc:AlternateContent>
  <bookViews>
    <workbookView xWindow="-120" yWindow="-120" windowWidth="20730" windowHeight="11760" activeTab="1"/>
  </bookViews>
  <sheets>
    <sheet name="Hárok1" sheetId="3" r:id="rId1"/>
    <sheet name="rozpocet" sheetId="2" r:id="rId2"/>
  </sheets>
  <definedNames>
    <definedName name="_xlnm.Print_Titles" localSheetId="1">rozpocet!$2:$5</definedName>
    <definedName name="_xlnm.Print_Area" localSheetId="0">Hárok1!$A$1:$J$4</definedName>
  </definedNames>
  <calcPr calcId="162913"/>
</workbook>
</file>

<file path=xl/calcChain.xml><?xml version="1.0" encoding="utf-8"?>
<calcChain xmlns="http://schemas.openxmlformats.org/spreadsheetml/2006/main">
  <c r="A14" i="2" l="1"/>
  <c r="J280" i="2"/>
  <c r="J7" i="2"/>
  <c r="F12" i="2"/>
  <c r="H7" i="2" s="1"/>
  <c r="F11" i="2"/>
  <c r="F10" i="2"/>
  <c r="F9" i="2"/>
  <c r="F8" i="2"/>
  <c r="A7" i="2"/>
  <c r="F217" i="2" l="1"/>
  <c r="H216" i="2" s="1"/>
  <c r="H215" i="2" s="1"/>
  <c r="J215" i="2" s="1"/>
  <c r="F221" i="2"/>
  <c r="H220" i="2" s="1"/>
  <c r="H219" i="2" s="1"/>
  <c r="J219" i="2" s="1"/>
  <c r="F213" i="2"/>
  <c r="H212" i="2" s="1"/>
  <c r="H211" i="2" s="1"/>
  <c r="J211" i="2" s="1"/>
  <c r="F275" i="2" l="1"/>
  <c r="H274" i="2" s="1"/>
  <c r="H273" i="2" s="1"/>
  <c r="J273" i="2" s="1"/>
  <c r="F247" i="2"/>
  <c r="F226" i="2" l="1"/>
  <c r="F225" i="2"/>
  <c r="F227" i="2" s="1"/>
  <c r="H224" i="2" s="1"/>
  <c r="F130" i="2"/>
  <c r="F124" i="2"/>
  <c r="F83" i="2"/>
  <c r="F77" i="2"/>
  <c r="F65" i="2"/>
  <c r="F51" i="2"/>
  <c r="F135" i="2" l="1"/>
  <c r="H134" i="2" s="1"/>
  <c r="H133" i="2" s="1"/>
  <c r="J133" i="2" s="1"/>
  <c r="F252" i="2"/>
  <c r="H262" i="2" l="1"/>
  <c r="H261" i="2" s="1"/>
  <c r="H197" i="2"/>
  <c r="H196" i="2" s="1"/>
  <c r="H193" i="2"/>
  <c r="H192" i="2" s="1"/>
  <c r="H182" i="2"/>
  <c r="H181" i="2" s="1"/>
  <c r="H178" i="2"/>
  <c r="H177" i="2" s="1"/>
  <c r="H144" i="2"/>
  <c r="H143" i="2" s="1"/>
  <c r="F31" i="2"/>
  <c r="H36" i="2"/>
  <c r="F205" i="2" l="1"/>
  <c r="F206" i="2"/>
  <c r="F203" i="2"/>
  <c r="H202" i="2" s="1"/>
  <c r="J196" i="2"/>
  <c r="F190" i="2"/>
  <c r="F140" i="2"/>
  <c r="J36" i="2"/>
  <c r="H187" i="2" l="1"/>
  <c r="H186" i="2" s="1"/>
  <c r="J186" i="2" s="1"/>
  <c r="H139" i="2"/>
  <c r="H138" i="2" s="1"/>
  <c r="J138" i="2" s="1"/>
  <c r="A18" i="2"/>
  <c r="F207" i="2"/>
  <c r="H204" i="2" s="1"/>
  <c r="H201" i="2" s="1"/>
  <c r="J201" i="2" s="1"/>
  <c r="H39" i="2"/>
  <c r="J39" i="2" s="1"/>
  <c r="H44" i="2"/>
  <c r="J44" i="2" s="1"/>
  <c r="A22" i="2" l="1"/>
  <c r="A26" i="2" s="1"/>
  <c r="A36" i="2" l="1"/>
  <c r="A39" i="2" s="1"/>
  <c r="A44" i="2" s="1"/>
  <c r="A49" i="2" s="1"/>
  <c r="A53" i="2" s="1"/>
  <c r="A58" i="2" s="1"/>
  <c r="A63" i="2" s="1"/>
  <c r="A67" i="2" s="1"/>
  <c r="A71" i="2" s="1"/>
  <c r="A75" i="2" s="1"/>
  <c r="A81" i="2" l="1"/>
  <c r="A85" i="2" s="1"/>
  <c r="A89" i="2" l="1"/>
  <c r="A102" i="2" l="1"/>
  <c r="A118" i="2" s="1"/>
  <c r="A122" i="2" s="1"/>
  <c r="A128" i="2" s="1"/>
  <c r="A133" i="2" l="1"/>
  <c r="A138" i="2" s="1"/>
  <c r="A143" i="2" l="1"/>
  <c r="A148" i="2" l="1"/>
  <c r="A151" i="2" l="1"/>
  <c r="A155" i="2" s="1"/>
  <c r="A159" i="2" s="1"/>
  <c r="A164" i="2" s="1"/>
  <c r="A168" i="2" l="1"/>
  <c r="A172" i="2" s="1"/>
  <c r="F242" i="2"/>
  <c r="H223" i="2"/>
  <c r="F153" i="2"/>
  <c r="H152" i="2" s="1"/>
  <c r="H151" i="2" s="1"/>
  <c r="H123" i="2"/>
  <c r="F109" i="2"/>
  <c r="H82" i="2"/>
  <c r="H81" i="2" s="1"/>
  <c r="F79" i="2"/>
  <c r="F97" i="2" s="1"/>
  <c r="F113" i="2" s="1"/>
  <c r="F60" i="2"/>
  <c r="H59" i="2" s="1"/>
  <c r="H58" i="2" s="1"/>
  <c r="A177" i="2" l="1"/>
  <c r="A181" i="2" s="1"/>
  <c r="F120" i="2"/>
  <c r="H119" i="2" s="1"/>
  <c r="H118" i="2" s="1"/>
  <c r="H68" i="2"/>
  <c r="H67" i="2" s="1"/>
  <c r="H64" i="2"/>
  <c r="H63" i="2" s="1"/>
  <c r="F92" i="2"/>
  <c r="F105" i="2" s="1"/>
  <c r="H76" i="2"/>
  <c r="H78" i="2"/>
  <c r="F107" i="2"/>
  <c r="H50" i="2"/>
  <c r="H49" i="2" s="1"/>
  <c r="J49" i="2" s="1"/>
  <c r="F24" i="2"/>
  <c r="F29" i="2" s="1"/>
  <c r="F20" i="2"/>
  <c r="F28" i="2" s="1"/>
  <c r="A186" i="2" l="1"/>
  <c r="A192" i="2" s="1"/>
  <c r="A196" i="2" s="1"/>
  <c r="A201" i="2" s="1"/>
  <c r="A211" i="2" s="1"/>
  <c r="A215" i="2" s="1"/>
  <c r="A219" i="2" s="1"/>
  <c r="H75" i="2"/>
  <c r="H19" i="2"/>
  <c r="H23" i="2"/>
  <c r="F115" i="2"/>
  <c r="F116" i="2" s="1"/>
  <c r="H111" i="2" s="1"/>
  <c r="F99" i="2"/>
  <c r="F94" i="2"/>
  <c r="F241" i="2"/>
  <c r="F236" i="2"/>
  <c r="F232" i="2"/>
  <c r="A223" i="2" l="1"/>
  <c r="A230" i="2" s="1"/>
  <c r="A234" i="2" s="1"/>
  <c r="A238" i="2" s="1"/>
  <c r="A245" i="2" s="1"/>
  <c r="A250" i="2" s="1"/>
  <c r="A254" i="2" s="1"/>
  <c r="A261" i="2" s="1"/>
  <c r="A267" i="2" s="1"/>
  <c r="A273" i="2" s="1"/>
  <c r="H235" i="2"/>
  <c r="H234" i="2" s="1"/>
  <c r="J234" i="2" s="1"/>
  <c r="H231" i="2"/>
  <c r="H230" i="2" s="1"/>
  <c r="J230" i="2" s="1"/>
  <c r="F15" i="2"/>
  <c r="H14" i="2" s="1"/>
  <c r="J14" i="2" s="1"/>
  <c r="F243" i="2"/>
  <c r="H239" i="2" s="1"/>
  <c r="H238" i="2" s="1"/>
  <c r="J238" i="2" s="1"/>
  <c r="J223" i="2"/>
  <c r="F259" i="2"/>
  <c r="H258" i="2" s="1"/>
  <c r="J81" i="2"/>
  <c r="J192" i="2"/>
  <c r="J181" i="2"/>
  <c r="F126" i="2"/>
  <c r="H125" i="2" s="1"/>
  <c r="H122" i="2" s="1"/>
  <c r="J118" i="2"/>
  <c r="F73" i="2"/>
  <c r="J143" i="2"/>
  <c r="F87" i="2"/>
  <c r="J177" i="2"/>
  <c r="H129" i="2" l="1"/>
  <c r="H128" i="2" s="1"/>
  <c r="J128" i="2" s="1"/>
  <c r="H86" i="2"/>
  <c r="H85" i="2" s="1"/>
  <c r="J85" i="2" s="1"/>
  <c r="H72" i="2"/>
  <c r="H71" i="2" s="1"/>
  <c r="F30" i="2"/>
  <c r="F33" i="2" s="1"/>
  <c r="H27" i="2" s="1"/>
  <c r="H26" i="2" s="1"/>
  <c r="J26" i="2" s="1"/>
  <c r="F91" i="2"/>
  <c r="F106" i="2" s="1"/>
  <c r="J58" i="2"/>
  <c r="J71" i="2"/>
  <c r="J261" i="2"/>
  <c r="F248" i="2"/>
  <c r="H246" i="2" s="1"/>
  <c r="H245" i="2" s="1"/>
  <c r="F257" i="2"/>
  <c r="H255" i="2" s="1"/>
  <c r="H254" i="2" s="1"/>
  <c r="F270" i="2"/>
  <c r="H268" i="2" l="1"/>
  <c r="H267" i="2" s="1"/>
  <c r="J267" i="2" s="1"/>
  <c r="H251" i="2"/>
  <c r="H250" i="2" s="1"/>
  <c r="J250" i="2" s="1"/>
  <c r="F110" i="2"/>
  <c r="H103" i="2" s="1"/>
  <c r="H102" i="2" s="1"/>
  <c r="J254" i="2"/>
  <c r="J245" i="2"/>
  <c r="F157" i="2"/>
  <c r="J151" i="2"/>
  <c r="H156" i="2" l="1"/>
  <c r="H155" i="2" s="1"/>
  <c r="J155" i="2" s="1"/>
  <c r="F100" i="2"/>
  <c r="H96" i="2" s="1"/>
  <c r="F95" i="2"/>
  <c r="H90" i="2" s="1"/>
  <c r="F175" i="2"/>
  <c r="F174" i="2"/>
  <c r="F166" i="2"/>
  <c r="H165" i="2" s="1"/>
  <c r="H164" i="2" s="1"/>
  <c r="F170" i="2"/>
  <c r="F161" i="2"/>
  <c r="F149" i="2"/>
  <c r="H148" i="2" s="1"/>
  <c r="J148" i="2" s="1"/>
  <c r="F55" i="2"/>
  <c r="H54" i="2" s="1"/>
  <c r="H53" i="2" s="1"/>
  <c r="J53" i="2" s="1"/>
  <c r="H89" i="2" l="1"/>
  <c r="J89" i="2" s="1"/>
  <c r="H169" i="2"/>
  <c r="H168" i="2" s="1"/>
  <c r="J168" i="2" s="1"/>
  <c r="H173" i="2"/>
  <c r="H172" i="2" s="1"/>
  <c r="J172" i="2" s="1"/>
  <c r="H160" i="2"/>
  <c r="H159" i="2" s="1"/>
  <c r="J159" i="2" s="1"/>
  <c r="J75" i="2"/>
  <c r="J67" i="2" l="1"/>
  <c r="H22" i="2"/>
  <c r="J22" i="2" s="1"/>
  <c r="J164" i="2"/>
  <c r="J122" i="2" l="1"/>
  <c r="H18" i="2"/>
  <c r="J18" i="2" s="1"/>
  <c r="J63" i="2"/>
  <c r="J102" i="2"/>
  <c r="G4" i="3" l="1"/>
  <c r="J4" i="3" s="1"/>
</calcChain>
</file>

<file path=xl/sharedStrings.xml><?xml version="1.0" encoding="utf-8"?>
<sst xmlns="http://schemas.openxmlformats.org/spreadsheetml/2006/main" count="557" uniqueCount="341">
  <si>
    <t>Drôtokamenné matrace hr. 300mm</t>
  </si>
  <si>
    <t xml:space="preserve">Odkop svahu vpravo od CK pre úpravu priekopy </t>
  </si>
  <si>
    <t>Dočasné oceľové zvodidlo úroveň zachytenia T3</t>
  </si>
  <si>
    <t>Cestný panel 2x3m hr. 140mm</t>
  </si>
  <si>
    <t>Stavba:</t>
  </si>
  <si>
    <t>Objekt:</t>
  </si>
  <si>
    <t>KS:</t>
  </si>
  <si>
    <t>POLOŽKA</t>
  </si>
  <si>
    <t>VÝKAZ VÝMER</t>
  </si>
  <si>
    <t>M.J.</t>
  </si>
  <si>
    <t>MNOŽ.</t>
  </si>
  <si>
    <t>Č.</t>
  </si>
  <si>
    <t>KÓD KP</t>
  </si>
  <si>
    <t>KÓD SP</t>
  </si>
  <si>
    <t>KÓD SPP</t>
  </si>
  <si>
    <t>45.11.11</t>
  </si>
  <si>
    <t>DEMOLAČNÉ  PRÁCE</t>
  </si>
  <si>
    <t>05030162</t>
  </si>
  <si>
    <t>Odstránenie spevnených plôch a vozoviek, krytov bitúmenových</t>
  </si>
  <si>
    <t>m2</t>
  </si>
  <si>
    <t>0503016202</t>
  </si>
  <si>
    <t>Odstránenie spevnených plôch a vozoviek, krytov bitúmenových hr. nad 100 do 200 mm</t>
  </si>
  <si>
    <t>05030264</t>
  </si>
  <si>
    <t>Odstránenie spevnených plôch a vozoviek, podkladov z kameniva hrubého drveného</t>
  </si>
  <si>
    <t>0503026404</t>
  </si>
  <si>
    <t>Odstránenie spevnených plôch a vozoviek, podkladov z kameniva hrubého drveného hr. nad 300 mm</t>
  </si>
  <si>
    <t>m</t>
  </si>
  <si>
    <t xml:space="preserve">45.11.23 </t>
  </si>
  <si>
    <t>REKULTIVAČNÉ  PRÁCE</t>
  </si>
  <si>
    <t>01080501</t>
  </si>
  <si>
    <t>Povrchové úpravy terénu, úpravy povrchov rozprestretím ornice</t>
  </si>
  <si>
    <t>0108050102</t>
  </si>
  <si>
    <t>Povrchové úpravy terénu, úpravy povrchov rozprestretím ornice na svahu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</si>
  <si>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</si>
  <si>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</si>
  <si>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</si>
  <si>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</si>
  <si>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 xml:space="preserve">45.11.24 </t>
  </si>
  <si>
    <t>OSTATNÉ  VÝKOPOVÉ  A  SÚVISIACE  ZEMNÉ  PRÁCE</t>
  </si>
  <si>
    <t>m3</t>
  </si>
  <si>
    <t>01040402</t>
  </si>
  <si>
    <t>Konštrukcie z hornín - zásypy so zhutnením</t>
  </si>
  <si>
    <t>0104040202</t>
  </si>
  <si>
    <t>Konštrukcie z hornín - zásypy so zhutnením, tr.horniny 3</t>
  </si>
  <si>
    <t>45.21.32</t>
  </si>
  <si>
    <t>PRÁCE  NA  STAVBE  OSTATNÝCH  DIAĽKOVÝCH  POTRUBNÝCH  VEDENÍ</t>
  </si>
  <si>
    <t xml:space="preserve">45.23.11 </t>
  </si>
  <si>
    <t>PRÁCE  NA  SPODNEJ  STAVBE  DIAĽNÍC  (OKREM VISUTÝCH), CIEST, ULÍC, CHODNÍKOV  A NEKRYTÝCH  PARKOVÍSK</t>
  </si>
  <si>
    <t>22010104</t>
  </si>
  <si>
    <t>Podkladné a krycie vrstvy bez spojiva nestmelené, štrkodrva</t>
  </si>
  <si>
    <t>Štrkodrvina; ŠD 31.5 G, hr. 200mm</t>
  </si>
  <si>
    <t>22020421</t>
  </si>
  <si>
    <t>Podkladné a krycie vrstvy s hydraulickým spojivom, cementobetónové jednovrstvové, kamenivo spevnené cementom</t>
  </si>
  <si>
    <t>Podkladné a krycie vrstvy s hydraulickým spojivom, cementobetónové jednovrstvové, kamenivo spevnené cementom CBGM C 3/4</t>
  </si>
  <si>
    <t>hr. 180mm</t>
  </si>
  <si>
    <t xml:space="preserve">45.23.12 </t>
  </si>
  <si>
    <t>PRÁCE  NA  VRCHNEJ  STAVBE  DIAĽNÍC  (OKREM VISUTÝCH), CIEST, ULÍC, CHODNÍKOV  A NEKRYTÝCH  PARKOVÍSK</t>
  </si>
  <si>
    <t>22030329</t>
  </si>
  <si>
    <t>Podkladné a krycie vrstvy z asfaltových zmesí, bitúmenové postreky, nátery,posypy infiltračný postrek</t>
  </si>
  <si>
    <t>2203032901</t>
  </si>
  <si>
    <t>Podkladné a krycie vrstvy z asfaltových zmesí, bitúmenové postreky, nátery,posypy infiltračný postrek z asfaltu</t>
  </si>
  <si>
    <t>22030330</t>
  </si>
  <si>
    <t>Podkladné a krycie vrstvy z asfaltových zmesí, bitúmenové postreky, nátery,posypy spojovací postrek</t>
  </si>
  <si>
    <t>2203033003</t>
  </si>
  <si>
    <t>Podkladné a krycie vrstvy z asfaltových zmesí, bitúmenové postreky, nátery,posypy spojovací postrek z emulzie</t>
  </si>
  <si>
    <t>22030640</t>
  </si>
  <si>
    <t>Podkladné a krycie vrstvy z asfaltových zmesí, bitúmenové vrstvy, asfaltový betón</t>
  </si>
  <si>
    <t>2203064002</t>
  </si>
  <si>
    <t>Podkladné a krycie vrstvy z asfaltových zmesí, bitúmenové vrstvy, asfaltový betón  triedy II</t>
  </si>
  <si>
    <t>Asfaltový betón pre podkladovú vrstvu AC 22 P; 35/50, hr. 70mm</t>
  </si>
  <si>
    <t>Asfaltový betón pre obrusnú vrstvu AC 11 O; 50/70; II, hr. 50mm</t>
  </si>
  <si>
    <t>22250362</t>
  </si>
  <si>
    <t>Doplňujúce konštrukcie, zvodidlá oceľové</t>
  </si>
  <si>
    <t>2225036201</t>
  </si>
  <si>
    <t>Doplňujúce konštrukcie, zvodidlá oceľové s jednou zvodnicou</t>
  </si>
  <si>
    <t>Oceľové zvodidlo úroveň zachytenia H2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</si>
  <si>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</si>
  <si>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</si>
  <si>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</si>
  <si>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</si>
  <si>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01020500</t>
  </si>
  <si>
    <t>Odkopávky a prekopávky zárezov so šikmými stenami</t>
  </si>
  <si>
    <t xml:space="preserve">45.11.12 </t>
  </si>
  <si>
    <t>PRÍPRAVA STAVENISKA  A VYČISŤOVACIE PRÁCE</t>
  </si>
  <si>
    <t>01080101</t>
  </si>
  <si>
    <t>Povrchové úpravy terénu, úprava pláne so  zhutnením v zárezoch</t>
  </si>
  <si>
    <t>0108010101</t>
  </si>
  <si>
    <t>Povrchové úpravy terénu, úprava pláne so  zhutnením v zárezoch, tr.horniny 1-4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</si>
  <si>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</si>
  <si>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</si>
  <si>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</si>
  <si>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</si>
  <si>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01040202</t>
  </si>
  <si>
    <t>Konštrukcie z hornín - násypy so zhutnením</t>
  </si>
  <si>
    <t>0104020202</t>
  </si>
  <si>
    <t>Konštrukcie z hornín - násypy so zhutnením zo zemín nesúdržných</t>
  </si>
  <si>
    <t>22010201</t>
  </si>
  <si>
    <t>Podkladné a krycie vrstvy bez spojiva, spevnenie krajníc zo zeminy</t>
  </si>
  <si>
    <t>Dosypávka zo zhutneného nenamŕzavého materiálu podľa STN 73 6133</t>
  </si>
  <si>
    <t>22010204</t>
  </si>
  <si>
    <t>Podkladné a krycie vrstvy bez spojiva, spevnenie krajníc, štrkodrva</t>
  </si>
  <si>
    <t>Spevnenie štrkodrvou fr. 16-32, hr. 100mm</t>
  </si>
  <si>
    <t>02060949</t>
  </si>
  <si>
    <t>Spevňovanie hornín a konštrukcií, opláštenie, spevnenie sieťovinou, rohožami</t>
  </si>
  <si>
    <t>0206094901</t>
  </si>
  <si>
    <t>Spevňovanie hornín a konštrukcií, opláštenie, spevnenie sieťovinou, rohožami, oceľovou sieťovinou vystuženou oceľovými lanami</t>
  </si>
  <si>
    <t>Agregovaná položka:</t>
  </si>
  <si>
    <t>oceľová šesťuholníková sieťovina - bez presahov + protierózna georohož - bez presahov</t>
  </si>
  <si>
    <t xml:space="preserve">45.25.21 </t>
  </si>
  <si>
    <t>ŠPECIÁLNE  ZÁKLADOVÉ  PRÁCE</t>
  </si>
  <si>
    <t>02060924</t>
  </si>
  <si>
    <t>Spevňovanie hornín a konštrukcií, opláštenie, spevnenie výstužou</t>
  </si>
  <si>
    <t>t</t>
  </si>
  <si>
    <t>'02060924</t>
  </si>
  <si>
    <t>"U" kotvy z betonárskej výstuže ø10</t>
  </si>
  <si>
    <t>02060923</t>
  </si>
  <si>
    <t>Spevňovanie hornín a konštrukcií, opláštenie, spevnenie oceľovými prvkami a konštrukciami</t>
  </si>
  <si>
    <t>0206092303</t>
  </si>
  <si>
    <t>Spevňovanie hornín a konštrukcií, opláštenie, spevnenie oceľovými prvkami a konštrukciami, trnmi z betonárskej ocele</t>
  </si>
  <si>
    <t>02060905</t>
  </si>
  <si>
    <t>Spevňovanie hornín a konštrukcií, opláštenie, spevnenie geotextíliou a geomrežovinou</t>
  </si>
  <si>
    <t>Separačná geotextília pod spevnením krajnice</t>
  </si>
  <si>
    <t>Separačná geotextília pod drôtokamenné matrace</t>
  </si>
  <si>
    <t>2550ks*0.7m*0.617kg/m´</t>
  </si>
  <si>
    <t>ø 28, dĺžka 6m; á 1,0m</t>
  </si>
  <si>
    <t>ks</t>
  </si>
  <si>
    <t>02060922</t>
  </si>
  <si>
    <t>Spevňovanie hornín a konštrukcií, opláštenie, spevnenie striekaným železobetónom</t>
  </si>
  <si>
    <t>0206092404</t>
  </si>
  <si>
    <t>Spevňovanie hornín a konštrukcií, opláštenie, spevnenie výstužou, zváranými sieťami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</si>
  <si>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</si>
  <si>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</si>
  <si>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</si>
  <si>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</si>
  <si>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27030422</t>
  </si>
  <si>
    <t>Kanalizácie, rúry plastové, PVC</t>
  </si>
  <si>
    <t>2703042204</t>
  </si>
  <si>
    <t>Kanalizácie, rúry plastové, PVC DN 200</t>
  </si>
  <si>
    <t>Priekopa vedená potrubím PVC DN 200</t>
  </si>
  <si>
    <t>01020200</t>
  </si>
  <si>
    <t>Odkopávky a prekopávky nezapažené</t>
  </si>
  <si>
    <t>0102020007</t>
  </si>
  <si>
    <t>Odkopávky a prekopávky nezapažené, tr. horniny 1-4</t>
  </si>
  <si>
    <t>Odkop dočasného zásypu priekopy</t>
  </si>
  <si>
    <t xml:space="preserve">Štrkový zásyp priekopy dočasne vedenej PVC potrubím </t>
  </si>
  <si>
    <t>45.11.21</t>
  </si>
  <si>
    <t>VÝKOPOVÉ A SÚVISIACE ZEMNÉ PRÁCE</t>
  </si>
  <si>
    <t>01020101</t>
  </si>
  <si>
    <t>Odkopávky a prekopávky humóznej vrstvy ornice</t>
  </si>
  <si>
    <t>0102010101</t>
  </si>
  <si>
    <t>Odkopávky a prekopávky humóznej vrstvy ornice tr. horniny 1-2</t>
  </si>
  <si>
    <t>Zazubenie a odkop zemného telesa vľavo od CK</t>
  </si>
  <si>
    <t>01040100</t>
  </si>
  <si>
    <t>Konštrukcie z hornín - skládky</t>
  </si>
  <si>
    <t>0104010007</t>
  </si>
  <si>
    <t>Konštrukcie z hornín - skládky  tr.horniny 1-4</t>
  </si>
  <si>
    <t>uloženie na depóniu (ornica)</t>
  </si>
  <si>
    <t>uloženie na depóniu (zemina z výkopov)</t>
  </si>
  <si>
    <t>Spolu</t>
  </si>
  <si>
    <t>0102050007</t>
  </si>
  <si>
    <t>Odkopávky a prekopávky zárezov so šikmými stenami, tr. horniny 1-4</t>
  </si>
  <si>
    <t>0102050008</t>
  </si>
  <si>
    <t>Odkopávky a prekopávky zárezov so šikmými stenami, tr. horniny 5-7</t>
  </si>
  <si>
    <t>0104010008</t>
  </si>
  <si>
    <t>Konštrukcie z hornín - skládky  tr horniny 5-7</t>
  </si>
  <si>
    <t>01060204</t>
  </si>
  <si>
    <t>Premiestnenie  vodorovné nad 5 000 m</t>
  </si>
  <si>
    <t>0106020401</t>
  </si>
  <si>
    <t>Premiestnenie  výkopku resp. rúbaniny, vodorovné nad 5 000 m, tr. horniny 1-4</t>
  </si>
  <si>
    <t>Odvoz na depóniu (zemina z výkopov)</t>
  </si>
  <si>
    <t>Odvoz na depóniu (ornica)</t>
  </si>
  <si>
    <t>Odvoz z depónie na stavbu (ornica na zahumusovanie)</t>
  </si>
  <si>
    <t>0106020402</t>
  </si>
  <si>
    <t>Premiestnenie  výkopku resp. rúbaniny, vodorovné nad 5 000 m, tr. horniny 5-7</t>
  </si>
  <si>
    <t>(25km)</t>
  </si>
  <si>
    <t>Odvoz vybúraných asfaltových vrstiev vozovky</t>
  </si>
  <si>
    <t>Odvoz vybúraných podkladných vrstiev vozovky</t>
  </si>
  <si>
    <t>Odvoz štrkového zásypu z dočasne prekrytej priekopy</t>
  </si>
  <si>
    <t xml:space="preserve">Odvoz cestných panelov 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</si>
  <si>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</si>
  <si>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</si>
  <si>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</si>
  <si>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</si>
  <si>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01080401</t>
  </si>
  <si>
    <t>Povrchové úpravy terénu, svahovanie v zárezoch</t>
  </si>
  <si>
    <t>0108040102</t>
  </si>
  <si>
    <t>Povrchové úpravy terénu, svahovanie v zárezoch, tr.horniny 5</t>
  </si>
  <si>
    <t>01080402</t>
  </si>
  <si>
    <t>Povrchové úpravy terénu, svahovanie v násypoch</t>
  </si>
  <si>
    <t>0108040201</t>
  </si>
  <si>
    <t>Povrchové úpravy terénu, svahovanie v násypoch, tr.horniny 1-4</t>
  </si>
  <si>
    <t>0108040101</t>
  </si>
  <si>
    <t>Povrchové úpravy terénu, svahovanie v zárezoch, tr.horniny 1-4</t>
  </si>
  <si>
    <t>Násypové teleso CK</t>
  </si>
  <si>
    <t>31020103</t>
  </si>
  <si>
    <t>Melioračné hradiace konštrukcie, ekokoše z lomového kameňa</t>
  </si>
  <si>
    <t>45.24.12</t>
  </si>
  <si>
    <t>PRÁCE  NA  HRUBEJ  STAVBE  ÚPRAV  TOKOV, HRÁDZÍ, ZAVLAŽOVACÍCH  KANÁLOV  A  AKVADUKTOV</t>
  </si>
  <si>
    <t>02020174</t>
  </si>
  <si>
    <t>Vrty pre kotvenie, injektáž, mikropilóty a monitoring na povrchu, tr.horniny IV,</t>
  </si>
  <si>
    <t>0202017407</t>
  </si>
  <si>
    <t>Vrty pre kotvenie, injektáž, mikropilóty a monitoring na povrchu, tr.horniny IV, D do 160 mm</t>
  </si>
  <si>
    <t>02020175</t>
  </si>
  <si>
    <t>Vrty pre kotvenie, injektáž, mikropilóty a monitoring na povrchu, tr.horniny V,</t>
  </si>
  <si>
    <t>0202017507</t>
  </si>
  <si>
    <t>Vrty pre kotvenie, injektáž, mikropilóty a monitoring na povrchu, tr.horniny V, D do 160 mm</t>
  </si>
  <si>
    <t>02060418</t>
  </si>
  <si>
    <t>Spevňovanie hornín a konštrukcií, injektovanie nízkotlakové na povrchu, kamenivom ťaženým, spojivom cementovým, ílovým, chemickým, bitúmenovým, plynnoemulzným</t>
  </si>
  <si>
    <t>zemné klince</t>
  </si>
  <si>
    <t>PI*(0.130m*/2)^2*3.07m*89ks-PI*(0.028m/2)^2*3m*89ks</t>
  </si>
  <si>
    <t>PI*(0.130m*/2)^2*6.07m*857ks-PI*(0.028m/2)^2*3m*857ks</t>
  </si>
  <si>
    <r>
      <t>oceľová sieť na klincovanú stenu,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8/150; 5.37kg/m2</t>
    </r>
  </si>
  <si>
    <t>uloženie na depóniu (zemina z vrtov)</t>
  </si>
  <si>
    <t>(PI*(0.130m/2)^2*89ks)*3.07m</t>
  </si>
  <si>
    <t>(PI*(0.130m/2)^2*857ks)*6.07m</t>
  </si>
  <si>
    <t>odvoz na depóniu (zemina z vrtov)</t>
  </si>
  <si>
    <t>PI()*(0.130m/2)^2*89)*3,07</t>
  </si>
  <si>
    <t>PI()*(0.130m/2)^2*857)*6,07</t>
  </si>
  <si>
    <t>Priekopová žľabovka š. 1,0m do betónového lôžka hr. 0,10m (vrátane)</t>
  </si>
  <si>
    <r>
      <t xml:space="preserve">Vrty </t>
    </r>
    <r>
      <rPr>
        <sz val="10"/>
        <rFont val="Arial"/>
        <family val="2"/>
        <charset val="238"/>
      </rPr>
      <t>ϕ</t>
    </r>
    <r>
      <rPr>
        <i/>
        <sz val="10"/>
        <rFont val="Arial CE"/>
        <family val="2"/>
        <charset val="238"/>
      </rPr>
      <t>130mm pre zemné klince, 89ks*3.07m</t>
    </r>
  </si>
  <si>
    <t>Vrty ϕ130mm pre zemné klince, 857ks*6.07m</t>
  </si>
  <si>
    <t>0206092204</t>
  </si>
  <si>
    <t>Spevňovanie hornín a konštrukcií, opláštenie, spevnenie striekaným železobetónom tr. C30/37</t>
  </si>
  <si>
    <t>45.00.00</t>
  </si>
  <si>
    <t xml:space="preserve">VŠEOBECNÉ POLOŽKY V PROCESE OBSTARÁVANIA STAVIEB  </t>
  </si>
  <si>
    <t>00010403</t>
  </si>
  <si>
    <t>Zmluvné požiadavky poplatky za skládky zeminy</t>
  </si>
  <si>
    <t>Zemina z výkopov</t>
  </si>
  <si>
    <t>ø 28, dĺžka 3.0m; á 3,0m</t>
  </si>
  <si>
    <t>01010103</t>
  </si>
  <si>
    <t>Pripravné práce, odstránenie porastov krovín</t>
  </si>
  <si>
    <t>0101010301</t>
  </si>
  <si>
    <t>Pripravné práce, odstránenie porastov krovín na suchu</t>
  </si>
  <si>
    <t>01010201</t>
  </si>
  <si>
    <t>Pripravné práce, rúbanie stromov</t>
  </si>
  <si>
    <t>0101020101</t>
  </si>
  <si>
    <t>Pripravné práce, rúbanie stromov priemer do 50 cm</t>
  </si>
  <si>
    <t>0101020102</t>
  </si>
  <si>
    <t>Pripravné práce, rúbanie stromov priemer do 90 cm</t>
  </si>
  <si>
    <t>0101020103</t>
  </si>
  <si>
    <t>Pripravné práce, rúbanie stromov priemer nad 90 cm</t>
  </si>
  <si>
    <t>01010202</t>
  </si>
  <si>
    <t>Pripravné práce, rúbanie odstránenie pňov</t>
  </si>
  <si>
    <t>0101020201</t>
  </si>
  <si>
    <t>Pripravné práce, rúbanie odstránenie pňov priemer do 50 cm</t>
  </si>
  <si>
    <t>0101020202</t>
  </si>
  <si>
    <t>Pripravné práce, rúbanie odstránenie pňov priemer do 90 cm</t>
  </si>
  <si>
    <t>0101020203</t>
  </si>
  <si>
    <t>Pripravné práce, rúbanie odstránenie pňov priemer nad 90 cm</t>
  </si>
  <si>
    <t>nakladanie ornice z depónie na spätné použitie (hr. 150mm)</t>
  </si>
  <si>
    <t>45.21.21</t>
  </si>
  <si>
    <t>PRÁCE  NA  HRUBEJ  STAVBE  MOSTOV  A  VISUTÝCH  DIAĽNÍC</t>
  </si>
  <si>
    <t>21250424</t>
  </si>
  <si>
    <t>Doplňujúce konštrukcie, dilatačné zariadenia, tesnenie dilatačných škár</t>
  </si>
  <si>
    <t>2125042402</t>
  </si>
  <si>
    <t>Doplňujúce konštrukcie, dilatačné zariadenia, tesnenie dilatačných škár asf. zálievkou  modifikovanou</t>
  </si>
  <si>
    <t>22250671</t>
  </si>
  <si>
    <t>Doplňujúce konštrukcie,  zvislé dopravné značky, normálny rozmer</t>
  </si>
  <si>
    <t>2225067106</t>
  </si>
  <si>
    <t>Doplňujúce konštrukcie,  zvislé dopravné značky, normálny rozmer hliníkové reflexné</t>
  </si>
  <si>
    <t>Dočasné dopravné značenie</t>
  </si>
  <si>
    <t>Trvalé dopravné značenie</t>
  </si>
  <si>
    <t>91200301</t>
  </si>
  <si>
    <t>Svietidlá a osvetľovacie zariadenia - dopravné značky svetelné</t>
  </si>
  <si>
    <t>9120030101</t>
  </si>
  <si>
    <t>Svietidlá a osvetľovacie zariadenia - dopravné značky svetelné malé</t>
  </si>
  <si>
    <t>Prenosné semafóry</t>
  </si>
  <si>
    <t xml:space="preserve">45.23.15 </t>
  </si>
  <si>
    <t>NATIERAČSKÉ  PRÁCE  CESTNÉHO  DOPRAVNÉHO  ZNAČENIA, PARKOVACÍCH  A  PODOBNÝCH  PLÔCH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</si>
  <si>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</si>
  <si>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</si>
  <si>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</si>
  <si>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</si>
  <si>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Trvalé</t>
  </si>
  <si>
    <t>2225077602</t>
  </si>
  <si>
    <t>Doplňujúce konštrukcie,  vodorovné dopravné značenie striekané a náterové deliacich čiar</t>
  </si>
  <si>
    <t xml:space="preserve">Dočasné </t>
  </si>
  <si>
    <t>zemné klince s protikoróznou ochranou, vrátane kotevnej platne</t>
  </si>
  <si>
    <t>Sanácia zosuvov na cestách 3. tr. - Rykynčice</t>
  </si>
  <si>
    <t>-</t>
  </si>
  <si>
    <t>CENA JEDNOT.</t>
  </si>
  <si>
    <t>CENA CELKOM</t>
  </si>
  <si>
    <t>CELKOM</t>
  </si>
  <si>
    <t>Odstránenie asfaltových krytov</t>
  </si>
  <si>
    <t>Odstránenie podkladu</t>
  </si>
  <si>
    <t>úprava pláne, zárez</t>
  </si>
  <si>
    <t>úprava pláne, násyp</t>
  </si>
  <si>
    <t>Odhumusovanie</t>
  </si>
  <si>
    <t>05080200</t>
  </si>
  <si>
    <t>Doprava vybúraných hmôt vodorovná</t>
  </si>
  <si>
    <t>0508020003</t>
  </si>
  <si>
    <t>Doprava vybúraných hmôt vodorovná, nad 1 km</t>
  </si>
  <si>
    <t>(odvoz do 25km)</t>
  </si>
  <si>
    <t>hr. 150mm</t>
  </si>
  <si>
    <t>svahovanie, násyp</t>
  </si>
  <si>
    <t>svahovanie, zárez</t>
  </si>
  <si>
    <t>asfaltová zálievka</t>
  </si>
  <si>
    <t>infiltračný postrek</t>
  </si>
  <si>
    <t>spojovací postrek</t>
  </si>
  <si>
    <t>striekaný betón</t>
  </si>
  <si>
    <t>45.21.12</t>
  </si>
  <si>
    <t>27020421</t>
  </si>
  <si>
    <t>Vodovody, rúry plastové PE, PP</t>
  </si>
  <si>
    <t>2702042103</t>
  </si>
  <si>
    <t>Vodovody, rúry plastové PE, PP nad D 50 mm do D 110 mm</t>
  </si>
  <si>
    <t>PRÁCE  NA  STAVBE  MIESTNYCH  POTRUBNÝCH  VEDENÍ  VODY  A  KANALIZÁCIE  (VRÁTANE  DOPLNKOVÝCH  PRÁC)</t>
  </si>
  <si>
    <t>Priečne vyústenie HDPE DN100</t>
  </si>
  <si>
    <t>Náklady z rozpočtov:</t>
  </si>
  <si>
    <t>Sanácia zosuvov na cestách 3. triedy, Železná Breznica, Lovča, Rykynčice, Prestavlky, Rudno-Voznica, 
-III/1556, Rykynčice</t>
  </si>
  <si>
    <t>Cena bez DPH (EUR)</t>
  </si>
  <si>
    <t>Cena s DPH (EUR)</t>
  </si>
  <si>
    <t>Drôtokamenné koše 1,0m x 1,0m</t>
  </si>
  <si>
    <t>45.24.13</t>
  </si>
  <si>
    <t>PRÁCE NA HRUBEJ STAVBE VZDÚVADIEL, STAVIDIEL A OSTATNÝCH HYDROMECHANICKÝCH OBJEKTOV</t>
  </si>
  <si>
    <t>32210308</t>
  </si>
  <si>
    <t>Spevnené plochy, zahádzka z lomového kameňa</t>
  </si>
  <si>
    <t>3221030801</t>
  </si>
  <si>
    <t>Spevnené plochy, zahádzka z lomového kameňa z terénu</t>
  </si>
  <si>
    <t xml:space="preserve">Kamenná nahádzka pri stabilizačných prahoch, dmin=200mm, γ=21.5kN/m3 </t>
  </si>
  <si>
    <t>1120020207</t>
  </si>
  <si>
    <t>Podkladné konštrukcie, tesniace vrstvy, prahy z betónu železového, tr. C 30/37 (B 35)</t>
  </si>
  <si>
    <t>11200202</t>
  </si>
  <si>
    <t>Podkladné konštrukcie, tesniace vrstvy, prahy, z betónu železového</t>
  </si>
  <si>
    <t>stabilizačné prahy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</si>
  <si>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8/150xø8/150, bez presahov, B500 B</t>
    </r>
  </si>
  <si>
    <t>11200221</t>
  </si>
  <si>
    <t>Podkladné konštrukcie, tesniace vrstvy, prahy, výstuž z betonárskej ocele</t>
  </si>
  <si>
    <t>1120022107</t>
  </si>
  <si>
    <t>Podkladné konštrukcie, tesniace vrstvy, prahy, výstuž zo zváraných sietí</t>
  </si>
  <si>
    <t>11200211</t>
  </si>
  <si>
    <t>Podkladné konštrukcie, tesniace vrstvy, prahy, debnenie tradičné</t>
  </si>
  <si>
    <t>1120021101</t>
  </si>
  <si>
    <t>Podkladné konštrukcie, tesniace vrstvy, prahy, debnenie tradičné drevené</t>
  </si>
  <si>
    <t>stabilizačné prahy, debnenie nad terénom</t>
  </si>
  <si>
    <t>Výkaz</t>
  </si>
  <si>
    <t>00010401</t>
  </si>
  <si>
    <t>Zmluvné požiadavky poplatky za skládky vybúraných hmôt a sutí</t>
  </si>
  <si>
    <t>vybúrané asfaltové vrstvy vozovky</t>
  </si>
  <si>
    <t>vybúrané podkladové vrstvy vozovky</t>
  </si>
  <si>
    <t>odstránený štrkový zásyp z dočasne prekrytej priekopy</t>
  </si>
  <si>
    <t xml:space="preserve">vybúrané cestné panely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</si>
</sst>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_-* #,##0.00\ _S_k_-;\-* #,##0.00\ _S_k_-;_-* &quot;-&quot;??\ _S_k_-;_-@_-"/>
    <numFmt numFmtId="166" formatCode="00000000"/>
    <numFmt numFmtId="167" formatCode="0000000000"/>
    <numFmt numFmtId="168" formatCode="#,###,###,###,##0.00"/>
    <numFmt numFmtId="169" formatCode="###0.00"/>
    <numFmt numFmtId="170" formatCode="#,##0.0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b/>
      <u/>
      <sz val="11"/>
      <color theme="1"/>
      <name val="Arial"/>
      <family val="2"/>
      <charset val="238"/>
      <scheme val="minor"/>
    </font>
    <font>
      <i/>
      <u/>
      <sz val="11"/>
      <color theme="1"/>
      <name val="Arial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b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charset val="238"/>
    </font>
    <font>
      <b/>
      <sz val="10"/>
      <color indexed="12"/>
      <name val="Arial"/>
      <family val="2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b/>
      <sz val="10"/>
      <color rgb="FF0000FF"/>
      <name val="Arial CE"/>
      <family val="2"/>
      <charset val="238"/>
    </font>
    <font>
      <i/>
      <sz val="10"/>
      <color rgb="FF0000FF"/>
      <name val="Arial CE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Arial"/>
      <family val="2"/>
    </font>
    <font>
      <b/>
      <sz val="18"/>
      <color theme="1"/>
      <name val="Arial"/>
      <family val="2"/>
      <charset val="238"/>
      <scheme val="minor"/>
    </font>
    <font>
      <b/>
      <sz val="12"/>
      <color rgb="FF960000"/>
      <name val="Arial CE"/>
    </font>
    <font>
      <b/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</font>
    <font>
      <b/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5" fillId="0" borderId="0"/>
    <xf numFmtId="165" fontId="5" fillId="0" borderId="0" applyFont="0" applyFill="0" applyBorder="0" applyAlignment="0" applyProtection="0"/>
    <xf numFmtId="0" fontId="17" fillId="0" borderId="0"/>
    <xf numFmtId="0" fontId="23" fillId="0" borderId="0"/>
  </cellStyleXfs>
  <cellXfs count="2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3" applyFont="1"/>
    <xf numFmtId="4" fontId="5" fillId="0" borderId="0" xfId="3" applyNumberFormat="1" applyFont="1"/>
    <xf numFmtId="3" fontId="5" fillId="0" borderId="0" xfId="3" applyNumberFormat="1" applyFont="1"/>
    <xf numFmtId="0" fontId="6" fillId="0" borderId="0" xfId="3" applyFont="1" applyFill="1" applyBorder="1" applyAlignment="1">
      <alignment horizontal="left" vertical="top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/>
    <xf numFmtId="4" fontId="6" fillId="0" borderId="0" xfId="3" applyNumberFormat="1" applyFont="1" applyFill="1" applyBorder="1" applyAlignment="1"/>
    <xf numFmtId="0" fontId="6" fillId="0" borderId="0" xfId="3" applyFont="1" applyFill="1" applyBorder="1" applyAlignment="1">
      <alignment horizontal="center"/>
    </xf>
    <xf numFmtId="3" fontId="6" fillId="0" borderId="0" xfId="3" applyNumberFormat="1" applyFont="1" applyFill="1" applyBorder="1" applyAlignment="1">
      <alignment vertical="top"/>
    </xf>
    <xf numFmtId="1" fontId="6" fillId="0" borderId="0" xfId="3" applyNumberFormat="1" applyFont="1" applyFill="1" applyBorder="1" applyAlignment="1">
      <alignment horizontal="left" vertical="top"/>
    </xf>
    <xf numFmtId="3" fontId="6" fillId="0" borderId="0" xfId="3" applyNumberFormat="1" applyFont="1" applyFill="1" applyBorder="1" applyAlignment="1">
      <alignment horizontal="right" vertical="top"/>
    </xf>
    <xf numFmtId="0" fontId="6" fillId="0" borderId="3" xfId="3" applyFont="1" applyFill="1" applyBorder="1" applyAlignment="1">
      <alignment horizontal="centerContinuous"/>
    </xf>
    <xf numFmtId="0" fontId="6" fillId="0" borderId="6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/>
    </xf>
    <xf numFmtId="0" fontId="6" fillId="0" borderId="12" xfId="3" applyFont="1" applyBorder="1" applyAlignment="1">
      <alignment vertical="top"/>
    </xf>
    <xf numFmtId="0" fontId="9" fillId="0" borderId="12" xfId="3" applyFont="1" applyBorder="1" applyAlignment="1">
      <alignment horizontal="center" vertical="top"/>
    </xf>
    <xf numFmtId="0" fontId="7" fillId="0" borderId="11" xfId="3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top" wrapText="1"/>
    </xf>
    <xf numFmtId="0" fontId="7" fillId="0" borderId="12" xfId="3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9" fillId="0" borderId="12" xfId="3" applyFont="1" applyFill="1" applyBorder="1" applyAlignment="1">
      <alignment horizontal="center" vertical="top" wrapText="1"/>
    </xf>
    <xf numFmtId="0" fontId="8" fillId="0" borderId="11" xfId="3" applyFont="1" applyBorder="1" applyAlignment="1">
      <alignment horizontal="center" vertical="top"/>
    </xf>
    <xf numFmtId="0" fontId="5" fillId="0" borderId="12" xfId="3" applyFont="1" applyBorder="1" applyAlignment="1">
      <alignment vertical="top"/>
    </xf>
    <xf numFmtId="49" fontId="13" fillId="0" borderId="12" xfId="3" applyNumberFormat="1" applyFont="1" applyBorder="1" applyAlignment="1">
      <alignment vertical="top"/>
    </xf>
    <xf numFmtId="49" fontId="6" fillId="0" borderId="14" xfId="0" quotePrefix="1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top"/>
    </xf>
    <xf numFmtId="0" fontId="7" fillId="0" borderId="12" xfId="3" applyFont="1" applyBorder="1" applyAlignment="1">
      <alignment horizontal="center" vertical="top" wrapText="1"/>
    </xf>
    <xf numFmtId="0" fontId="6" fillId="0" borderId="12" xfId="3" applyNumberFormat="1" applyFont="1" applyFill="1" applyBorder="1" applyAlignment="1" applyProtection="1">
      <alignment horizontal="left" vertical="top" wrapText="1"/>
      <protection locked="0"/>
    </xf>
    <xf numFmtId="0" fontId="7" fillId="0" borderId="12" xfId="3" applyNumberFormat="1" applyFont="1" applyFill="1" applyBorder="1" applyAlignment="1" applyProtection="1">
      <alignment horizontal="left" vertical="top" wrapText="1"/>
      <protection locked="0"/>
    </xf>
    <xf numFmtId="49" fontId="12" fillId="0" borderId="12" xfId="0" applyNumberFormat="1" applyFont="1" applyFill="1" applyBorder="1" applyAlignment="1">
      <alignment vertical="top"/>
    </xf>
    <xf numFmtId="0" fontId="9" fillId="0" borderId="12" xfId="3" applyFont="1" applyBorder="1" applyAlignment="1">
      <alignment horizontal="center" vertical="top" wrapText="1"/>
    </xf>
    <xf numFmtId="0" fontId="7" fillId="0" borderId="12" xfId="3" applyFont="1" applyBorder="1" applyAlignment="1">
      <alignment horizontal="left" vertical="top" wrapText="1"/>
    </xf>
    <xf numFmtId="49" fontId="7" fillId="0" borderId="14" xfId="3" quotePrefix="1" applyNumberFormat="1" applyFont="1" applyBorder="1" applyAlignment="1">
      <alignment horizontal="left" vertical="top"/>
    </xf>
    <xf numFmtId="0" fontId="12" fillId="0" borderId="14" xfId="0" applyFont="1" applyFill="1" applyBorder="1" applyAlignment="1">
      <alignment vertical="top"/>
    </xf>
    <xf numFmtId="49" fontId="12" fillId="0" borderId="14" xfId="0" applyNumberFormat="1" applyFont="1" applyFill="1" applyBorder="1" applyAlignment="1">
      <alignment horizontal="left" vertical="top"/>
    </xf>
    <xf numFmtId="0" fontId="6" fillId="0" borderId="12" xfId="3" applyFont="1" applyBorder="1" applyAlignment="1">
      <alignment vertical="top" wrapText="1"/>
    </xf>
    <xf numFmtId="0" fontId="5" fillId="0" borderId="11" xfId="3" applyFont="1" applyBorder="1" applyAlignment="1">
      <alignment vertical="top" wrapText="1"/>
    </xf>
    <xf numFmtId="49" fontId="7" fillId="0" borderId="12" xfId="3" applyNumberFormat="1" applyFont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49" fontId="6" fillId="0" borderId="12" xfId="3" applyNumberFormat="1" applyFont="1" applyBorder="1" applyAlignment="1">
      <alignment horizontal="left" vertical="top" wrapText="1"/>
    </xf>
    <xf numFmtId="0" fontId="9" fillId="0" borderId="0" xfId="3" applyNumberFormat="1" applyFont="1" applyFill="1" applyBorder="1" applyAlignment="1" applyProtection="1">
      <alignment horizontal="left" vertical="top" wrapText="1"/>
      <protection locked="0"/>
    </xf>
    <xf numFmtId="0" fontId="12" fillId="0" borderId="14" xfId="0" applyFont="1" applyFill="1" applyBorder="1" applyAlignment="1">
      <alignment vertical="top" wrapText="1"/>
    </xf>
    <xf numFmtId="49" fontId="12" fillId="0" borderId="14" xfId="0" applyNumberFormat="1" applyFont="1" applyFill="1" applyBorder="1" applyAlignment="1">
      <alignment horizontal="left" vertical="top" wrapText="1"/>
    </xf>
    <xf numFmtId="49" fontId="12" fillId="0" borderId="12" xfId="0" applyNumberFormat="1" applyFont="1" applyFill="1" applyBorder="1" applyAlignment="1">
      <alignment vertical="top" wrapText="1"/>
    </xf>
    <xf numFmtId="0" fontId="9" fillId="0" borderId="13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3" applyNumberFormat="1" applyFont="1" applyFill="1" applyBorder="1" applyAlignment="1" applyProtection="1">
      <alignment horizontal="center" vertical="top" wrapText="1"/>
      <protection locked="0"/>
    </xf>
    <xf numFmtId="0" fontId="7" fillId="0" borderId="15" xfId="3" applyFont="1" applyFill="1" applyBorder="1" applyAlignment="1">
      <alignment horizontal="center" vertical="top" wrapText="1"/>
    </xf>
    <xf numFmtId="0" fontId="7" fillId="0" borderId="9" xfId="3" applyFont="1" applyFill="1" applyBorder="1" applyAlignment="1">
      <alignment horizontal="center" vertical="top" wrapText="1"/>
    </xf>
    <xf numFmtId="0" fontId="7" fillId="0" borderId="7" xfId="3" applyFont="1" applyBorder="1" applyAlignment="1">
      <alignment vertical="top" wrapText="1"/>
    </xf>
    <xf numFmtId="0" fontId="6" fillId="0" borderId="9" xfId="3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left" vertical="top" wrapText="1"/>
    </xf>
    <xf numFmtId="0" fontId="9" fillId="0" borderId="7" xfId="3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top" wrapText="1"/>
    </xf>
    <xf numFmtId="49" fontId="6" fillId="0" borderId="12" xfId="0" applyNumberFormat="1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49" fontId="7" fillId="0" borderId="12" xfId="3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49" fontId="6" fillId="0" borderId="14" xfId="3" applyNumberFormat="1" applyFont="1" applyBorder="1" applyAlignment="1">
      <alignment horizontal="left" vertical="top" wrapText="1"/>
    </xf>
    <xf numFmtId="0" fontId="7" fillId="0" borderId="13" xfId="3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 wrapText="1"/>
    </xf>
    <xf numFmtId="0" fontId="9" fillId="0" borderId="12" xfId="3" quotePrefix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166" fontId="12" fillId="0" borderId="12" xfId="0" applyNumberFormat="1" applyFont="1" applyBorder="1" applyAlignment="1">
      <alignment horizontal="left" vertical="top" wrapText="1"/>
    </xf>
    <xf numFmtId="167" fontId="12" fillId="0" borderId="14" xfId="0" applyNumberFormat="1" applyFont="1" applyBorder="1" applyAlignment="1">
      <alignment horizontal="left" vertical="top" wrapText="1"/>
    </xf>
    <xf numFmtId="49" fontId="9" fillId="0" borderId="12" xfId="0" quotePrefix="1" applyNumberFormat="1" applyFont="1" applyFill="1" applyBorder="1" applyAlignment="1">
      <alignment horizontal="left" vertical="top"/>
    </xf>
    <xf numFmtId="49" fontId="9" fillId="0" borderId="14" xfId="0" applyNumberFormat="1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6" fillId="0" borderId="13" xfId="3" applyFont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/>
    </xf>
    <xf numFmtId="0" fontId="8" fillId="0" borderId="11" xfId="3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2" fontId="9" fillId="0" borderId="0" xfId="0" applyNumberFormat="1" applyFont="1" applyFill="1" applyBorder="1" applyAlignment="1">
      <alignment vertical="top" wrapText="1"/>
    </xf>
    <xf numFmtId="168" fontId="18" fillId="0" borderId="19" xfId="5" applyNumberFormat="1" applyFont="1" applyBorder="1" applyAlignment="1">
      <alignment vertical="top"/>
    </xf>
    <xf numFmtId="0" fontId="5" fillId="0" borderId="0" xfId="3" applyBorder="1" applyAlignment="1">
      <alignment horizontal="center" vertical="top" wrapText="1"/>
    </xf>
    <xf numFmtId="0" fontId="5" fillId="0" borderId="12" xfId="3" quotePrefix="1" applyBorder="1" applyAlignment="1">
      <alignment horizontal="center" vertical="top"/>
    </xf>
    <xf numFmtId="3" fontId="5" fillId="0" borderId="13" xfId="3" applyNumberFormat="1" applyBorder="1" applyAlignment="1">
      <alignment horizontal="center" vertical="top"/>
    </xf>
    <xf numFmtId="0" fontId="5" fillId="0" borderId="19" xfId="3" applyFont="1" applyBorder="1" applyAlignment="1">
      <alignment vertical="top"/>
    </xf>
    <xf numFmtId="0" fontId="9" fillId="0" borderId="13" xfId="3" applyFont="1" applyFill="1" applyBorder="1" applyAlignment="1">
      <alignment horizontal="center" vertical="top"/>
    </xf>
    <xf numFmtId="3" fontId="9" fillId="0" borderId="13" xfId="3" applyNumberFormat="1" applyFont="1" applyFill="1" applyBorder="1" applyAlignment="1">
      <alignment horizontal="center" vertical="top"/>
    </xf>
    <xf numFmtId="4" fontId="10" fillId="0" borderId="0" xfId="3" applyNumberFormat="1" applyFont="1" applyBorder="1" applyAlignment="1">
      <alignment horizontal="center" vertical="top"/>
    </xf>
    <xf numFmtId="2" fontId="11" fillId="0" borderId="13" xfId="3" applyNumberFormat="1" applyFont="1" applyFill="1" applyBorder="1" applyAlignment="1">
      <alignment vertical="top" wrapText="1"/>
    </xf>
    <xf numFmtId="2" fontId="11" fillId="0" borderId="13" xfId="3" applyNumberFormat="1" applyFont="1" applyBorder="1" applyAlignment="1">
      <alignment vertical="top"/>
    </xf>
    <xf numFmtId="2" fontId="11" fillId="0" borderId="13" xfId="3" applyNumberFormat="1" applyFont="1" applyBorder="1" applyAlignment="1">
      <alignment vertical="top" wrapText="1"/>
    </xf>
    <xf numFmtId="4" fontId="10" fillId="0" borderId="0" xfId="3" applyNumberFormat="1" applyFont="1" applyFill="1" applyBorder="1" applyAlignment="1">
      <alignment horizontal="center" vertical="top"/>
    </xf>
    <xf numFmtId="2" fontId="5" fillId="0" borderId="13" xfId="3" applyNumberFormat="1" applyFont="1" applyFill="1" applyBorder="1" applyAlignment="1">
      <alignment vertical="top" wrapText="1"/>
    </xf>
    <xf numFmtId="49" fontId="9" fillId="0" borderId="0" xfId="3" applyNumberFormat="1" applyFont="1" applyBorder="1" applyAlignment="1" applyProtection="1">
      <alignment horizontal="left" vertical="top"/>
      <protection locked="0"/>
    </xf>
    <xf numFmtId="49" fontId="7" fillId="0" borderId="12" xfId="3" applyNumberFormat="1" applyFont="1" applyBorder="1" applyAlignment="1">
      <alignment vertical="top" wrapText="1"/>
    </xf>
    <xf numFmtId="49" fontId="6" fillId="0" borderId="12" xfId="3" applyNumberFormat="1" applyFont="1" applyBorder="1" applyAlignment="1">
      <alignment vertical="top" wrapText="1"/>
    </xf>
    <xf numFmtId="0" fontId="5" fillId="0" borderId="11" xfId="3" applyFont="1" applyBorder="1" applyAlignment="1">
      <alignment vertical="top"/>
    </xf>
    <xf numFmtId="0" fontId="5" fillId="0" borderId="11" xfId="3" applyFont="1" applyFill="1" applyBorder="1" applyAlignment="1">
      <alignment vertical="top"/>
    </xf>
    <xf numFmtId="2" fontId="14" fillId="0" borderId="0" xfId="0" applyNumberFormat="1" applyFont="1" applyFill="1" applyBorder="1" applyAlignment="1">
      <alignment horizontal="center" vertical="top" wrapText="1"/>
    </xf>
    <xf numFmtId="4" fontId="5" fillId="0" borderId="0" xfId="3" applyNumberFormat="1" applyFont="1" applyBorder="1" applyAlignment="1">
      <alignment vertical="top"/>
    </xf>
    <xf numFmtId="2" fontId="9" fillId="0" borderId="0" xfId="3" applyNumberFormat="1" applyFont="1" applyFill="1" applyBorder="1" applyAlignment="1" applyProtection="1">
      <alignment horizontal="center" vertical="top" wrapText="1"/>
      <protection locked="0"/>
    </xf>
    <xf numFmtId="3" fontId="5" fillId="0" borderId="0" xfId="3" applyNumberFormat="1" applyFont="1" applyBorder="1" applyAlignment="1">
      <alignment vertical="top"/>
    </xf>
    <xf numFmtId="4" fontId="5" fillId="0" borderId="1" xfId="3" applyNumberFormat="1" applyFont="1" applyBorder="1" applyAlignment="1">
      <alignment vertical="top"/>
    </xf>
    <xf numFmtId="3" fontId="5" fillId="0" borderId="1" xfId="3" applyNumberFormat="1" applyFont="1" applyBorder="1" applyAlignment="1">
      <alignment vertical="top"/>
    </xf>
    <xf numFmtId="0" fontId="5" fillId="0" borderId="7" xfId="3" applyFont="1" applyBorder="1" applyAlignment="1">
      <alignment vertical="top"/>
    </xf>
    <xf numFmtId="0" fontId="5" fillId="0" borderId="16" xfId="3" applyFont="1" applyBorder="1" applyAlignment="1">
      <alignment vertical="top"/>
    </xf>
    <xf numFmtId="0" fontId="19" fillId="0" borderId="13" xfId="3" applyFont="1" applyBorder="1" applyAlignment="1">
      <alignment vertical="top" wrapText="1"/>
    </xf>
    <xf numFmtId="169" fontId="20" fillId="0" borderId="14" xfId="3" applyNumberFormat="1" applyFont="1" applyBorder="1" applyAlignment="1" applyProtection="1">
      <alignment horizontal="right" vertical="top" wrapText="1"/>
      <protection locked="0"/>
    </xf>
    <xf numFmtId="0" fontId="20" fillId="0" borderId="12" xfId="3" applyFont="1" applyBorder="1" applyAlignment="1" applyProtection="1">
      <alignment horizontal="center" vertical="top" wrapText="1"/>
      <protection locked="0"/>
    </xf>
    <xf numFmtId="169" fontId="19" fillId="0" borderId="13" xfId="3" applyNumberFormat="1" applyFont="1" applyBorder="1" applyAlignment="1">
      <alignment vertical="top" wrapText="1"/>
    </xf>
    <xf numFmtId="169" fontId="21" fillId="0" borderId="12" xfId="0" applyNumberFormat="1" applyFont="1" applyBorder="1" applyAlignment="1">
      <alignment vertical="top"/>
    </xf>
    <xf numFmtId="170" fontId="21" fillId="0" borderId="19" xfId="0" applyNumberFormat="1" applyFont="1" applyBorder="1" applyAlignment="1">
      <alignment vertical="top"/>
    </xf>
    <xf numFmtId="0" fontId="16" fillId="0" borderId="11" xfId="3" applyFont="1" applyBorder="1" applyAlignment="1">
      <alignment horizontal="center" vertical="top"/>
    </xf>
    <xf numFmtId="49" fontId="6" fillId="0" borderId="14" xfId="0" quotePrefix="1" applyNumberFormat="1" applyFont="1" applyBorder="1" applyAlignment="1">
      <alignment horizontal="left" vertical="top"/>
    </xf>
    <xf numFmtId="0" fontId="6" fillId="0" borderId="0" xfId="3" applyFont="1"/>
    <xf numFmtId="0" fontId="6" fillId="0" borderId="12" xfId="0" applyFont="1" applyBorder="1" applyAlignment="1">
      <alignment horizontal="center" vertical="top"/>
    </xf>
    <xf numFmtId="2" fontId="6" fillId="0" borderId="13" xfId="3" applyNumberFormat="1" applyFont="1" applyBorder="1" applyAlignment="1">
      <alignment vertical="top"/>
    </xf>
    <xf numFmtId="4" fontId="22" fillId="0" borderId="12" xfId="3" applyNumberFormat="1" applyFont="1" applyBorder="1" applyAlignment="1">
      <alignment horizontal="center" vertical="top"/>
    </xf>
    <xf numFmtId="0" fontId="6" fillId="0" borderId="19" xfId="3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7" fillId="0" borderId="13" xfId="3" applyNumberFormat="1" applyFont="1" applyBorder="1" applyAlignment="1">
      <alignment vertical="top" wrapText="1"/>
    </xf>
    <xf numFmtId="49" fontId="7" fillId="0" borderId="12" xfId="0" quotePrefix="1" applyNumberFormat="1" applyFont="1" applyBorder="1" applyAlignment="1">
      <alignment horizontal="left" vertical="top"/>
    </xf>
    <xf numFmtId="0" fontId="5" fillId="0" borderId="12" xfId="3" applyBorder="1" applyAlignment="1" applyProtection="1">
      <alignment horizontal="left" vertical="top" wrapText="1"/>
      <protection locked="0"/>
    </xf>
    <xf numFmtId="0" fontId="7" fillId="0" borderId="12" xfId="0" applyFont="1" applyBorder="1" applyAlignment="1">
      <alignment horizontal="center" vertical="top"/>
    </xf>
    <xf numFmtId="2" fontId="7" fillId="0" borderId="12" xfId="3" applyNumberFormat="1" applyFont="1" applyBorder="1" applyAlignment="1">
      <alignment vertical="top"/>
    </xf>
    <xf numFmtId="0" fontId="5" fillId="0" borderId="12" xfId="3" applyBorder="1" applyAlignment="1">
      <alignment horizontal="center" vertical="top" wrapText="1"/>
    </xf>
    <xf numFmtId="2" fontId="5" fillId="0" borderId="12" xfId="3" applyNumberFormat="1" applyBorder="1" applyAlignment="1">
      <alignment vertical="top" wrapText="1"/>
    </xf>
    <xf numFmtId="0" fontId="5" fillId="0" borderId="12" xfId="3" applyBorder="1" applyAlignment="1">
      <alignment vertical="top"/>
    </xf>
    <xf numFmtId="0" fontId="5" fillId="0" borderId="19" xfId="3" applyBorder="1" applyAlignment="1">
      <alignment vertical="top"/>
    </xf>
    <xf numFmtId="0" fontId="7" fillId="0" borderId="14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>
      <alignment horizontal="center" vertical="top"/>
    </xf>
    <xf numFmtId="2" fontId="9" fillId="0" borderId="17" xfId="0" applyNumberFormat="1" applyFont="1" applyFill="1" applyBorder="1" applyAlignment="1">
      <alignment vertical="top" wrapText="1"/>
    </xf>
    <xf numFmtId="49" fontId="7" fillId="0" borderId="14" xfId="0" applyNumberFormat="1" applyFont="1" applyBorder="1" applyAlignment="1">
      <alignment horizontal="left" vertical="top"/>
    </xf>
    <xf numFmtId="49" fontId="6" fillId="0" borderId="14" xfId="0" applyNumberFormat="1" applyFont="1" applyBorder="1" applyAlignment="1">
      <alignment horizontal="left" vertical="top"/>
    </xf>
    <xf numFmtId="0" fontId="6" fillId="0" borderId="0" xfId="3" applyFont="1" applyBorder="1" applyAlignment="1">
      <alignment vertical="top" wrapText="1"/>
    </xf>
    <xf numFmtId="49" fontId="7" fillId="0" borderId="12" xfId="0" quotePrefix="1" applyNumberFormat="1" applyFont="1" applyFill="1" applyBorder="1" applyAlignment="1">
      <alignment horizontal="left" vertical="top"/>
    </xf>
    <xf numFmtId="49" fontId="7" fillId="0" borderId="14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center" vertical="top"/>
    </xf>
    <xf numFmtId="0" fontId="6" fillId="0" borderId="24" xfId="3" applyFont="1" applyFill="1" applyBorder="1"/>
    <xf numFmtId="0" fontId="5" fillId="0" borderId="25" xfId="3" applyFont="1" applyBorder="1"/>
    <xf numFmtId="0" fontId="7" fillId="0" borderId="25" xfId="3" applyFont="1" applyBorder="1"/>
    <xf numFmtId="4" fontId="5" fillId="0" borderId="25" xfId="3" applyNumberFormat="1" applyFont="1" applyBorder="1"/>
    <xf numFmtId="3" fontId="5" fillId="0" borderId="25" xfId="3" applyNumberFormat="1" applyFont="1" applyBorder="1"/>
    <xf numFmtId="0" fontId="5" fillId="0" borderId="18" xfId="3" applyFont="1" applyBorder="1"/>
    <xf numFmtId="0" fontId="6" fillId="0" borderId="23" xfId="3" applyFont="1" applyFill="1" applyBorder="1" applyAlignment="1">
      <alignment horizontal="left" vertical="top"/>
    </xf>
    <xf numFmtId="0" fontId="8" fillId="0" borderId="0" xfId="3" applyFont="1" applyBorder="1"/>
    <xf numFmtId="0" fontId="5" fillId="0" borderId="0" xfId="3" applyFont="1" applyBorder="1"/>
    <xf numFmtId="0" fontId="5" fillId="0" borderId="19" xfId="3" applyFont="1" applyBorder="1"/>
    <xf numFmtId="0" fontId="6" fillId="0" borderId="23" xfId="3" applyFont="1" applyFill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3" applyFont="1" applyBorder="1"/>
    <xf numFmtId="0" fontId="5" fillId="0" borderId="0" xfId="3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22" fillId="0" borderId="0" xfId="3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 wrapText="1"/>
    </xf>
    <xf numFmtId="0" fontId="5" fillId="0" borderId="23" xfId="3" applyFont="1" applyBorder="1"/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left" wrapText="1"/>
    </xf>
    <xf numFmtId="0" fontId="0" fillId="2" borderId="0" xfId="0" applyFill="1"/>
    <xf numFmtId="4" fontId="25" fillId="0" borderId="0" xfId="0" applyNumberFormat="1" applyFont="1" applyAlignment="1">
      <alignment vertical="center"/>
    </xf>
    <xf numFmtId="4" fontId="25" fillId="2" borderId="0" xfId="0" applyNumberFormat="1" applyFont="1" applyFill="1" applyAlignment="1">
      <alignment vertical="center"/>
    </xf>
    <xf numFmtId="0" fontId="6" fillId="0" borderId="11" xfId="3" applyFont="1" applyFill="1" applyBorder="1" applyAlignment="1">
      <alignment vertical="top" wrapText="1"/>
    </xf>
    <xf numFmtId="0" fontId="12" fillId="0" borderId="12" xfId="0" applyFont="1" applyFill="1" applyBorder="1" applyAlignment="1">
      <alignment vertical="top"/>
    </xf>
    <xf numFmtId="49" fontId="6" fillId="0" borderId="14" xfId="0" applyNumberFormat="1" applyFont="1" applyFill="1" applyBorder="1" applyAlignment="1">
      <alignment horizontal="left" vertical="top"/>
    </xf>
    <xf numFmtId="0" fontId="9" fillId="0" borderId="23" xfId="3" applyFont="1" applyBorder="1" applyAlignment="1">
      <alignment vertical="top"/>
    </xf>
    <xf numFmtId="0" fontId="26" fillId="0" borderId="11" xfId="3" applyFont="1" applyBorder="1" applyAlignment="1">
      <alignment horizontal="center" vertical="top"/>
    </xf>
    <xf numFmtId="0" fontId="27" fillId="0" borderId="12" xfId="3" applyFont="1" applyBorder="1" applyAlignment="1">
      <alignment horizontal="center" vertical="top" wrapText="1"/>
    </xf>
    <xf numFmtId="0" fontId="27" fillId="0" borderId="12" xfId="3" applyFont="1" applyBorder="1" applyAlignment="1" applyProtection="1">
      <alignment horizontal="left" vertical="top" wrapText="1"/>
      <protection locked="0"/>
    </xf>
    <xf numFmtId="49" fontId="9" fillId="0" borderId="14" xfId="0" quotePrefix="1" applyNumberFormat="1" applyFont="1" applyBorder="1" applyAlignment="1">
      <alignment horizontal="left" vertical="top"/>
    </xf>
    <xf numFmtId="2" fontId="7" fillId="0" borderId="13" xfId="3" applyNumberFormat="1" applyFont="1" applyFill="1" applyBorder="1" applyAlignment="1">
      <alignment vertical="top" wrapText="1"/>
    </xf>
    <xf numFmtId="2" fontId="27" fillId="0" borderId="13" xfId="3" applyNumberFormat="1" applyFont="1" applyBorder="1" applyAlignment="1">
      <alignment vertical="top" wrapText="1"/>
    </xf>
    <xf numFmtId="0" fontId="9" fillId="0" borderId="12" xfId="3" applyFont="1" applyBorder="1" applyAlignment="1">
      <alignment vertical="top"/>
    </xf>
    <xf numFmtId="0" fontId="9" fillId="0" borderId="19" xfId="3" applyFont="1" applyBorder="1" applyAlignment="1">
      <alignment vertical="top"/>
    </xf>
    <xf numFmtId="0" fontId="5" fillId="0" borderId="14" xfId="3" applyFont="1" applyBorder="1" applyAlignment="1">
      <alignment vertical="top"/>
    </xf>
    <xf numFmtId="2" fontId="7" fillId="0" borderId="12" xfId="3" applyNumberFormat="1" applyFont="1" applyFill="1" applyBorder="1" applyAlignment="1">
      <alignment vertical="top" wrapText="1"/>
    </xf>
    <xf numFmtId="49" fontId="28" fillId="0" borderId="12" xfId="0" quotePrefix="1" applyNumberFormat="1" applyFont="1" applyFill="1" applyBorder="1" applyAlignment="1">
      <alignment horizontal="left" vertical="top"/>
    </xf>
    <xf numFmtId="0" fontId="28" fillId="0" borderId="0" xfId="0" applyFont="1" applyFill="1" applyAlignment="1">
      <alignment vertical="top" wrapText="1"/>
    </xf>
    <xf numFmtId="49" fontId="7" fillId="0" borderId="1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7" fillId="0" borderId="12" xfId="0" applyFont="1" applyFill="1" applyBorder="1" applyAlignment="1">
      <alignment horizontal="center" vertical="top" wrapText="1"/>
    </xf>
    <xf numFmtId="164" fontId="28" fillId="0" borderId="0" xfId="0" applyNumberFormat="1" applyFont="1" applyFill="1" applyAlignment="1">
      <alignment wrapText="1"/>
    </xf>
    <xf numFmtId="49" fontId="6" fillId="0" borderId="12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wrapText="1"/>
    </xf>
    <xf numFmtId="49" fontId="7" fillId="0" borderId="14" xfId="3" applyNumberFormat="1" applyFont="1" applyBorder="1" applyAlignment="1">
      <alignment horizontal="left" vertical="top" wrapText="1"/>
    </xf>
    <xf numFmtId="0" fontId="10" fillId="0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29" fillId="0" borderId="11" xfId="3" applyFont="1" applyBorder="1" applyAlignment="1">
      <alignment horizontal="center" vertical="top"/>
    </xf>
    <xf numFmtId="0" fontId="30" fillId="0" borderId="12" xfId="3" applyFont="1" applyBorder="1" applyAlignment="1">
      <alignment vertical="top" wrapText="1"/>
    </xf>
    <xf numFmtId="49" fontId="31" fillId="0" borderId="12" xfId="0" quotePrefix="1" applyNumberFormat="1" applyFont="1" applyBorder="1" applyAlignment="1">
      <alignment horizontal="left" vertical="top"/>
    </xf>
    <xf numFmtId="49" fontId="31" fillId="0" borderId="14" xfId="0" applyNumberFormat="1" applyFont="1" applyBorder="1" applyAlignment="1">
      <alignment horizontal="left" vertical="top"/>
    </xf>
    <xf numFmtId="0" fontId="31" fillId="0" borderId="0" xfId="0" applyFont="1" applyBorder="1" applyAlignment="1">
      <alignment vertical="top" wrapText="1"/>
    </xf>
    <xf numFmtId="0" fontId="31" fillId="0" borderId="12" xfId="0" applyFont="1" applyBorder="1" applyAlignment="1">
      <alignment horizontal="center" vertical="top"/>
    </xf>
    <xf numFmtId="2" fontId="31" fillId="0" borderId="13" xfId="3" applyNumberFormat="1" applyFont="1" applyBorder="1" applyAlignment="1">
      <alignment vertical="top" wrapText="1"/>
    </xf>
    <xf numFmtId="0" fontId="31" fillId="0" borderId="11" xfId="3" applyFont="1" applyFill="1" applyBorder="1" applyAlignment="1">
      <alignment horizontal="center" vertical="top" wrapText="1"/>
    </xf>
    <xf numFmtId="0" fontId="32" fillId="0" borderId="13" xfId="3" applyFont="1" applyFill="1" applyBorder="1" applyAlignment="1">
      <alignment horizontal="center" vertical="top"/>
    </xf>
    <xf numFmtId="49" fontId="32" fillId="0" borderId="12" xfId="0" quotePrefix="1" applyNumberFormat="1" applyFont="1" applyFill="1" applyBorder="1" applyAlignment="1">
      <alignment horizontal="left" vertical="top"/>
    </xf>
    <xf numFmtId="49" fontId="32" fillId="0" borderId="14" xfId="0" applyNumberFormat="1" applyFont="1" applyFill="1" applyBorder="1" applyAlignment="1">
      <alignment horizontal="left" vertical="top"/>
    </xf>
    <xf numFmtId="0" fontId="32" fillId="0" borderId="0" xfId="0" applyFont="1" applyFill="1" applyBorder="1" applyAlignment="1">
      <alignment vertical="top" wrapText="1"/>
    </xf>
    <xf numFmtId="2" fontId="32" fillId="0" borderId="0" xfId="0" applyNumberFormat="1" applyFont="1" applyFill="1" applyBorder="1" applyAlignment="1">
      <alignment vertical="top" wrapText="1"/>
    </xf>
    <xf numFmtId="0" fontId="32" fillId="0" borderId="12" xfId="0" applyFont="1" applyFill="1" applyBorder="1" applyAlignment="1">
      <alignment horizontal="center" vertical="top"/>
    </xf>
    <xf numFmtId="0" fontId="30" fillId="0" borderId="0" xfId="3" applyFont="1"/>
    <xf numFmtId="2" fontId="32" fillId="0" borderId="17" xfId="0" applyNumberFormat="1" applyFont="1" applyFill="1" applyBorder="1" applyAlignment="1">
      <alignment vertical="top" wrapText="1"/>
    </xf>
    <xf numFmtId="0" fontId="32" fillId="0" borderId="0" xfId="0" applyFont="1" applyBorder="1" applyAlignment="1">
      <alignment horizontal="right" vertical="top" wrapText="1"/>
    </xf>
    <xf numFmtId="2" fontId="32" fillId="0" borderId="0" xfId="3" applyNumberFormat="1" applyFont="1" applyBorder="1" applyAlignment="1">
      <alignment horizontal="right" vertical="top" wrapText="1"/>
    </xf>
    <xf numFmtId="3" fontId="32" fillId="0" borderId="13" xfId="3" applyNumberFormat="1" applyFont="1" applyFill="1" applyBorder="1" applyAlignment="1">
      <alignment horizontal="center" vertical="top"/>
    </xf>
    <xf numFmtId="2" fontId="31" fillId="0" borderId="12" xfId="3" applyNumberFormat="1" applyFont="1" applyBorder="1" applyAlignment="1">
      <alignment vertical="top"/>
    </xf>
    <xf numFmtId="168" fontId="31" fillId="0" borderId="19" xfId="5" applyNumberFormat="1" applyFont="1" applyBorder="1" applyAlignment="1">
      <alignment vertical="top"/>
    </xf>
    <xf numFmtId="0" fontId="24" fillId="2" borderId="0" xfId="0" applyFont="1" applyFill="1" applyAlignment="1">
      <alignment horizontal="center"/>
    </xf>
    <xf numFmtId="0" fontId="7" fillId="0" borderId="0" xfId="3" applyFont="1" applyFill="1" applyAlignment="1">
      <alignment horizontal="left" wrapText="1"/>
    </xf>
    <xf numFmtId="0" fontId="7" fillId="0" borderId="0" xfId="3" applyFont="1" applyFill="1" applyAlignment="1">
      <alignment horizontal="right" wrapText="1"/>
    </xf>
    <xf numFmtId="0" fontId="5" fillId="0" borderId="18" xfId="3" quotePrefix="1" applyBorder="1" applyAlignment="1">
      <alignment horizontal="center" vertical="top" wrapText="1"/>
    </xf>
    <xf numFmtId="0" fontId="5" fillId="0" borderId="16" xfId="3" quotePrefix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/>
    </xf>
    <xf numFmtId="0" fontId="6" fillId="0" borderId="3" xfId="3" applyFont="1" applyFill="1" applyBorder="1" applyAlignment="1">
      <alignment horizontal="center" vertical="top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3" xfId="3" quotePrefix="1" applyFont="1" applyFill="1" applyBorder="1" applyAlignment="1">
      <alignment horizontal="center" vertical="center"/>
    </xf>
    <xf numFmtId="0" fontId="6" fillId="0" borderId="10" xfId="3" quotePrefix="1" applyFont="1" applyFill="1" applyBorder="1" applyAlignment="1">
      <alignment horizontal="center" vertical="center"/>
    </xf>
    <xf numFmtId="3" fontId="6" fillId="0" borderId="20" xfId="3" applyNumberFormat="1" applyFont="1" applyFill="1" applyBorder="1" applyAlignment="1">
      <alignment horizontal="center" vertical="center"/>
    </xf>
    <xf numFmtId="3" fontId="6" fillId="0" borderId="21" xfId="3" applyNumberFormat="1" applyFont="1" applyFill="1" applyBorder="1" applyAlignment="1">
      <alignment horizontal="center" vertical="center"/>
    </xf>
    <xf numFmtId="0" fontId="5" fillId="0" borderId="22" xfId="3" quotePrefix="1" applyBorder="1" applyAlignment="1">
      <alignment horizontal="center" vertical="top" wrapText="1"/>
    </xf>
    <xf numFmtId="0" fontId="5" fillId="0" borderId="7" xfId="3" quotePrefix="1" applyBorder="1" applyAlignment="1">
      <alignment horizontal="center" vertical="top" wrapText="1"/>
    </xf>
  </cellXfs>
  <cellStyles count="7">
    <cellStyle name="Čiarka 2" xfId="4"/>
    <cellStyle name="Font_Ariel_Small" xfId="5"/>
    <cellStyle name="Normálna" xfId="0" builtinId="0"/>
    <cellStyle name="Normálna 2" xfId="3"/>
    <cellStyle name="Normálna 3" xfId="6"/>
    <cellStyle name="normálne_7331-R2_Orientačný rozpočet-def_exp_nový" xfId="1"/>
    <cellStyle name="Štý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HZ">
  <a:themeElements>
    <a:clrScheme name="BHZ">
      <a:dk1>
        <a:srgbClr val="000000"/>
      </a:dk1>
      <a:lt1>
        <a:srgbClr val="FFFFFF"/>
      </a:lt1>
      <a:dk2>
        <a:srgbClr val="B46EAF"/>
      </a:dk2>
      <a:lt2>
        <a:srgbClr val="965096"/>
      </a:lt2>
      <a:accent1>
        <a:srgbClr val="82C3EB"/>
      </a:accent1>
      <a:accent2>
        <a:srgbClr val="50AAE1"/>
      </a:accent2>
      <a:accent3>
        <a:srgbClr val="A0CD5F"/>
      </a:accent3>
      <a:accent4>
        <a:srgbClr val="6EB946"/>
      </a:accent4>
      <a:accent5>
        <a:srgbClr val="F5A04B"/>
      </a:accent5>
      <a:accent6>
        <a:srgbClr val="EB6932"/>
      </a:accent6>
      <a:hlink>
        <a:srgbClr val="50AAE1"/>
      </a:hlink>
      <a:folHlink>
        <a:srgbClr val="327DAA"/>
      </a:folHlink>
    </a:clrScheme>
    <a:fontScheme name="BHZ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000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>
          <a:defRPr sz="1000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BreakPreview" zoomScale="115" zoomScaleNormal="100" zoomScaleSheetLayoutView="115" workbookViewId="0">
      <selection activeCell="D11" sqref="D11"/>
    </sheetView>
  </sheetViews>
  <sheetFormatPr defaultRowHeight="14.25" x14ac:dyDescent="0.2"/>
  <cols>
    <col min="7" max="7" width="12.75" bestFit="1" customWidth="1"/>
    <col min="9" max="9" width="11.125" bestFit="1" customWidth="1"/>
    <col min="10" max="10" width="12.75" bestFit="1" customWidth="1"/>
  </cols>
  <sheetData>
    <row r="1" spans="1:13" ht="23.25" x14ac:dyDescent="0.35">
      <c r="A1" s="216" t="s">
        <v>334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3" ht="28.5" customHeight="1" x14ac:dyDescent="0.2">
      <c r="A2" s="162" t="s">
        <v>4</v>
      </c>
      <c r="B2" s="217" t="s">
        <v>308</v>
      </c>
      <c r="C2" s="217"/>
      <c r="D2" s="217"/>
      <c r="E2" s="217"/>
      <c r="F2" s="217"/>
      <c r="G2" s="217"/>
      <c r="H2" s="217"/>
      <c r="I2" s="217"/>
      <c r="J2" s="217"/>
    </row>
    <row r="3" spans="1:13" x14ac:dyDescent="0.2">
      <c r="A3" s="162" t="s">
        <v>307</v>
      </c>
      <c r="B3" s="163"/>
      <c r="C3" s="163"/>
      <c r="D3" s="163"/>
      <c r="E3" s="163"/>
      <c r="F3" s="218" t="s">
        <v>309</v>
      </c>
      <c r="G3" s="218"/>
      <c r="H3" s="163"/>
      <c r="I3" s="218" t="s">
        <v>310</v>
      </c>
      <c r="J3" s="218"/>
    </row>
    <row r="4" spans="1:13" ht="15.75" x14ac:dyDescent="0.2">
      <c r="A4" s="166"/>
      <c r="B4" s="164"/>
      <c r="C4" s="164"/>
      <c r="D4" s="164"/>
      <c r="E4" s="164"/>
      <c r="F4" s="164"/>
      <c r="G4" s="166">
        <f>rozpocet!J280</f>
        <v>0</v>
      </c>
      <c r="H4" s="164"/>
      <c r="I4" s="164"/>
      <c r="J4" s="166">
        <f>G4*1.2</f>
        <v>0</v>
      </c>
    </row>
    <row r="12" spans="1:13" ht="15.75" x14ac:dyDescent="0.2">
      <c r="G12" s="165"/>
      <c r="H12" s="165"/>
      <c r="I12" s="165"/>
      <c r="J12" s="165"/>
      <c r="K12" s="165"/>
      <c r="L12" s="165"/>
      <c r="M12" s="165"/>
    </row>
  </sheetData>
  <mergeCells count="4">
    <mergeCell ref="A1:J1"/>
    <mergeCell ref="B2:J2"/>
    <mergeCell ref="F3:G3"/>
    <mergeCell ref="I3:J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82"/>
  <sheetViews>
    <sheetView tabSelected="1" view="pageBreakPreview" zoomScale="130" zoomScaleNormal="100" zoomScaleSheetLayoutView="130" workbookViewId="0">
      <pane ySplit="5" topLeftCell="A267" activePane="bottomLeft" state="frozen"/>
      <selection pane="bottomLeft" activeCell="D16" sqref="D16"/>
    </sheetView>
  </sheetViews>
  <sheetFormatPr defaultRowHeight="12.75" x14ac:dyDescent="0.2"/>
  <cols>
    <col min="1" max="1" width="4.125" style="6" customWidth="1"/>
    <col min="2" max="2" width="7.125" style="6" customWidth="1"/>
    <col min="3" max="3" width="7.875" style="6" customWidth="1"/>
    <col min="4" max="4" width="9.625" style="6" bestFit="1" customWidth="1"/>
    <col min="5" max="5" width="46.125" style="6" customWidth="1"/>
    <col min="6" max="6" width="8.625" style="7" customWidth="1"/>
    <col min="7" max="7" width="5" style="6" customWidth="1"/>
    <col min="8" max="8" width="7.625" style="8" customWidth="1"/>
    <col min="9" max="9" width="9" style="6"/>
    <col min="10" max="10" width="11.25" style="6" customWidth="1"/>
    <col min="11" max="256" width="9" style="6"/>
    <col min="257" max="257" width="4.125" style="6" customWidth="1"/>
    <col min="258" max="258" width="7.125" style="6" customWidth="1"/>
    <col min="259" max="259" width="7.875" style="6" customWidth="1"/>
    <col min="260" max="260" width="9.5" style="6" customWidth="1"/>
    <col min="261" max="261" width="46.125" style="6" customWidth="1"/>
    <col min="262" max="262" width="8.625" style="6" customWidth="1"/>
    <col min="263" max="263" width="5" style="6" customWidth="1"/>
    <col min="264" max="264" width="7.625" style="6" customWidth="1"/>
    <col min="265" max="512" width="9" style="6"/>
    <col min="513" max="513" width="4.125" style="6" customWidth="1"/>
    <col min="514" max="514" width="7.125" style="6" customWidth="1"/>
    <col min="515" max="515" width="7.875" style="6" customWidth="1"/>
    <col min="516" max="516" width="9.5" style="6" customWidth="1"/>
    <col min="517" max="517" width="46.125" style="6" customWidth="1"/>
    <col min="518" max="518" width="8.625" style="6" customWidth="1"/>
    <col min="519" max="519" width="5" style="6" customWidth="1"/>
    <col min="520" max="520" width="7.625" style="6" customWidth="1"/>
    <col min="521" max="768" width="9" style="6"/>
    <col min="769" max="769" width="4.125" style="6" customWidth="1"/>
    <col min="770" max="770" width="7.125" style="6" customWidth="1"/>
    <col min="771" max="771" width="7.875" style="6" customWidth="1"/>
    <col min="772" max="772" width="9.5" style="6" customWidth="1"/>
    <col min="773" max="773" width="46.125" style="6" customWidth="1"/>
    <col min="774" max="774" width="8.625" style="6" customWidth="1"/>
    <col min="775" max="775" width="5" style="6" customWidth="1"/>
    <col min="776" max="776" width="7.625" style="6" customWidth="1"/>
    <col min="777" max="1024" width="9" style="6"/>
    <col min="1025" max="1025" width="4.125" style="6" customWidth="1"/>
    <col min="1026" max="1026" width="7.125" style="6" customWidth="1"/>
    <col min="1027" max="1027" width="7.875" style="6" customWidth="1"/>
    <col min="1028" max="1028" width="9.5" style="6" customWidth="1"/>
    <col min="1029" max="1029" width="46.125" style="6" customWidth="1"/>
    <col min="1030" max="1030" width="8.625" style="6" customWidth="1"/>
    <col min="1031" max="1031" width="5" style="6" customWidth="1"/>
    <col min="1032" max="1032" width="7.625" style="6" customWidth="1"/>
    <col min="1033" max="1280" width="9" style="6"/>
    <col min="1281" max="1281" width="4.125" style="6" customWidth="1"/>
    <col min="1282" max="1282" width="7.125" style="6" customWidth="1"/>
    <col min="1283" max="1283" width="7.875" style="6" customWidth="1"/>
    <col min="1284" max="1284" width="9.5" style="6" customWidth="1"/>
    <col min="1285" max="1285" width="46.125" style="6" customWidth="1"/>
    <col min="1286" max="1286" width="8.625" style="6" customWidth="1"/>
    <col min="1287" max="1287" width="5" style="6" customWidth="1"/>
    <col min="1288" max="1288" width="7.625" style="6" customWidth="1"/>
    <col min="1289" max="1536" width="9" style="6"/>
    <col min="1537" max="1537" width="4.125" style="6" customWidth="1"/>
    <col min="1538" max="1538" width="7.125" style="6" customWidth="1"/>
    <col min="1539" max="1539" width="7.875" style="6" customWidth="1"/>
    <col min="1540" max="1540" width="9.5" style="6" customWidth="1"/>
    <col min="1541" max="1541" width="46.125" style="6" customWidth="1"/>
    <col min="1542" max="1542" width="8.625" style="6" customWidth="1"/>
    <col min="1543" max="1543" width="5" style="6" customWidth="1"/>
    <col min="1544" max="1544" width="7.625" style="6" customWidth="1"/>
    <col min="1545" max="1792" width="9" style="6"/>
    <col min="1793" max="1793" width="4.125" style="6" customWidth="1"/>
    <col min="1794" max="1794" width="7.125" style="6" customWidth="1"/>
    <col min="1795" max="1795" width="7.875" style="6" customWidth="1"/>
    <col min="1796" max="1796" width="9.5" style="6" customWidth="1"/>
    <col min="1797" max="1797" width="46.125" style="6" customWidth="1"/>
    <col min="1798" max="1798" width="8.625" style="6" customWidth="1"/>
    <col min="1799" max="1799" width="5" style="6" customWidth="1"/>
    <col min="1800" max="1800" width="7.625" style="6" customWidth="1"/>
    <col min="1801" max="2048" width="9" style="6"/>
    <col min="2049" max="2049" width="4.125" style="6" customWidth="1"/>
    <col min="2050" max="2050" width="7.125" style="6" customWidth="1"/>
    <col min="2051" max="2051" width="7.875" style="6" customWidth="1"/>
    <col min="2052" max="2052" width="9.5" style="6" customWidth="1"/>
    <col min="2053" max="2053" width="46.125" style="6" customWidth="1"/>
    <col min="2054" max="2054" width="8.625" style="6" customWidth="1"/>
    <col min="2055" max="2055" width="5" style="6" customWidth="1"/>
    <col min="2056" max="2056" width="7.625" style="6" customWidth="1"/>
    <col min="2057" max="2304" width="9" style="6"/>
    <col min="2305" max="2305" width="4.125" style="6" customWidth="1"/>
    <col min="2306" max="2306" width="7.125" style="6" customWidth="1"/>
    <col min="2307" max="2307" width="7.875" style="6" customWidth="1"/>
    <col min="2308" max="2308" width="9.5" style="6" customWidth="1"/>
    <col min="2309" max="2309" width="46.125" style="6" customWidth="1"/>
    <col min="2310" max="2310" width="8.625" style="6" customWidth="1"/>
    <col min="2311" max="2311" width="5" style="6" customWidth="1"/>
    <col min="2312" max="2312" width="7.625" style="6" customWidth="1"/>
    <col min="2313" max="2560" width="9" style="6"/>
    <col min="2561" max="2561" width="4.125" style="6" customWidth="1"/>
    <col min="2562" max="2562" width="7.125" style="6" customWidth="1"/>
    <col min="2563" max="2563" width="7.875" style="6" customWidth="1"/>
    <col min="2564" max="2564" width="9.5" style="6" customWidth="1"/>
    <col min="2565" max="2565" width="46.125" style="6" customWidth="1"/>
    <col min="2566" max="2566" width="8.625" style="6" customWidth="1"/>
    <col min="2567" max="2567" width="5" style="6" customWidth="1"/>
    <col min="2568" max="2568" width="7.625" style="6" customWidth="1"/>
    <col min="2569" max="2816" width="9" style="6"/>
    <col min="2817" max="2817" width="4.125" style="6" customWidth="1"/>
    <col min="2818" max="2818" width="7.125" style="6" customWidth="1"/>
    <col min="2819" max="2819" width="7.875" style="6" customWidth="1"/>
    <col min="2820" max="2820" width="9.5" style="6" customWidth="1"/>
    <col min="2821" max="2821" width="46.125" style="6" customWidth="1"/>
    <col min="2822" max="2822" width="8.625" style="6" customWidth="1"/>
    <col min="2823" max="2823" width="5" style="6" customWidth="1"/>
    <col min="2824" max="2824" width="7.625" style="6" customWidth="1"/>
    <col min="2825" max="3072" width="9" style="6"/>
    <col min="3073" max="3073" width="4.125" style="6" customWidth="1"/>
    <col min="3074" max="3074" width="7.125" style="6" customWidth="1"/>
    <col min="3075" max="3075" width="7.875" style="6" customWidth="1"/>
    <col min="3076" max="3076" width="9.5" style="6" customWidth="1"/>
    <col min="3077" max="3077" width="46.125" style="6" customWidth="1"/>
    <col min="3078" max="3078" width="8.625" style="6" customWidth="1"/>
    <col min="3079" max="3079" width="5" style="6" customWidth="1"/>
    <col min="3080" max="3080" width="7.625" style="6" customWidth="1"/>
    <col min="3081" max="3328" width="9" style="6"/>
    <col min="3329" max="3329" width="4.125" style="6" customWidth="1"/>
    <col min="3330" max="3330" width="7.125" style="6" customWidth="1"/>
    <col min="3331" max="3331" width="7.875" style="6" customWidth="1"/>
    <col min="3332" max="3332" width="9.5" style="6" customWidth="1"/>
    <col min="3333" max="3333" width="46.125" style="6" customWidth="1"/>
    <col min="3334" max="3334" width="8.625" style="6" customWidth="1"/>
    <col min="3335" max="3335" width="5" style="6" customWidth="1"/>
    <col min="3336" max="3336" width="7.625" style="6" customWidth="1"/>
    <col min="3337" max="3584" width="9" style="6"/>
    <col min="3585" max="3585" width="4.125" style="6" customWidth="1"/>
    <col min="3586" max="3586" width="7.125" style="6" customWidth="1"/>
    <col min="3587" max="3587" width="7.875" style="6" customWidth="1"/>
    <col min="3588" max="3588" width="9.5" style="6" customWidth="1"/>
    <col min="3589" max="3589" width="46.125" style="6" customWidth="1"/>
    <col min="3590" max="3590" width="8.625" style="6" customWidth="1"/>
    <col min="3591" max="3591" width="5" style="6" customWidth="1"/>
    <col min="3592" max="3592" width="7.625" style="6" customWidth="1"/>
    <col min="3593" max="3840" width="9" style="6"/>
    <col min="3841" max="3841" width="4.125" style="6" customWidth="1"/>
    <col min="3842" max="3842" width="7.125" style="6" customWidth="1"/>
    <col min="3843" max="3843" width="7.875" style="6" customWidth="1"/>
    <col min="3844" max="3844" width="9.5" style="6" customWidth="1"/>
    <col min="3845" max="3845" width="46.125" style="6" customWidth="1"/>
    <col min="3846" max="3846" width="8.625" style="6" customWidth="1"/>
    <col min="3847" max="3847" width="5" style="6" customWidth="1"/>
    <col min="3848" max="3848" width="7.625" style="6" customWidth="1"/>
    <col min="3849" max="4096" width="9" style="6"/>
    <col min="4097" max="4097" width="4.125" style="6" customWidth="1"/>
    <col min="4098" max="4098" width="7.125" style="6" customWidth="1"/>
    <col min="4099" max="4099" width="7.875" style="6" customWidth="1"/>
    <col min="4100" max="4100" width="9.5" style="6" customWidth="1"/>
    <col min="4101" max="4101" width="46.125" style="6" customWidth="1"/>
    <col min="4102" max="4102" width="8.625" style="6" customWidth="1"/>
    <col min="4103" max="4103" width="5" style="6" customWidth="1"/>
    <col min="4104" max="4104" width="7.625" style="6" customWidth="1"/>
    <col min="4105" max="4352" width="9" style="6"/>
    <col min="4353" max="4353" width="4.125" style="6" customWidth="1"/>
    <col min="4354" max="4354" width="7.125" style="6" customWidth="1"/>
    <col min="4355" max="4355" width="7.875" style="6" customWidth="1"/>
    <col min="4356" max="4356" width="9.5" style="6" customWidth="1"/>
    <col min="4357" max="4357" width="46.125" style="6" customWidth="1"/>
    <col min="4358" max="4358" width="8.625" style="6" customWidth="1"/>
    <col min="4359" max="4359" width="5" style="6" customWidth="1"/>
    <col min="4360" max="4360" width="7.625" style="6" customWidth="1"/>
    <col min="4361" max="4608" width="9" style="6"/>
    <col min="4609" max="4609" width="4.125" style="6" customWidth="1"/>
    <col min="4610" max="4610" width="7.125" style="6" customWidth="1"/>
    <col min="4611" max="4611" width="7.875" style="6" customWidth="1"/>
    <col min="4612" max="4612" width="9.5" style="6" customWidth="1"/>
    <col min="4613" max="4613" width="46.125" style="6" customWidth="1"/>
    <col min="4614" max="4614" width="8.625" style="6" customWidth="1"/>
    <col min="4615" max="4615" width="5" style="6" customWidth="1"/>
    <col min="4616" max="4616" width="7.625" style="6" customWidth="1"/>
    <col min="4617" max="4864" width="9" style="6"/>
    <col min="4865" max="4865" width="4.125" style="6" customWidth="1"/>
    <col min="4866" max="4866" width="7.125" style="6" customWidth="1"/>
    <col min="4867" max="4867" width="7.875" style="6" customWidth="1"/>
    <col min="4868" max="4868" width="9.5" style="6" customWidth="1"/>
    <col min="4869" max="4869" width="46.125" style="6" customWidth="1"/>
    <col min="4870" max="4870" width="8.625" style="6" customWidth="1"/>
    <col min="4871" max="4871" width="5" style="6" customWidth="1"/>
    <col min="4872" max="4872" width="7.625" style="6" customWidth="1"/>
    <col min="4873" max="5120" width="9" style="6"/>
    <col min="5121" max="5121" width="4.125" style="6" customWidth="1"/>
    <col min="5122" max="5122" width="7.125" style="6" customWidth="1"/>
    <col min="5123" max="5123" width="7.875" style="6" customWidth="1"/>
    <col min="5124" max="5124" width="9.5" style="6" customWidth="1"/>
    <col min="5125" max="5125" width="46.125" style="6" customWidth="1"/>
    <col min="5126" max="5126" width="8.625" style="6" customWidth="1"/>
    <col min="5127" max="5127" width="5" style="6" customWidth="1"/>
    <col min="5128" max="5128" width="7.625" style="6" customWidth="1"/>
    <col min="5129" max="5376" width="9" style="6"/>
    <col min="5377" max="5377" width="4.125" style="6" customWidth="1"/>
    <col min="5378" max="5378" width="7.125" style="6" customWidth="1"/>
    <col min="5379" max="5379" width="7.875" style="6" customWidth="1"/>
    <col min="5380" max="5380" width="9.5" style="6" customWidth="1"/>
    <col min="5381" max="5381" width="46.125" style="6" customWidth="1"/>
    <col min="5382" max="5382" width="8.625" style="6" customWidth="1"/>
    <col min="5383" max="5383" width="5" style="6" customWidth="1"/>
    <col min="5384" max="5384" width="7.625" style="6" customWidth="1"/>
    <col min="5385" max="5632" width="9" style="6"/>
    <col min="5633" max="5633" width="4.125" style="6" customWidth="1"/>
    <col min="5634" max="5634" width="7.125" style="6" customWidth="1"/>
    <col min="5635" max="5635" width="7.875" style="6" customWidth="1"/>
    <col min="5636" max="5636" width="9.5" style="6" customWidth="1"/>
    <col min="5637" max="5637" width="46.125" style="6" customWidth="1"/>
    <col min="5638" max="5638" width="8.625" style="6" customWidth="1"/>
    <col min="5639" max="5639" width="5" style="6" customWidth="1"/>
    <col min="5640" max="5640" width="7.625" style="6" customWidth="1"/>
    <col min="5641" max="5888" width="9" style="6"/>
    <col min="5889" max="5889" width="4.125" style="6" customWidth="1"/>
    <col min="5890" max="5890" width="7.125" style="6" customWidth="1"/>
    <col min="5891" max="5891" width="7.875" style="6" customWidth="1"/>
    <col min="5892" max="5892" width="9.5" style="6" customWidth="1"/>
    <col min="5893" max="5893" width="46.125" style="6" customWidth="1"/>
    <col min="5894" max="5894" width="8.625" style="6" customWidth="1"/>
    <col min="5895" max="5895" width="5" style="6" customWidth="1"/>
    <col min="5896" max="5896" width="7.625" style="6" customWidth="1"/>
    <col min="5897" max="6144" width="9" style="6"/>
    <col min="6145" max="6145" width="4.125" style="6" customWidth="1"/>
    <col min="6146" max="6146" width="7.125" style="6" customWidth="1"/>
    <col min="6147" max="6147" width="7.875" style="6" customWidth="1"/>
    <col min="6148" max="6148" width="9.5" style="6" customWidth="1"/>
    <col min="6149" max="6149" width="46.125" style="6" customWidth="1"/>
    <col min="6150" max="6150" width="8.625" style="6" customWidth="1"/>
    <col min="6151" max="6151" width="5" style="6" customWidth="1"/>
    <col min="6152" max="6152" width="7.625" style="6" customWidth="1"/>
    <col min="6153" max="6400" width="9" style="6"/>
    <col min="6401" max="6401" width="4.125" style="6" customWidth="1"/>
    <col min="6402" max="6402" width="7.125" style="6" customWidth="1"/>
    <col min="6403" max="6403" width="7.875" style="6" customWidth="1"/>
    <col min="6404" max="6404" width="9.5" style="6" customWidth="1"/>
    <col min="6405" max="6405" width="46.125" style="6" customWidth="1"/>
    <col min="6406" max="6406" width="8.625" style="6" customWidth="1"/>
    <col min="6407" max="6407" width="5" style="6" customWidth="1"/>
    <col min="6408" max="6408" width="7.625" style="6" customWidth="1"/>
    <col min="6409" max="6656" width="9" style="6"/>
    <col min="6657" max="6657" width="4.125" style="6" customWidth="1"/>
    <col min="6658" max="6658" width="7.125" style="6" customWidth="1"/>
    <col min="6659" max="6659" width="7.875" style="6" customWidth="1"/>
    <col min="6660" max="6660" width="9.5" style="6" customWidth="1"/>
    <col min="6661" max="6661" width="46.125" style="6" customWidth="1"/>
    <col min="6662" max="6662" width="8.625" style="6" customWidth="1"/>
    <col min="6663" max="6663" width="5" style="6" customWidth="1"/>
    <col min="6664" max="6664" width="7.625" style="6" customWidth="1"/>
    <col min="6665" max="6912" width="9" style="6"/>
    <col min="6913" max="6913" width="4.125" style="6" customWidth="1"/>
    <col min="6914" max="6914" width="7.125" style="6" customWidth="1"/>
    <col min="6915" max="6915" width="7.875" style="6" customWidth="1"/>
    <col min="6916" max="6916" width="9.5" style="6" customWidth="1"/>
    <col min="6917" max="6917" width="46.125" style="6" customWidth="1"/>
    <col min="6918" max="6918" width="8.625" style="6" customWidth="1"/>
    <col min="6919" max="6919" width="5" style="6" customWidth="1"/>
    <col min="6920" max="6920" width="7.625" style="6" customWidth="1"/>
    <col min="6921" max="7168" width="9" style="6"/>
    <col min="7169" max="7169" width="4.125" style="6" customWidth="1"/>
    <col min="7170" max="7170" width="7.125" style="6" customWidth="1"/>
    <col min="7171" max="7171" width="7.875" style="6" customWidth="1"/>
    <col min="7172" max="7172" width="9.5" style="6" customWidth="1"/>
    <col min="7173" max="7173" width="46.125" style="6" customWidth="1"/>
    <col min="7174" max="7174" width="8.625" style="6" customWidth="1"/>
    <col min="7175" max="7175" width="5" style="6" customWidth="1"/>
    <col min="7176" max="7176" width="7.625" style="6" customWidth="1"/>
    <col min="7177" max="7424" width="9" style="6"/>
    <col min="7425" max="7425" width="4.125" style="6" customWidth="1"/>
    <col min="7426" max="7426" width="7.125" style="6" customWidth="1"/>
    <col min="7427" max="7427" width="7.875" style="6" customWidth="1"/>
    <col min="7428" max="7428" width="9.5" style="6" customWidth="1"/>
    <col min="7429" max="7429" width="46.125" style="6" customWidth="1"/>
    <col min="7430" max="7430" width="8.625" style="6" customWidth="1"/>
    <col min="7431" max="7431" width="5" style="6" customWidth="1"/>
    <col min="7432" max="7432" width="7.625" style="6" customWidth="1"/>
    <col min="7433" max="7680" width="9" style="6"/>
    <col min="7681" max="7681" width="4.125" style="6" customWidth="1"/>
    <col min="7682" max="7682" width="7.125" style="6" customWidth="1"/>
    <col min="7683" max="7683" width="7.875" style="6" customWidth="1"/>
    <col min="7684" max="7684" width="9.5" style="6" customWidth="1"/>
    <col min="7685" max="7685" width="46.125" style="6" customWidth="1"/>
    <col min="7686" max="7686" width="8.625" style="6" customWidth="1"/>
    <col min="7687" max="7687" width="5" style="6" customWidth="1"/>
    <col min="7688" max="7688" width="7.625" style="6" customWidth="1"/>
    <col min="7689" max="7936" width="9" style="6"/>
    <col min="7937" max="7937" width="4.125" style="6" customWidth="1"/>
    <col min="7938" max="7938" width="7.125" style="6" customWidth="1"/>
    <col min="7939" max="7939" width="7.875" style="6" customWidth="1"/>
    <col min="7940" max="7940" width="9.5" style="6" customWidth="1"/>
    <col min="7941" max="7941" width="46.125" style="6" customWidth="1"/>
    <col min="7942" max="7942" width="8.625" style="6" customWidth="1"/>
    <col min="7943" max="7943" width="5" style="6" customWidth="1"/>
    <col min="7944" max="7944" width="7.625" style="6" customWidth="1"/>
    <col min="7945" max="8192" width="9" style="6"/>
    <col min="8193" max="8193" width="4.125" style="6" customWidth="1"/>
    <col min="8194" max="8194" width="7.125" style="6" customWidth="1"/>
    <col min="8195" max="8195" width="7.875" style="6" customWidth="1"/>
    <col min="8196" max="8196" width="9.5" style="6" customWidth="1"/>
    <col min="8197" max="8197" width="46.125" style="6" customWidth="1"/>
    <col min="8198" max="8198" width="8.625" style="6" customWidth="1"/>
    <col min="8199" max="8199" width="5" style="6" customWidth="1"/>
    <col min="8200" max="8200" width="7.625" style="6" customWidth="1"/>
    <col min="8201" max="8448" width="9" style="6"/>
    <col min="8449" max="8449" width="4.125" style="6" customWidth="1"/>
    <col min="8450" max="8450" width="7.125" style="6" customWidth="1"/>
    <col min="8451" max="8451" width="7.875" style="6" customWidth="1"/>
    <col min="8452" max="8452" width="9.5" style="6" customWidth="1"/>
    <col min="8453" max="8453" width="46.125" style="6" customWidth="1"/>
    <col min="8454" max="8454" width="8.625" style="6" customWidth="1"/>
    <col min="8455" max="8455" width="5" style="6" customWidth="1"/>
    <col min="8456" max="8456" width="7.625" style="6" customWidth="1"/>
    <col min="8457" max="8704" width="9" style="6"/>
    <col min="8705" max="8705" width="4.125" style="6" customWidth="1"/>
    <col min="8706" max="8706" width="7.125" style="6" customWidth="1"/>
    <col min="8707" max="8707" width="7.875" style="6" customWidth="1"/>
    <col min="8708" max="8708" width="9.5" style="6" customWidth="1"/>
    <col min="8709" max="8709" width="46.125" style="6" customWidth="1"/>
    <col min="8710" max="8710" width="8.625" style="6" customWidth="1"/>
    <col min="8711" max="8711" width="5" style="6" customWidth="1"/>
    <col min="8712" max="8712" width="7.625" style="6" customWidth="1"/>
    <col min="8713" max="8960" width="9" style="6"/>
    <col min="8961" max="8961" width="4.125" style="6" customWidth="1"/>
    <col min="8962" max="8962" width="7.125" style="6" customWidth="1"/>
    <col min="8963" max="8963" width="7.875" style="6" customWidth="1"/>
    <col min="8964" max="8964" width="9.5" style="6" customWidth="1"/>
    <col min="8965" max="8965" width="46.125" style="6" customWidth="1"/>
    <col min="8966" max="8966" width="8.625" style="6" customWidth="1"/>
    <col min="8967" max="8967" width="5" style="6" customWidth="1"/>
    <col min="8968" max="8968" width="7.625" style="6" customWidth="1"/>
    <col min="8969" max="9216" width="9" style="6"/>
    <col min="9217" max="9217" width="4.125" style="6" customWidth="1"/>
    <col min="9218" max="9218" width="7.125" style="6" customWidth="1"/>
    <col min="9219" max="9219" width="7.875" style="6" customWidth="1"/>
    <col min="9220" max="9220" width="9.5" style="6" customWidth="1"/>
    <col min="9221" max="9221" width="46.125" style="6" customWidth="1"/>
    <col min="9222" max="9222" width="8.625" style="6" customWidth="1"/>
    <col min="9223" max="9223" width="5" style="6" customWidth="1"/>
    <col min="9224" max="9224" width="7.625" style="6" customWidth="1"/>
    <col min="9225" max="9472" width="9" style="6"/>
    <col min="9473" max="9473" width="4.125" style="6" customWidth="1"/>
    <col min="9474" max="9474" width="7.125" style="6" customWidth="1"/>
    <col min="9475" max="9475" width="7.875" style="6" customWidth="1"/>
    <col min="9476" max="9476" width="9.5" style="6" customWidth="1"/>
    <col min="9477" max="9477" width="46.125" style="6" customWidth="1"/>
    <col min="9478" max="9478" width="8.625" style="6" customWidth="1"/>
    <col min="9479" max="9479" width="5" style="6" customWidth="1"/>
    <col min="9480" max="9480" width="7.625" style="6" customWidth="1"/>
    <col min="9481" max="9728" width="9" style="6"/>
    <col min="9729" max="9729" width="4.125" style="6" customWidth="1"/>
    <col min="9730" max="9730" width="7.125" style="6" customWidth="1"/>
    <col min="9731" max="9731" width="7.875" style="6" customWidth="1"/>
    <col min="9732" max="9732" width="9.5" style="6" customWidth="1"/>
    <col min="9733" max="9733" width="46.125" style="6" customWidth="1"/>
    <col min="9734" max="9734" width="8.625" style="6" customWidth="1"/>
    <col min="9735" max="9735" width="5" style="6" customWidth="1"/>
    <col min="9736" max="9736" width="7.625" style="6" customWidth="1"/>
    <col min="9737" max="9984" width="9" style="6"/>
    <col min="9985" max="9985" width="4.125" style="6" customWidth="1"/>
    <col min="9986" max="9986" width="7.125" style="6" customWidth="1"/>
    <col min="9987" max="9987" width="7.875" style="6" customWidth="1"/>
    <col min="9988" max="9988" width="9.5" style="6" customWidth="1"/>
    <col min="9989" max="9989" width="46.125" style="6" customWidth="1"/>
    <col min="9990" max="9990" width="8.625" style="6" customWidth="1"/>
    <col min="9991" max="9991" width="5" style="6" customWidth="1"/>
    <col min="9992" max="9992" width="7.625" style="6" customWidth="1"/>
    <col min="9993" max="10240" width="9" style="6"/>
    <col min="10241" max="10241" width="4.125" style="6" customWidth="1"/>
    <col min="10242" max="10242" width="7.125" style="6" customWidth="1"/>
    <col min="10243" max="10243" width="7.875" style="6" customWidth="1"/>
    <col min="10244" max="10244" width="9.5" style="6" customWidth="1"/>
    <col min="10245" max="10245" width="46.125" style="6" customWidth="1"/>
    <col min="10246" max="10246" width="8.625" style="6" customWidth="1"/>
    <col min="10247" max="10247" width="5" style="6" customWidth="1"/>
    <col min="10248" max="10248" width="7.625" style="6" customWidth="1"/>
    <col min="10249" max="10496" width="9" style="6"/>
    <col min="10497" max="10497" width="4.125" style="6" customWidth="1"/>
    <col min="10498" max="10498" width="7.125" style="6" customWidth="1"/>
    <col min="10499" max="10499" width="7.875" style="6" customWidth="1"/>
    <col min="10500" max="10500" width="9.5" style="6" customWidth="1"/>
    <col min="10501" max="10501" width="46.125" style="6" customWidth="1"/>
    <col min="10502" max="10502" width="8.625" style="6" customWidth="1"/>
    <col min="10503" max="10503" width="5" style="6" customWidth="1"/>
    <col min="10504" max="10504" width="7.625" style="6" customWidth="1"/>
    <col min="10505" max="10752" width="9" style="6"/>
    <col min="10753" max="10753" width="4.125" style="6" customWidth="1"/>
    <col min="10754" max="10754" width="7.125" style="6" customWidth="1"/>
    <col min="10755" max="10755" width="7.875" style="6" customWidth="1"/>
    <col min="10756" max="10756" width="9.5" style="6" customWidth="1"/>
    <col min="10757" max="10757" width="46.125" style="6" customWidth="1"/>
    <col min="10758" max="10758" width="8.625" style="6" customWidth="1"/>
    <col min="10759" max="10759" width="5" style="6" customWidth="1"/>
    <col min="10760" max="10760" width="7.625" style="6" customWidth="1"/>
    <col min="10761" max="11008" width="9" style="6"/>
    <col min="11009" max="11009" width="4.125" style="6" customWidth="1"/>
    <col min="11010" max="11010" width="7.125" style="6" customWidth="1"/>
    <col min="11011" max="11011" width="7.875" style="6" customWidth="1"/>
    <col min="11012" max="11012" width="9.5" style="6" customWidth="1"/>
    <col min="11013" max="11013" width="46.125" style="6" customWidth="1"/>
    <col min="11014" max="11014" width="8.625" style="6" customWidth="1"/>
    <col min="11015" max="11015" width="5" style="6" customWidth="1"/>
    <col min="11016" max="11016" width="7.625" style="6" customWidth="1"/>
    <col min="11017" max="11264" width="9" style="6"/>
    <col min="11265" max="11265" width="4.125" style="6" customWidth="1"/>
    <col min="11266" max="11266" width="7.125" style="6" customWidth="1"/>
    <col min="11267" max="11267" width="7.875" style="6" customWidth="1"/>
    <col min="11268" max="11268" width="9.5" style="6" customWidth="1"/>
    <col min="11269" max="11269" width="46.125" style="6" customWidth="1"/>
    <col min="11270" max="11270" width="8.625" style="6" customWidth="1"/>
    <col min="11271" max="11271" width="5" style="6" customWidth="1"/>
    <col min="11272" max="11272" width="7.625" style="6" customWidth="1"/>
    <col min="11273" max="11520" width="9" style="6"/>
    <col min="11521" max="11521" width="4.125" style="6" customWidth="1"/>
    <col min="11522" max="11522" width="7.125" style="6" customWidth="1"/>
    <col min="11523" max="11523" width="7.875" style="6" customWidth="1"/>
    <col min="11524" max="11524" width="9.5" style="6" customWidth="1"/>
    <col min="11525" max="11525" width="46.125" style="6" customWidth="1"/>
    <col min="11526" max="11526" width="8.625" style="6" customWidth="1"/>
    <col min="11527" max="11527" width="5" style="6" customWidth="1"/>
    <col min="11528" max="11528" width="7.625" style="6" customWidth="1"/>
    <col min="11529" max="11776" width="9" style="6"/>
    <col min="11777" max="11777" width="4.125" style="6" customWidth="1"/>
    <col min="11778" max="11778" width="7.125" style="6" customWidth="1"/>
    <col min="11779" max="11779" width="7.875" style="6" customWidth="1"/>
    <col min="11780" max="11780" width="9.5" style="6" customWidth="1"/>
    <col min="11781" max="11781" width="46.125" style="6" customWidth="1"/>
    <col min="11782" max="11782" width="8.625" style="6" customWidth="1"/>
    <col min="11783" max="11783" width="5" style="6" customWidth="1"/>
    <col min="11784" max="11784" width="7.625" style="6" customWidth="1"/>
    <col min="11785" max="12032" width="9" style="6"/>
    <col min="12033" max="12033" width="4.125" style="6" customWidth="1"/>
    <col min="12034" max="12034" width="7.125" style="6" customWidth="1"/>
    <col min="12035" max="12035" width="7.875" style="6" customWidth="1"/>
    <col min="12036" max="12036" width="9.5" style="6" customWidth="1"/>
    <col min="12037" max="12037" width="46.125" style="6" customWidth="1"/>
    <col min="12038" max="12038" width="8.625" style="6" customWidth="1"/>
    <col min="12039" max="12039" width="5" style="6" customWidth="1"/>
    <col min="12040" max="12040" width="7.625" style="6" customWidth="1"/>
    <col min="12041" max="12288" width="9" style="6"/>
    <col min="12289" max="12289" width="4.125" style="6" customWidth="1"/>
    <col min="12290" max="12290" width="7.125" style="6" customWidth="1"/>
    <col min="12291" max="12291" width="7.875" style="6" customWidth="1"/>
    <col min="12292" max="12292" width="9.5" style="6" customWidth="1"/>
    <col min="12293" max="12293" width="46.125" style="6" customWidth="1"/>
    <col min="12294" max="12294" width="8.625" style="6" customWidth="1"/>
    <col min="12295" max="12295" width="5" style="6" customWidth="1"/>
    <col min="12296" max="12296" width="7.625" style="6" customWidth="1"/>
    <col min="12297" max="12544" width="9" style="6"/>
    <col min="12545" max="12545" width="4.125" style="6" customWidth="1"/>
    <col min="12546" max="12546" width="7.125" style="6" customWidth="1"/>
    <col min="12547" max="12547" width="7.875" style="6" customWidth="1"/>
    <col min="12548" max="12548" width="9.5" style="6" customWidth="1"/>
    <col min="12549" max="12549" width="46.125" style="6" customWidth="1"/>
    <col min="12550" max="12550" width="8.625" style="6" customWidth="1"/>
    <col min="12551" max="12551" width="5" style="6" customWidth="1"/>
    <col min="12552" max="12552" width="7.625" style="6" customWidth="1"/>
    <col min="12553" max="12800" width="9" style="6"/>
    <col min="12801" max="12801" width="4.125" style="6" customWidth="1"/>
    <col min="12802" max="12802" width="7.125" style="6" customWidth="1"/>
    <col min="12803" max="12803" width="7.875" style="6" customWidth="1"/>
    <col min="12804" max="12804" width="9.5" style="6" customWidth="1"/>
    <col min="12805" max="12805" width="46.125" style="6" customWidth="1"/>
    <col min="12806" max="12806" width="8.625" style="6" customWidth="1"/>
    <col min="12807" max="12807" width="5" style="6" customWidth="1"/>
    <col min="12808" max="12808" width="7.625" style="6" customWidth="1"/>
    <col min="12809" max="13056" width="9" style="6"/>
    <col min="13057" max="13057" width="4.125" style="6" customWidth="1"/>
    <col min="13058" max="13058" width="7.125" style="6" customWidth="1"/>
    <col min="13059" max="13059" width="7.875" style="6" customWidth="1"/>
    <col min="13060" max="13060" width="9.5" style="6" customWidth="1"/>
    <col min="13061" max="13061" width="46.125" style="6" customWidth="1"/>
    <col min="13062" max="13062" width="8.625" style="6" customWidth="1"/>
    <col min="13063" max="13063" width="5" style="6" customWidth="1"/>
    <col min="13064" max="13064" width="7.625" style="6" customWidth="1"/>
    <col min="13065" max="13312" width="9" style="6"/>
    <col min="13313" max="13313" width="4.125" style="6" customWidth="1"/>
    <col min="13314" max="13314" width="7.125" style="6" customWidth="1"/>
    <col min="13315" max="13315" width="7.875" style="6" customWidth="1"/>
    <col min="13316" max="13316" width="9.5" style="6" customWidth="1"/>
    <col min="13317" max="13317" width="46.125" style="6" customWidth="1"/>
    <col min="13318" max="13318" width="8.625" style="6" customWidth="1"/>
    <col min="13319" max="13319" width="5" style="6" customWidth="1"/>
    <col min="13320" max="13320" width="7.625" style="6" customWidth="1"/>
    <col min="13321" max="13568" width="9" style="6"/>
    <col min="13569" max="13569" width="4.125" style="6" customWidth="1"/>
    <col min="13570" max="13570" width="7.125" style="6" customWidth="1"/>
    <col min="13571" max="13571" width="7.875" style="6" customWidth="1"/>
    <col min="13572" max="13572" width="9.5" style="6" customWidth="1"/>
    <col min="13573" max="13573" width="46.125" style="6" customWidth="1"/>
    <col min="13574" max="13574" width="8.625" style="6" customWidth="1"/>
    <col min="13575" max="13575" width="5" style="6" customWidth="1"/>
    <col min="13576" max="13576" width="7.625" style="6" customWidth="1"/>
    <col min="13577" max="13824" width="9" style="6"/>
    <col min="13825" max="13825" width="4.125" style="6" customWidth="1"/>
    <col min="13826" max="13826" width="7.125" style="6" customWidth="1"/>
    <col min="13827" max="13827" width="7.875" style="6" customWidth="1"/>
    <col min="13828" max="13828" width="9.5" style="6" customWidth="1"/>
    <col min="13829" max="13829" width="46.125" style="6" customWidth="1"/>
    <col min="13830" max="13830" width="8.625" style="6" customWidth="1"/>
    <col min="13831" max="13831" width="5" style="6" customWidth="1"/>
    <col min="13832" max="13832" width="7.625" style="6" customWidth="1"/>
    <col min="13833" max="14080" width="9" style="6"/>
    <col min="14081" max="14081" width="4.125" style="6" customWidth="1"/>
    <col min="14082" max="14082" width="7.125" style="6" customWidth="1"/>
    <col min="14083" max="14083" width="7.875" style="6" customWidth="1"/>
    <col min="14084" max="14084" width="9.5" style="6" customWidth="1"/>
    <col min="14085" max="14085" width="46.125" style="6" customWidth="1"/>
    <col min="14086" max="14086" width="8.625" style="6" customWidth="1"/>
    <col min="14087" max="14087" width="5" style="6" customWidth="1"/>
    <col min="14088" max="14088" width="7.625" style="6" customWidth="1"/>
    <col min="14089" max="14336" width="9" style="6"/>
    <col min="14337" max="14337" width="4.125" style="6" customWidth="1"/>
    <col min="14338" max="14338" width="7.125" style="6" customWidth="1"/>
    <col min="14339" max="14339" width="7.875" style="6" customWidth="1"/>
    <col min="14340" max="14340" width="9.5" style="6" customWidth="1"/>
    <col min="14341" max="14341" width="46.125" style="6" customWidth="1"/>
    <col min="14342" max="14342" width="8.625" style="6" customWidth="1"/>
    <col min="14343" max="14343" width="5" style="6" customWidth="1"/>
    <col min="14344" max="14344" width="7.625" style="6" customWidth="1"/>
    <col min="14345" max="14592" width="9" style="6"/>
    <col min="14593" max="14593" width="4.125" style="6" customWidth="1"/>
    <col min="14594" max="14594" width="7.125" style="6" customWidth="1"/>
    <col min="14595" max="14595" width="7.875" style="6" customWidth="1"/>
    <col min="14596" max="14596" width="9.5" style="6" customWidth="1"/>
    <col min="14597" max="14597" width="46.125" style="6" customWidth="1"/>
    <col min="14598" max="14598" width="8.625" style="6" customWidth="1"/>
    <col min="14599" max="14599" width="5" style="6" customWidth="1"/>
    <col min="14600" max="14600" width="7.625" style="6" customWidth="1"/>
    <col min="14601" max="14848" width="9" style="6"/>
    <col min="14849" max="14849" width="4.125" style="6" customWidth="1"/>
    <col min="14850" max="14850" width="7.125" style="6" customWidth="1"/>
    <col min="14851" max="14851" width="7.875" style="6" customWidth="1"/>
    <col min="14852" max="14852" width="9.5" style="6" customWidth="1"/>
    <col min="14853" max="14853" width="46.125" style="6" customWidth="1"/>
    <col min="14854" max="14854" width="8.625" style="6" customWidth="1"/>
    <col min="14855" max="14855" width="5" style="6" customWidth="1"/>
    <col min="14856" max="14856" width="7.625" style="6" customWidth="1"/>
    <col min="14857" max="15104" width="9" style="6"/>
    <col min="15105" max="15105" width="4.125" style="6" customWidth="1"/>
    <col min="15106" max="15106" width="7.125" style="6" customWidth="1"/>
    <col min="15107" max="15107" width="7.875" style="6" customWidth="1"/>
    <col min="15108" max="15108" width="9.5" style="6" customWidth="1"/>
    <col min="15109" max="15109" width="46.125" style="6" customWidth="1"/>
    <col min="15110" max="15110" width="8.625" style="6" customWidth="1"/>
    <col min="15111" max="15111" width="5" style="6" customWidth="1"/>
    <col min="15112" max="15112" width="7.625" style="6" customWidth="1"/>
    <col min="15113" max="15360" width="9" style="6"/>
    <col min="15361" max="15361" width="4.125" style="6" customWidth="1"/>
    <col min="15362" max="15362" width="7.125" style="6" customWidth="1"/>
    <col min="15363" max="15363" width="7.875" style="6" customWidth="1"/>
    <col min="15364" max="15364" width="9.5" style="6" customWidth="1"/>
    <col min="15365" max="15365" width="46.125" style="6" customWidth="1"/>
    <col min="15366" max="15366" width="8.625" style="6" customWidth="1"/>
    <col min="15367" max="15367" width="5" style="6" customWidth="1"/>
    <col min="15368" max="15368" width="7.625" style="6" customWidth="1"/>
    <col min="15369" max="15616" width="9" style="6"/>
    <col min="15617" max="15617" width="4.125" style="6" customWidth="1"/>
    <col min="15618" max="15618" width="7.125" style="6" customWidth="1"/>
    <col min="15619" max="15619" width="7.875" style="6" customWidth="1"/>
    <col min="15620" max="15620" width="9.5" style="6" customWidth="1"/>
    <col min="15621" max="15621" width="46.125" style="6" customWidth="1"/>
    <col min="15622" max="15622" width="8.625" style="6" customWidth="1"/>
    <col min="15623" max="15623" width="5" style="6" customWidth="1"/>
    <col min="15624" max="15624" width="7.625" style="6" customWidth="1"/>
    <col min="15625" max="15872" width="9" style="6"/>
    <col min="15873" max="15873" width="4.125" style="6" customWidth="1"/>
    <col min="15874" max="15874" width="7.125" style="6" customWidth="1"/>
    <col min="15875" max="15875" width="7.875" style="6" customWidth="1"/>
    <col min="15876" max="15876" width="9.5" style="6" customWidth="1"/>
    <col min="15877" max="15877" width="46.125" style="6" customWidth="1"/>
    <col min="15878" max="15878" width="8.625" style="6" customWidth="1"/>
    <col min="15879" max="15879" width="5" style="6" customWidth="1"/>
    <col min="15880" max="15880" width="7.625" style="6" customWidth="1"/>
    <col min="15881" max="16128" width="9" style="6"/>
    <col min="16129" max="16129" width="4.125" style="6" customWidth="1"/>
    <col min="16130" max="16130" width="7.125" style="6" customWidth="1"/>
    <col min="16131" max="16131" width="7.875" style="6" customWidth="1"/>
    <col min="16132" max="16132" width="9.5" style="6" customWidth="1"/>
    <col min="16133" max="16133" width="46.125" style="6" customWidth="1"/>
    <col min="16134" max="16134" width="8.625" style="6" customWidth="1"/>
    <col min="16135" max="16135" width="5" style="6" customWidth="1"/>
    <col min="16136" max="16136" width="7.625" style="6" customWidth="1"/>
    <col min="16137" max="16384" width="9" style="6"/>
  </cols>
  <sheetData>
    <row r="1" spans="1:15" x14ac:dyDescent="0.2">
      <c r="A1" s="143" t="s">
        <v>4</v>
      </c>
      <c r="B1" s="144"/>
      <c r="C1" s="144"/>
      <c r="D1" s="144"/>
      <c r="E1" s="145" t="s">
        <v>278</v>
      </c>
      <c r="F1" s="146"/>
      <c r="G1" s="144"/>
      <c r="H1" s="147"/>
      <c r="I1" s="144"/>
      <c r="J1" s="148"/>
    </row>
    <row r="2" spans="1:15" x14ac:dyDescent="0.2">
      <c r="A2" s="149" t="s">
        <v>5</v>
      </c>
      <c r="B2" s="9"/>
      <c r="C2" s="10"/>
      <c r="D2" s="11"/>
      <c r="E2" s="150" t="s">
        <v>279</v>
      </c>
      <c r="F2" s="12"/>
      <c r="G2" s="13"/>
      <c r="H2" s="14"/>
      <c r="I2" s="151"/>
      <c r="J2" s="152"/>
    </row>
    <row r="3" spans="1:15" ht="13.5" thickBot="1" x14ac:dyDescent="0.25">
      <c r="A3" s="153" t="s">
        <v>6</v>
      </c>
      <c r="B3" s="9"/>
      <c r="C3" s="10"/>
      <c r="D3" s="11"/>
      <c r="E3" s="15">
        <v>2111</v>
      </c>
      <c r="F3" s="12"/>
      <c r="G3" s="13"/>
      <c r="H3" s="16"/>
      <c r="I3" s="151"/>
      <c r="J3" s="152"/>
    </row>
    <row r="4" spans="1:15" x14ac:dyDescent="0.2">
      <c r="A4" s="221" t="s">
        <v>7</v>
      </c>
      <c r="B4" s="222"/>
      <c r="C4" s="222"/>
      <c r="D4" s="17"/>
      <c r="E4" s="223" t="s">
        <v>8</v>
      </c>
      <c r="F4" s="224"/>
      <c r="G4" s="227" t="s">
        <v>9</v>
      </c>
      <c r="H4" s="229" t="s">
        <v>10</v>
      </c>
      <c r="I4" s="231" t="s">
        <v>280</v>
      </c>
      <c r="J4" s="219" t="s">
        <v>281</v>
      </c>
    </row>
    <row r="5" spans="1:15" ht="15.75" thickBot="1" x14ac:dyDescent="0.25">
      <c r="A5" s="18" t="s">
        <v>11</v>
      </c>
      <c r="B5" s="19" t="s">
        <v>12</v>
      </c>
      <c r="C5" s="19" t="s">
        <v>13</v>
      </c>
      <c r="D5" s="19" t="s">
        <v>14</v>
      </c>
      <c r="E5" s="225"/>
      <c r="F5" s="226"/>
      <c r="G5" s="228"/>
      <c r="H5" s="230"/>
      <c r="I5" s="232"/>
      <c r="J5" s="220"/>
      <c r="L5" s="1"/>
      <c r="M5" s="3"/>
      <c r="N5" s="3"/>
      <c r="O5" s="3"/>
    </row>
    <row r="6" spans="1:15" ht="25.5" x14ac:dyDescent="0.2">
      <c r="A6" s="22"/>
      <c r="B6" s="71" t="s">
        <v>223</v>
      </c>
      <c r="C6" s="72"/>
      <c r="D6" s="73"/>
      <c r="E6" s="80" t="s">
        <v>224</v>
      </c>
      <c r="F6" s="84"/>
      <c r="G6" s="85"/>
      <c r="H6" s="86"/>
      <c r="I6" s="28"/>
      <c r="J6" s="87"/>
      <c r="L6" s="1"/>
      <c r="M6" s="1"/>
      <c r="N6" s="1"/>
      <c r="O6" s="1"/>
    </row>
    <row r="7" spans="1:15" ht="25.5" x14ac:dyDescent="0.2">
      <c r="A7" s="195">
        <f>MAX(A$2:A3)+1</f>
        <v>1</v>
      </c>
      <c r="B7" s="196"/>
      <c r="C7" s="197" t="s">
        <v>335</v>
      </c>
      <c r="D7" s="198"/>
      <c r="E7" s="199" t="s">
        <v>336</v>
      </c>
      <c r="F7" s="199"/>
      <c r="G7" s="200" t="s">
        <v>112</v>
      </c>
      <c r="H7" s="201">
        <f>F12</f>
        <v>1825.1975312500003</v>
      </c>
      <c r="I7" s="214">
        <v>0</v>
      </c>
      <c r="J7" s="215">
        <f>ROUND(I7,2)*H7</f>
        <v>0</v>
      </c>
      <c r="L7" s="1"/>
      <c r="M7" s="1"/>
      <c r="N7" s="1"/>
      <c r="O7" s="1"/>
    </row>
    <row r="8" spans="1:15" ht="14.25" x14ac:dyDescent="0.2">
      <c r="A8" s="202"/>
      <c r="B8" s="203"/>
      <c r="C8" s="204"/>
      <c r="D8" s="205"/>
      <c r="E8" s="206" t="s">
        <v>337</v>
      </c>
      <c r="F8" s="207">
        <f>F20*0.4</f>
        <v>512.41300000000001</v>
      </c>
      <c r="G8" s="208" t="s">
        <v>112</v>
      </c>
      <c r="H8" s="209"/>
      <c r="I8" s="28"/>
      <c r="J8" s="87"/>
      <c r="L8" s="1"/>
      <c r="M8" s="1"/>
      <c r="N8" s="1"/>
      <c r="O8" s="1"/>
    </row>
    <row r="9" spans="1:15" ht="14.25" x14ac:dyDescent="0.2">
      <c r="A9" s="202"/>
      <c r="B9" s="203"/>
      <c r="C9" s="204"/>
      <c r="D9" s="205"/>
      <c r="E9" s="206" t="s">
        <v>338</v>
      </c>
      <c r="F9" s="207">
        <f>F24*0.5</f>
        <v>691.06453124999996</v>
      </c>
      <c r="G9" s="208" t="s">
        <v>112</v>
      </c>
      <c r="H9" s="209"/>
      <c r="I9" s="28"/>
      <c r="J9" s="87"/>
      <c r="L9" s="1"/>
      <c r="M9" s="1"/>
      <c r="N9" s="1"/>
      <c r="O9" s="1"/>
    </row>
    <row r="10" spans="1:15" ht="14.25" x14ac:dyDescent="0.2">
      <c r="A10" s="202"/>
      <c r="B10" s="203"/>
      <c r="C10" s="204"/>
      <c r="D10" s="205"/>
      <c r="E10" s="206" t="s">
        <v>339</v>
      </c>
      <c r="F10" s="207">
        <f>F73*1.8</f>
        <v>359.64000000000004</v>
      </c>
      <c r="G10" s="208" t="s">
        <v>112</v>
      </c>
      <c r="H10" s="209"/>
      <c r="I10" s="28"/>
      <c r="J10" s="87"/>
      <c r="L10" s="1"/>
      <c r="M10" s="1"/>
      <c r="N10" s="1"/>
      <c r="O10" s="1"/>
    </row>
    <row r="11" spans="1:15" ht="14.25" x14ac:dyDescent="0.2">
      <c r="A11" s="202"/>
      <c r="B11" s="203"/>
      <c r="C11" s="204"/>
      <c r="D11" s="205"/>
      <c r="E11" s="206" t="s">
        <v>340</v>
      </c>
      <c r="F11" s="210">
        <f>F179*0.14*2.4</f>
        <v>262.08000000000004</v>
      </c>
      <c r="G11" s="208" t="s">
        <v>112</v>
      </c>
      <c r="H11" s="209"/>
      <c r="I11" s="28"/>
      <c r="J11" s="87"/>
      <c r="L11" s="1"/>
      <c r="M11" s="1"/>
      <c r="N11" s="1"/>
      <c r="O11" s="1"/>
    </row>
    <row r="12" spans="1:15" ht="14.25" x14ac:dyDescent="0.2">
      <c r="A12" s="202"/>
      <c r="B12" s="203"/>
      <c r="C12" s="204"/>
      <c r="D12" s="205"/>
      <c r="E12" s="211" t="s">
        <v>158</v>
      </c>
      <c r="F12" s="212">
        <f>SUM(F8:F11)</f>
        <v>1825.1975312500003</v>
      </c>
      <c r="G12" s="208" t="s">
        <v>112</v>
      </c>
      <c r="H12" s="213"/>
      <c r="I12" s="28"/>
      <c r="J12" s="87"/>
      <c r="L12" s="1"/>
      <c r="M12" s="1"/>
      <c r="N12" s="1"/>
      <c r="O12" s="1"/>
    </row>
    <row r="13" spans="1:15" ht="14.25" x14ac:dyDescent="0.2">
      <c r="A13" s="22"/>
      <c r="B13" s="71"/>
      <c r="C13" s="72"/>
      <c r="D13" s="73"/>
      <c r="E13" s="80"/>
      <c r="F13" s="84"/>
      <c r="G13" s="85"/>
      <c r="H13" s="86"/>
      <c r="I13" s="28"/>
      <c r="J13" s="87"/>
      <c r="L13" s="1"/>
      <c r="M13" s="1"/>
      <c r="N13" s="1"/>
      <c r="O13" s="1"/>
    </row>
    <row r="14" spans="1:15" s="117" customFormat="1" ht="14.25" x14ac:dyDescent="0.2">
      <c r="A14" s="27">
        <f>MAX(A$2:A13)+1</f>
        <v>2</v>
      </c>
      <c r="B14" s="42"/>
      <c r="C14" s="125" t="s">
        <v>225</v>
      </c>
      <c r="D14" s="136"/>
      <c r="E14" s="154" t="s">
        <v>226</v>
      </c>
      <c r="F14" s="154"/>
      <c r="G14" s="127" t="s">
        <v>39</v>
      </c>
      <c r="H14" s="124">
        <f>F15</f>
        <v>3736.2566486741284</v>
      </c>
      <c r="I14" s="128">
        <v>0</v>
      </c>
      <c r="J14" s="83">
        <f>ROUND(I14,2)*H14</f>
        <v>0</v>
      </c>
      <c r="L14" s="1"/>
      <c r="M14" s="1"/>
      <c r="N14" s="1"/>
      <c r="O14" s="1"/>
    </row>
    <row r="15" spans="1:15" ht="14.25" x14ac:dyDescent="0.2">
      <c r="A15" s="22"/>
      <c r="B15" s="88"/>
      <c r="C15" s="74"/>
      <c r="D15" s="75"/>
      <c r="E15" s="81" t="s">
        <v>227</v>
      </c>
      <c r="F15" s="82">
        <f>F92+F94+F97+F99</f>
        <v>3736.2566486741284</v>
      </c>
      <c r="G15" s="76" t="s">
        <v>39</v>
      </c>
      <c r="H15" s="89"/>
      <c r="I15" s="28"/>
      <c r="J15" s="87"/>
      <c r="L15" s="1"/>
      <c r="M15" s="1"/>
      <c r="N15" s="1"/>
      <c r="O15" s="1"/>
    </row>
    <row r="16" spans="1:15" ht="14.25" x14ac:dyDescent="0.2">
      <c r="A16" s="22"/>
      <c r="B16" s="67"/>
      <c r="C16" s="24"/>
      <c r="D16" s="68"/>
      <c r="E16" s="69"/>
      <c r="F16" s="90"/>
      <c r="G16" s="70"/>
      <c r="H16" s="91"/>
      <c r="I16" s="28"/>
      <c r="J16" s="87"/>
      <c r="L16" s="1"/>
      <c r="M16" s="1"/>
      <c r="N16" s="1"/>
      <c r="O16" s="1"/>
    </row>
    <row r="17" spans="1:15" ht="14.25" x14ac:dyDescent="0.2">
      <c r="A17" s="22"/>
      <c r="B17" s="23" t="s">
        <v>15</v>
      </c>
      <c r="C17" s="24"/>
      <c r="D17" s="24"/>
      <c r="E17" s="25" t="s">
        <v>16</v>
      </c>
      <c r="F17" s="90"/>
      <c r="G17" s="26"/>
      <c r="H17" s="91"/>
      <c r="I17" s="28"/>
      <c r="J17" s="87"/>
      <c r="L17" s="1"/>
      <c r="M17" s="1"/>
      <c r="N17" s="4"/>
      <c r="O17" s="1"/>
    </row>
    <row r="18" spans="1:15" s="117" customFormat="1" ht="25.5" x14ac:dyDescent="0.2">
      <c r="A18" s="27">
        <f>MAX(A$2:A17)+1</f>
        <v>3</v>
      </c>
      <c r="B18" s="42"/>
      <c r="C18" s="125" t="s">
        <v>17</v>
      </c>
      <c r="D18" s="136"/>
      <c r="E18" s="154" t="s">
        <v>18</v>
      </c>
      <c r="F18" s="154"/>
      <c r="G18" s="127" t="s">
        <v>19</v>
      </c>
      <c r="H18" s="124">
        <f>F20</f>
        <v>1281.0325</v>
      </c>
      <c r="I18" s="128">
        <v>0</v>
      </c>
      <c r="J18" s="83">
        <f>ROUND(I18,2)*H18</f>
        <v>0</v>
      </c>
      <c r="L18" s="1"/>
      <c r="M18" s="1"/>
      <c r="N18" s="1"/>
      <c r="O18" s="1"/>
    </row>
    <row r="19" spans="1:15" s="117" customFormat="1" ht="25.5" x14ac:dyDescent="0.2">
      <c r="A19" s="115"/>
      <c r="B19" s="20"/>
      <c r="C19" s="20"/>
      <c r="D19" s="116" t="s">
        <v>20</v>
      </c>
      <c r="E19" s="155" t="s">
        <v>21</v>
      </c>
      <c r="F19" s="156"/>
      <c r="G19" s="118" t="s">
        <v>19</v>
      </c>
      <c r="H19" s="119">
        <f>F20</f>
        <v>1281.0325</v>
      </c>
      <c r="I19" s="120"/>
      <c r="J19" s="121"/>
      <c r="L19" s="122"/>
      <c r="M19" s="122"/>
      <c r="N19" s="123"/>
      <c r="O19" s="122"/>
    </row>
    <row r="20" spans="1:15" ht="14.25" x14ac:dyDescent="0.2">
      <c r="A20" s="22"/>
      <c r="B20" s="88"/>
      <c r="C20" s="74"/>
      <c r="D20" s="75"/>
      <c r="E20" s="81" t="s">
        <v>283</v>
      </c>
      <c r="F20" s="82">
        <f>((1.18)*(2.87)+(1.19)*(2.87+3.24)+(1.12)*(3.24+9.26)+(1.08)*(9.26+12.5)+(1.08)*25+(1.02)*25+(1.16)*25+(1.15)*25+(1.29)*25+(0.96)*25+(1.05)*(12.5+6.73)+(1.15)*(6.73+5.77)+(1.21)*5.77)/0.2</f>
        <v>1281.0325</v>
      </c>
      <c r="G20" s="76" t="s">
        <v>19</v>
      </c>
      <c r="H20" s="89"/>
      <c r="I20" s="28"/>
      <c r="J20" s="87"/>
      <c r="L20" s="1"/>
      <c r="M20" s="1"/>
      <c r="N20" s="1"/>
      <c r="O20" s="1"/>
    </row>
    <row r="21" spans="1:15" ht="14.25" x14ac:dyDescent="0.2">
      <c r="A21" s="27"/>
      <c r="B21" s="28"/>
      <c r="C21" s="28"/>
      <c r="D21" s="30"/>
      <c r="E21" s="31"/>
      <c r="F21" s="90"/>
      <c r="G21" s="32"/>
      <c r="H21" s="92"/>
      <c r="I21" s="28"/>
      <c r="J21" s="87"/>
      <c r="L21" s="1"/>
      <c r="M21" s="2"/>
      <c r="N21" s="4"/>
      <c r="O21" s="1"/>
    </row>
    <row r="22" spans="1:15" s="117" customFormat="1" ht="25.5" x14ac:dyDescent="0.2">
      <c r="A22" s="27">
        <f>MAX(A$2:A21)+1</f>
        <v>4</v>
      </c>
      <c r="B22" s="42"/>
      <c r="C22" s="125" t="s">
        <v>22</v>
      </c>
      <c r="D22" s="136"/>
      <c r="E22" s="154" t="s">
        <v>23</v>
      </c>
      <c r="F22" s="154"/>
      <c r="G22" s="127" t="s">
        <v>19</v>
      </c>
      <c r="H22" s="124">
        <f>F24</f>
        <v>1382.1290624999999</v>
      </c>
      <c r="I22" s="128">
        <v>0</v>
      </c>
      <c r="J22" s="83">
        <f>ROUND(I22,2)*H22</f>
        <v>0</v>
      </c>
      <c r="L22" s="1"/>
      <c r="M22" s="1"/>
      <c r="N22" s="1"/>
      <c r="O22" s="1"/>
    </row>
    <row r="23" spans="1:15" s="117" customFormat="1" ht="25.5" x14ac:dyDescent="0.2">
      <c r="A23" s="115"/>
      <c r="B23" s="20"/>
      <c r="C23" s="20"/>
      <c r="D23" s="116" t="s">
        <v>24</v>
      </c>
      <c r="E23" s="155" t="s">
        <v>25</v>
      </c>
      <c r="F23" s="156"/>
      <c r="G23" s="118" t="s">
        <v>19</v>
      </c>
      <c r="H23" s="119">
        <f>F24</f>
        <v>1382.1290624999999</v>
      </c>
      <c r="I23" s="120"/>
      <c r="J23" s="121"/>
      <c r="L23" s="122"/>
      <c r="M23" s="122"/>
      <c r="N23" s="123"/>
      <c r="O23" s="122"/>
    </row>
    <row r="24" spans="1:15" ht="14.25" x14ac:dyDescent="0.2">
      <c r="A24" s="22"/>
      <c r="B24" s="88"/>
      <c r="C24" s="74"/>
      <c r="D24" s="75"/>
      <c r="E24" s="81" t="s">
        <v>284</v>
      </c>
      <c r="F24" s="82">
        <f>((2.13)*(2.87)+(2.5)*(2.87+3.24)+(1.93)*(3.24+9.26)+(2.93)*(9.26+12.5)+(2.38)*25+(1.68)*25+(1.52)*25+(1.64)*25+(1.52)*25+(0.87)*25+(1.94)*(12.5+6.73)+(2.47)*(6.73+5.77)+(4.26)*5.77)/0.32</f>
        <v>1382.1290624999999</v>
      </c>
      <c r="G24" s="76" t="s">
        <v>19</v>
      </c>
      <c r="H24" s="89"/>
      <c r="I24" s="28"/>
      <c r="J24" s="87"/>
      <c r="L24" s="1"/>
      <c r="M24" s="1"/>
      <c r="N24" s="1"/>
      <c r="O24" s="1"/>
    </row>
    <row r="25" spans="1:15" ht="14.25" x14ac:dyDescent="0.2">
      <c r="A25" s="22"/>
      <c r="B25" s="88"/>
      <c r="C25" s="74"/>
      <c r="D25" s="75"/>
      <c r="E25" s="81"/>
      <c r="F25" s="82"/>
      <c r="G25" s="76"/>
      <c r="H25" s="89"/>
      <c r="I25" s="28"/>
      <c r="J25" s="87"/>
      <c r="L25" s="1"/>
      <c r="M25" s="1"/>
      <c r="N25" s="1"/>
      <c r="O25" s="1"/>
    </row>
    <row r="26" spans="1:15" s="117" customFormat="1" ht="14.25" x14ac:dyDescent="0.2">
      <c r="A26" s="27">
        <f>MAX(A$14:A24)+1</f>
        <v>5</v>
      </c>
      <c r="B26" s="42"/>
      <c r="C26" s="125" t="s">
        <v>288</v>
      </c>
      <c r="D26" s="136"/>
      <c r="E26" s="154" t="s">
        <v>289</v>
      </c>
      <c r="F26" s="154"/>
      <c r="G26" s="127" t="s">
        <v>112</v>
      </c>
      <c r="H26" s="124">
        <f>H27</f>
        <v>1825.1975312500003</v>
      </c>
      <c r="I26" s="128">
        <v>0</v>
      </c>
      <c r="J26" s="83">
        <f>ROUND(I26,2)*H26</f>
        <v>0</v>
      </c>
      <c r="L26" s="1"/>
      <c r="M26" s="1"/>
      <c r="N26" s="1"/>
      <c r="O26" s="1"/>
    </row>
    <row r="27" spans="1:15" ht="14.25" x14ac:dyDescent="0.2">
      <c r="A27" s="115"/>
      <c r="B27" s="129"/>
      <c r="C27" s="126"/>
      <c r="D27" s="116" t="s">
        <v>290</v>
      </c>
      <c r="E27" s="155" t="s">
        <v>291</v>
      </c>
      <c r="F27" s="157"/>
      <c r="G27" s="118" t="s">
        <v>112</v>
      </c>
      <c r="H27" s="130">
        <f>F33</f>
        <v>1825.1975312500003</v>
      </c>
      <c r="I27" s="131"/>
      <c r="J27" s="132"/>
      <c r="L27" s="1"/>
      <c r="M27" s="1"/>
      <c r="N27" s="1"/>
      <c r="O27" s="1"/>
    </row>
    <row r="28" spans="1:15" ht="14.25" x14ac:dyDescent="0.2">
      <c r="A28" s="22"/>
      <c r="B28" s="88"/>
      <c r="C28" s="74"/>
      <c r="D28" s="75"/>
      <c r="E28" s="81" t="s">
        <v>175</v>
      </c>
      <c r="F28" s="82">
        <f>F20*0.4</f>
        <v>512.41300000000001</v>
      </c>
      <c r="G28" s="76" t="s">
        <v>112</v>
      </c>
      <c r="H28" s="89"/>
      <c r="I28" s="28"/>
      <c r="J28" s="87"/>
      <c r="L28" s="1"/>
      <c r="M28" s="1"/>
      <c r="N28" s="1"/>
      <c r="O28" s="1"/>
    </row>
    <row r="29" spans="1:15" ht="14.25" x14ac:dyDescent="0.2">
      <c r="A29" s="22"/>
      <c r="B29" s="88"/>
      <c r="C29" s="74"/>
      <c r="D29" s="75"/>
      <c r="E29" s="81" t="s">
        <v>176</v>
      </c>
      <c r="F29" s="82">
        <f>F24*0.5</f>
        <v>691.06453124999996</v>
      </c>
      <c r="G29" s="76" t="s">
        <v>112</v>
      </c>
      <c r="H29" s="89"/>
      <c r="I29" s="28"/>
      <c r="J29" s="87"/>
      <c r="L29" s="1"/>
      <c r="M29" s="1"/>
      <c r="N29" s="1"/>
      <c r="O29" s="1"/>
    </row>
    <row r="30" spans="1:15" ht="14.25" x14ac:dyDescent="0.2">
      <c r="A30" s="22"/>
      <c r="B30" s="88"/>
      <c r="C30" s="74"/>
      <c r="D30" s="75"/>
      <c r="E30" s="81" t="s">
        <v>177</v>
      </c>
      <c r="F30" s="82">
        <f>F73*1.8</f>
        <v>359.64000000000004</v>
      </c>
      <c r="G30" s="76" t="s">
        <v>112</v>
      </c>
      <c r="H30" s="89"/>
      <c r="I30" s="28"/>
      <c r="J30" s="87"/>
      <c r="L30" s="1"/>
      <c r="M30" s="1"/>
      <c r="N30" s="1"/>
      <c r="O30" s="1"/>
    </row>
    <row r="31" spans="1:15" ht="14.25" x14ac:dyDescent="0.2">
      <c r="A31" s="22"/>
      <c r="B31" s="88"/>
      <c r="C31" s="74"/>
      <c r="D31" s="75"/>
      <c r="E31" s="81" t="s">
        <v>178</v>
      </c>
      <c r="F31" s="135">
        <f>F179*0.14*2.4</f>
        <v>262.08000000000004</v>
      </c>
      <c r="G31" s="76" t="s">
        <v>112</v>
      </c>
      <c r="H31" s="89"/>
      <c r="I31" s="28"/>
      <c r="J31" s="87"/>
      <c r="L31" s="1"/>
      <c r="M31" s="1"/>
      <c r="N31" s="1"/>
      <c r="O31" s="1"/>
    </row>
    <row r="32" spans="1:15" ht="14.25" x14ac:dyDescent="0.2">
      <c r="A32" s="27"/>
      <c r="B32" s="33"/>
      <c r="C32" s="133"/>
      <c r="D32" s="30"/>
      <c r="E32" s="158" t="s">
        <v>292</v>
      </c>
      <c r="F32" s="159"/>
      <c r="G32" s="134"/>
      <c r="H32" s="93"/>
      <c r="I32" s="28"/>
      <c r="J32" s="87"/>
      <c r="L32" s="1"/>
      <c r="M32" s="1"/>
      <c r="N32" s="4"/>
      <c r="O32" s="1"/>
    </row>
    <row r="33" spans="1:15" ht="14.25" x14ac:dyDescent="0.2">
      <c r="A33" s="27"/>
      <c r="B33" s="33"/>
      <c r="C33" s="133"/>
      <c r="D33" s="30"/>
      <c r="E33" s="160" t="s">
        <v>158</v>
      </c>
      <c r="F33" s="159">
        <f>SUM(F28:F31)</f>
        <v>1825.1975312500003</v>
      </c>
      <c r="G33" s="134" t="s">
        <v>112</v>
      </c>
      <c r="H33" s="93"/>
      <c r="I33" s="28"/>
      <c r="J33" s="87"/>
      <c r="L33" s="1"/>
      <c r="M33" s="1"/>
      <c r="N33" s="4"/>
      <c r="O33" s="1"/>
    </row>
    <row r="34" spans="1:15" ht="14.25" x14ac:dyDescent="0.2">
      <c r="A34" s="27"/>
      <c r="B34" s="33"/>
      <c r="C34" s="133"/>
      <c r="D34" s="30"/>
      <c r="E34" s="81"/>
      <c r="F34" s="90"/>
      <c r="G34" s="32"/>
      <c r="H34" s="93"/>
      <c r="I34" s="28"/>
      <c r="J34" s="87"/>
      <c r="L34" s="1"/>
      <c r="M34" s="1"/>
      <c r="N34" s="4"/>
      <c r="O34" s="1"/>
    </row>
    <row r="35" spans="1:15" ht="14.25" x14ac:dyDescent="0.2">
      <c r="A35" s="27"/>
      <c r="B35" s="36" t="s">
        <v>82</v>
      </c>
      <c r="C35" s="40"/>
      <c r="D35" s="41"/>
      <c r="E35" s="60" t="s">
        <v>83</v>
      </c>
      <c r="F35" s="90"/>
      <c r="G35" s="32"/>
      <c r="H35" s="93"/>
      <c r="I35" s="28"/>
      <c r="J35" s="87"/>
      <c r="L35" s="1"/>
      <c r="M35" s="1"/>
      <c r="N35" s="4"/>
      <c r="O35" s="1"/>
    </row>
    <row r="36" spans="1:15" s="117" customFormat="1" ht="14.25" x14ac:dyDescent="0.2">
      <c r="A36" s="27">
        <f>MAX(A$2:A35)+1</f>
        <v>6</v>
      </c>
      <c r="B36" s="42"/>
      <c r="C36" s="125" t="s">
        <v>229</v>
      </c>
      <c r="D36" s="136"/>
      <c r="E36" s="154" t="s">
        <v>230</v>
      </c>
      <c r="F36" s="154"/>
      <c r="G36" s="127" t="s">
        <v>19</v>
      </c>
      <c r="H36" s="124">
        <f>H37</f>
        <v>810</v>
      </c>
      <c r="I36" s="128">
        <v>0</v>
      </c>
      <c r="J36" s="83">
        <f>ROUND(I36,2)*H36</f>
        <v>0</v>
      </c>
      <c r="L36" s="1"/>
      <c r="M36" s="1"/>
      <c r="N36" s="1"/>
      <c r="O36" s="1"/>
    </row>
    <row r="37" spans="1:15" s="117" customFormat="1" ht="14.25" x14ac:dyDescent="0.2">
      <c r="A37" s="115"/>
      <c r="B37" s="20"/>
      <c r="C37" s="20"/>
      <c r="D37" s="116" t="s">
        <v>231</v>
      </c>
      <c r="E37" s="155" t="s">
        <v>232</v>
      </c>
      <c r="F37" s="156"/>
      <c r="G37" s="118" t="s">
        <v>19</v>
      </c>
      <c r="H37" s="119">
        <v>810</v>
      </c>
      <c r="I37" s="120"/>
      <c r="J37" s="121"/>
      <c r="L37" s="122"/>
      <c r="M37" s="122"/>
      <c r="N37" s="123"/>
      <c r="O37" s="122"/>
    </row>
    <row r="38" spans="1:15" ht="14.25" x14ac:dyDescent="0.2">
      <c r="A38" s="27"/>
      <c r="B38" s="36"/>
      <c r="C38" s="40"/>
      <c r="D38" s="41"/>
      <c r="E38" s="60"/>
      <c r="F38" s="94"/>
      <c r="G38" s="32"/>
      <c r="H38" s="91"/>
      <c r="I38" s="28"/>
      <c r="J38" s="87"/>
      <c r="L38" s="1"/>
      <c r="M38" s="1"/>
      <c r="N38" s="4"/>
      <c r="O38" s="1"/>
    </row>
    <row r="39" spans="1:15" s="117" customFormat="1" ht="14.25" x14ac:dyDescent="0.2">
      <c r="A39" s="27">
        <f>MAX(A$2:A38)+1</f>
        <v>7</v>
      </c>
      <c r="B39" s="42"/>
      <c r="C39" s="125" t="s">
        <v>233</v>
      </c>
      <c r="D39" s="136"/>
      <c r="E39" s="154" t="s">
        <v>234</v>
      </c>
      <c r="F39" s="154"/>
      <c r="G39" s="127" t="s">
        <v>125</v>
      </c>
      <c r="H39" s="124">
        <f>H40+H41+H42</f>
        <v>167</v>
      </c>
      <c r="I39" s="128">
        <v>0</v>
      </c>
      <c r="J39" s="83">
        <f>ROUND(I39,2)*H39</f>
        <v>0</v>
      </c>
      <c r="L39" s="1"/>
      <c r="M39" s="1"/>
      <c r="N39" s="1"/>
      <c r="O39" s="1"/>
    </row>
    <row r="40" spans="1:15" ht="14.25" x14ac:dyDescent="0.2">
      <c r="A40" s="79"/>
      <c r="B40" s="36"/>
      <c r="C40" s="40"/>
      <c r="D40" s="30" t="s">
        <v>235</v>
      </c>
      <c r="E40" s="31" t="s">
        <v>236</v>
      </c>
      <c r="F40" s="31"/>
      <c r="G40" s="32" t="s">
        <v>125</v>
      </c>
      <c r="H40" s="95">
        <v>6</v>
      </c>
      <c r="I40" s="28"/>
      <c r="J40" s="87"/>
      <c r="L40" s="1"/>
      <c r="M40" s="1"/>
      <c r="N40" s="4"/>
      <c r="O40" s="1"/>
    </row>
    <row r="41" spans="1:15" ht="14.25" x14ac:dyDescent="0.2">
      <c r="A41" s="79"/>
      <c r="B41" s="36"/>
      <c r="C41" s="40"/>
      <c r="D41" s="30" t="s">
        <v>237</v>
      </c>
      <c r="E41" s="31" t="s">
        <v>238</v>
      </c>
      <c r="F41" s="31"/>
      <c r="G41" s="32" t="s">
        <v>125</v>
      </c>
      <c r="H41" s="95">
        <v>158</v>
      </c>
      <c r="I41" s="28"/>
      <c r="J41" s="87"/>
      <c r="L41" s="1"/>
      <c r="M41" s="1"/>
      <c r="N41" s="4"/>
      <c r="O41" s="1"/>
    </row>
    <row r="42" spans="1:15" ht="14.25" x14ac:dyDescent="0.2">
      <c r="A42" s="27"/>
      <c r="B42" s="36"/>
      <c r="C42" s="40"/>
      <c r="D42" s="30" t="s">
        <v>239</v>
      </c>
      <c r="E42" s="31" t="s">
        <v>240</v>
      </c>
      <c r="F42" s="31"/>
      <c r="G42" s="32" t="s">
        <v>125</v>
      </c>
      <c r="H42" s="95">
        <v>3</v>
      </c>
      <c r="I42" s="28"/>
      <c r="J42" s="87"/>
      <c r="L42" s="1"/>
      <c r="M42" s="1"/>
      <c r="N42" s="4"/>
      <c r="O42" s="1"/>
    </row>
    <row r="43" spans="1:15" ht="14.25" x14ac:dyDescent="0.2">
      <c r="A43" s="27"/>
      <c r="B43" s="36"/>
      <c r="C43" s="40"/>
      <c r="D43" s="30"/>
      <c r="E43" s="31"/>
      <c r="F43" s="31"/>
      <c r="G43" s="32"/>
      <c r="H43" s="91"/>
      <c r="I43" s="28"/>
      <c r="J43" s="87"/>
      <c r="L43" s="1"/>
      <c r="M43" s="1"/>
      <c r="N43" s="4"/>
      <c r="O43" s="1"/>
    </row>
    <row r="44" spans="1:15" s="117" customFormat="1" ht="14.25" x14ac:dyDescent="0.2">
      <c r="A44" s="27">
        <f>MAX(A$2:A43)+1</f>
        <v>8</v>
      </c>
      <c r="B44" s="42"/>
      <c r="C44" s="125" t="s">
        <v>241</v>
      </c>
      <c r="D44" s="136"/>
      <c r="E44" s="154" t="s">
        <v>242</v>
      </c>
      <c r="F44" s="154"/>
      <c r="G44" s="127" t="s">
        <v>125</v>
      </c>
      <c r="H44" s="124">
        <f>H45+H46+H47</f>
        <v>167</v>
      </c>
      <c r="I44" s="128">
        <v>0</v>
      </c>
      <c r="J44" s="83">
        <f>ROUND(I44,2)*H44</f>
        <v>0</v>
      </c>
      <c r="L44" s="1"/>
      <c r="M44" s="1"/>
      <c r="N44" s="1"/>
      <c r="O44" s="1"/>
    </row>
    <row r="45" spans="1:15" ht="14.25" x14ac:dyDescent="0.2">
      <c r="A45" s="79"/>
      <c r="B45" s="36"/>
      <c r="C45" s="40"/>
      <c r="D45" s="30" t="s">
        <v>243</v>
      </c>
      <c r="E45" s="31" t="s">
        <v>244</v>
      </c>
      <c r="F45" s="31"/>
      <c r="G45" s="32" t="s">
        <v>125</v>
      </c>
      <c r="H45" s="95">
        <v>6</v>
      </c>
      <c r="I45" s="28"/>
      <c r="J45" s="87"/>
      <c r="L45" s="1"/>
      <c r="M45" s="1"/>
      <c r="N45" s="4"/>
      <c r="O45" s="1"/>
    </row>
    <row r="46" spans="1:15" ht="14.25" x14ac:dyDescent="0.2">
      <c r="A46" s="79"/>
      <c r="B46" s="36"/>
      <c r="C46" s="40"/>
      <c r="D46" s="30" t="s">
        <v>245</v>
      </c>
      <c r="E46" s="31" t="s">
        <v>246</v>
      </c>
      <c r="F46" s="31"/>
      <c r="G46" s="32" t="s">
        <v>125</v>
      </c>
      <c r="H46" s="95">
        <v>158</v>
      </c>
      <c r="I46" s="28"/>
      <c r="J46" s="87"/>
      <c r="L46" s="1"/>
      <c r="M46" s="1"/>
      <c r="N46" s="4"/>
      <c r="O46" s="1"/>
    </row>
    <row r="47" spans="1:15" ht="14.25" x14ac:dyDescent="0.2">
      <c r="A47" s="27"/>
      <c r="B47" s="36"/>
      <c r="C47" s="40"/>
      <c r="D47" s="30" t="s">
        <v>247</v>
      </c>
      <c r="E47" s="31" t="s">
        <v>248</v>
      </c>
      <c r="F47" s="31"/>
      <c r="G47" s="32" t="s">
        <v>125</v>
      </c>
      <c r="H47" s="95">
        <v>3</v>
      </c>
      <c r="I47" s="28"/>
      <c r="J47" s="87"/>
      <c r="L47" s="1"/>
      <c r="M47" s="1"/>
      <c r="N47" s="4"/>
      <c r="O47" s="1"/>
    </row>
    <row r="48" spans="1:15" ht="14.25" x14ac:dyDescent="0.2">
      <c r="A48" s="27"/>
      <c r="B48" s="36"/>
      <c r="C48" s="40"/>
      <c r="D48" s="41"/>
      <c r="E48" s="60"/>
      <c r="F48" s="90"/>
      <c r="G48" s="32"/>
      <c r="H48" s="93"/>
      <c r="I48" s="28"/>
      <c r="J48" s="87"/>
      <c r="L48" s="1"/>
      <c r="M48" s="1"/>
      <c r="N48" s="4"/>
      <c r="O48" s="1"/>
    </row>
    <row r="49" spans="1:15" s="117" customFormat="1" ht="25.5" x14ac:dyDescent="0.2">
      <c r="A49" s="27">
        <f>MAX(A$2:A48)+1</f>
        <v>9</v>
      </c>
      <c r="B49" s="42"/>
      <c r="C49" s="125" t="s">
        <v>84</v>
      </c>
      <c r="D49" s="136"/>
      <c r="E49" s="154" t="s">
        <v>85</v>
      </c>
      <c r="F49" s="154"/>
      <c r="G49" s="127" t="s">
        <v>19</v>
      </c>
      <c r="H49" s="124">
        <f>H50</f>
        <v>1988.7329000000002</v>
      </c>
      <c r="I49" s="128">
        <v>0</v>
      </c>
      <c r="J49" s="83">
        <f>ROUND(I49,2)*H49</f>
        <v>0</v>
      </c>
      <c r="L49" s="1"/>
      <c r="M49" s="1"/>
      <c r="N49" s="1"/>
      <c r="O49" s="1"/>
    </row>
    <row r="50" spans="1:15" s="117" customFormat="1" ht="25.5" x14ac:dyDescent="0.2">
      <c r="A50" s="115"/>
      <c r="B50" s="20"/>
      <c r="C50" s="20"/>
      <c r="D50" s="116" t="s">
        <v>86</v>
      </c>
      <c r="E50" s="155" t="s">
        <v>87</v>
      </c>
      <c r="F50" s="156"/>
      <c r="G50" s="118" t="s">
        <v>19</v>
      </c>
      <c r="H50" s="119">
        <f>F51</f>
        <v>1988.7329000000002</v>
      </c>
      <c r="I50" s="120"/>
      <c r="J50" s="121"/>
      <c r="L50" s="122"/>
      <c r="M50" s="122"/>
      <c r="N50" s="123"/>
      <c r="O50" s="122"/>
    </row>
    <row r="51" spans="1:15" ht="14.25" x14ac:dyDescent="0.2">
      <c r="A51" s="22"/>
      <c r="B51" s="88"/>
      <c r="C51" s="74"/>
      <c r="D51" s="75"/>
      <c r="E51" s="158" t="s">
        <v>285</v>
      </c>
      <c r="F51" s="82">
        <f>(7.28)*(2.87)+(8.21)*(2.87+3.24)+(7.56)*(3.24+9.26)+(9.3)*(9.26+12.5)+(8.72)*25+(8.56)*25+(8.63)*25+(8.33)*25+(8.45)*25+(8.74)*25+(8.74)*(12.5+6.73)+(9.02)*(6.73+5.77)+(9.4)*5.77</f>
        <v>1988.7329000000002</v>
      </c>
      <c r="G51" s="76" t="s">
        <v>19</v>
      </c>
      <c r="H51" s="89"/>
      <c r="I51" s="28"/>
      <c r="J51" s="87"/>
      <c r="L51" s="1"/>
      <c r="M51" s="1"/>
      <c r="N51" s="1"/>
      <c r="O51" s="1"/>
    </row>
    <row r="52" spans="1:15" ht="14.25" x14ac:dyDescent="0.2">
      <c r="A52" s="27"/>
      <c r="B52" s="33"/>
      <c r="C52" s="35"/>
      <c r="D52" s="30"/>
      <c r="E52" s="31"/>
      <c r="F52" s="90"/>
      <c r="G52" s="32"/>
      <c r="H52" s="93"/>
      <c r="I52" s="28"/>
      <c r="J52" s="87"/>
      <c r="L52" s="1"/>
      <c r="M52" s="1"/>
      <c r="N52" s="4"/>
      <c r="O52" s="1"/>
    </row>
    <row r="53" spans="1:15" s="117" customFormat="1" ht="25.5" x14ac:dyDescent="0.2">
      <c r="A53" s="27">
        <f>MAX(A$2:A52)+1</f>
        <v>10</v>
      </c>
      <c r="B53" s="42"/>
      <c r="C53" s="125" t="s">
        <v>88</v>
      </c>
      <c r="D53" s="136"/>
      <c r="E53" s="154" t="s">
        <v>89</v>
      </c>
      <c r="F53" s="154"/>
      <c r="G53" s="127" t="s">
        <v>19</v>
      </c>
      <c r="H53" s="124">
        <f>H54</f>
        <v>22.125</v>
      </c>
      <c r="I53" s="128">
        <v>0</v>
      </c>
      <c r="J53" s="83">
        <f>ROUND(I53,2)*H53</f>
        <v>0</v>
      </c>
      <c r="L53" s="1"/>
      <c r="M53" s="1"/>
      <c r="N53" s="1"/>
      <c r="O53" s="1"/>
    </row>
    <row r="54" spans="1:15" s="117" customFormat="1" ht="25.5" x14ac:dyDescent="0.2">
      <c r="A54" s="115"/>
      <c r="B54" s="20"/>
      <c r="C54" s="20"/>
      <c r="D54" s="116" t="s">
        <v>90</v>
      </c>
      <c r="E54" s="155" t="s">
        <v>91</v>
      </c>
      <c r="F54" s="156"/>
      <c r="G54" s="118" t="s">
        <v>19</v>
      </c>
      <c r="H54" s="119">
        <f>F55</f>
        <v>22.125</v>
      </c>
      <c r="I54" s="120"/>
      <c r="J54" s="121"/>
      <c r="L54" s="122"/>
      <c r="M54" s="122"/>
      <c r="N54" s="123"/>
      <c r="O54" s="122"/>
    </row>
    <row r="55" spans="1:15" ht="14.25" x14ac:dyDescent="0.2">
      <c r="A55" s="22"/>
      <c r="B55" s="88"/>
      <c r="C55" s="74"/>
      <c r="D55" s="75"/>
      <c r="E55" s="158" t="s">
        <v>286</v>
      </c>
      <c r="F55" s="82">
        <f>(1.77)*(3.24+9.26)</f>
        <v>22.125</v>
      </c>
      <c r="G55" s="76" t="s">
        <v>19</v>
      </c>
      <c r="H55" s="89"/>
      <c r="I55" s="28"/>
      <c r="J55" s="87"/>
      <c r="L55" s="1"/>
      <c r="M55" s="1"/>
      <c r="N55" s="1"/>
      <c r="O55" s="1"/>
    </row>
    <row r="56" spans="1:15" ht="14.25" x14ac:dyDescent="0.2">
      <c r="A56" s="27"/>
      <c r="B56" s="33"/>
      <c r="C56" s="61"/>
      <c r="D56" s="30"/>
      <c r="E56" s="31"/>
      <c r="F56" s="90"/>
      <c r="G56" s="32"/>
      <c r="H56" s="93"/>
      <c r="I56" s="28"/>
      <c r="J56" s="87"/>
      <c r="L56" s="1"/>
      <c r="M56" s="1"/>
      <c r="N56" s="4"/>
      <c r="O56" s="1"/>
    </row>
    <row r="57" spans="1:15" ht="14.25" x14ac:dyDescent="0.2">
      <c r="A57" s="27"/>
      <c r="B57" s="36" t="s">
        <v>145</v>
      </c>
      <c r="C57" s="40"/>
      <c r="D57" s="41"/>
      <c r="E57" s="60" t="s">
        <v>146</v>
      </c>
      <c r="F57" s="90"/>
      <c r="G57" s="32"/>
      <c r="H57" s="93"/>
      <c r="I57" s="28"/>
      <c r="J57" s="87"/>
      <c r="L57" s="1"/>
      <c r="M57" s="1"/>
      <c r="N57" s="4"/>
      <c r="O57" s="1"/>
    </row>
    <row r="58" spans="1:15" s="117" customFormat="1" ht="14.25" x14ac:dyDescent="0.2">
      <c r="A58" s="27">
        <f>MAX(A$2:A57)+1</f>
        <v>11</v>
      </c>
      <c r="B58" s="42"/>
      <c r="C58" s="125" t="s">
        <v>147</v>
      </c>
      <c r="D58" s="136"/>
      <c r="E58" s="154" t="s">
        <v>148</v>
      </c>
      <c r="F58" s="154"/>
      <c r="G58" s="127" t="s">
        <v>39</v>
      </c>
      <c r="H58" s="124">
        <f>H59</f>
        <v>1148.9070980719025</v>
      </c>
      <c r="I58" s="128">
        <v>0</v>
      </c>
      <c r="J58" s="83">
        <f>ROUND(I58,2)*H58</f>
        <v>0</v>
      </c>
      <c r="L58" s="1"/>
      <c r="M58" s="1"/>
      <c r="N58" s="1"/>
      <c r="O58" s="1"/>
    </row>
    <row r="59" spans="1:15" s="117" customFormat="1" ht="25.5" x14ac:dyDescent="0.2">
      <c r="A59" s="115"/>
      <c r="B59" s="20"/>
      <c r="C59" s="20"/>
      <c r="D59" s="116" t="s">
        <v>149</v>
      </c>
      <c r="E59" s="155" t="s">
        <v>150</v>
      </c>
      <c r="F59" s="156"/>
      <c r="G59" s="118" t="s">
        <v>39</v>
      </c>
      <c r="H59" s="119">
        <f>F60</f>
        <v>1148.9070980719025</v>
      </c>
      <c r="I59" s="120"/>
      <c r="J59" s="121"/>
      <c r="L59" s="122"/>
      <c r="M59" s="122"/>
      <c r="N59" s="123"/>
      <c r="O59" s="122"/>
    </row>
    <row r="60" spans="1:15" ht="14.25" x14ac:dyDescent="0.2">
      <c r="A60" s="22"/>
      <c r="B60" s="88"/>
      <c r="C60" s="74"/>
      <c r="D60" s="75"/>
      <c r="E60" s="158" t="s">
        <v>287</v>
      </c>
      <c r="F60" s="82">
        <f>(2437*SQRT(2)+1625*SQRT(2))*0.2</f>
        <v>1148.9070980719025</v>
      </c>
      <c r="G60" s="76" t="s">
        <v>39</v>
      </c>
      <c r="H60" s="89"/>
      <c r="I60" s="28"/>
      <c r="J60" s="87"/>
      <c r="L60" s="1"/>
      <c r="M60" s="1"/>
      <c r="N60" s="1"/>
      <c r="O60" s="1"/>
    </row>
    <row r="61" spans="1:15" ht="14.25" x14ac:dyDescent="0.2">
      <c r="A61" s="43"/>
      <c r="B61" s="33"/>
      <c r="C61" s="35"/>
      <c r="D61" s="34"/>
      <c r="E61" s="96"/>
      <c r="F61" s="90"/>
      <c r="G61" s="26"/>
      <c r="H61" s="93"/>
      <c r="I61" s="28"/>
      <c r="J61" s="87"/>
      <c r="L61" s="1"/>
      <c r="M61" s="2"/>
      <c r="N61" s="4"/>
      <c r="O61" s="1"/>
    </row>
    <row r="62" spans="1:15" ht="14.25" x14ac:dyDescent="0.2">
      <c r="A62" s="43"/>
      <c r="B62" s="36" t="s">
        <v>27</v>
      </c>
      <c r="C62" s="97"/>
      <c r="D62" s="98"/>
      <c r="E62" s="25" t="s">
        <v>28</v>
      </c>
      <c r="F62" s="90"/>
      <c r="G62" s="37"/>
      <c r="H62" s="93"/>
      <c r="I62" s="28"/>
      <c r="J62" s="87"/>
      <c r="L62" s="1"/>
      <c r="M62" s="1"/>
      <c r="N62" s="4"/>
      <c r="O62" s="1"/>
    </row>
    <row r="63" spans="1:15" s="117" customFormat="1" ht="25.5" x14ac:dyDescent="0.2">
      <c r="A63" s="27">
        <f>MAX(A$2:A62)+1</f>
        <v>12</v>
      </c>
      <c r="B63" s="42"/>
      <c r="C63" s="125" t="s">
        <v>29</v>
      </c>
      <c r="D63" s="136"/>
      <c r="E63" s="154" t="s">
        <v>30</v>
      </c>
      <c r="F63" s="154"/>
      <c r="G63" s="127" t="s">
        <v>19</v>
      </c>
      <c r="H63" s="124">
        <f>H64</f>
        <v>3076.1237442320653</v>
      </c>
      <c r="I63" s="128">
        <v>0</v>
      </c>
      <c r="J63" s="83">
        <f>ROUND(I63,2)*H63</f>
        <v>0</v>
      </c>
      <c r="L63" s="1"/>
      <c r="M63" s="1"/>
      <c r="N63" s="1"/>
      <c r="O63" s="1"/>
    </row>
    <row r="64" spans="1:15" s="117" customFormat="1" ht="25.5" x14ac:dyDescent="0.2">
      <c r="A64" s="115"/>
      <c r="B64" s="20"/>
      <c r="C64" s="20"/>
      <c r="D64" s="116" t="s">
        <v>31</v>
      </c>
      <c r="E64" s="155" t="s">
        <v>32</v>
      </c>
      <c r="F64" s="156"/>
      <c r="G64" s="118" t="s">
        <v>19</v>
      </c>
      <c r="H64" s="119">
        <f>F65</f>
        <v>3076.1237442320653</v>
      </c>
      <c r="I64" s="120"/>
      <c r="J64" s="121"/>
      <c r="L64" s="122"/>
      <c r="M64" s="122"/>
      <c r="N64" s="123"/>
      <c r="O64" s="122"/>
    </row>
    <row r="65" spans="1:15" ht="14.25" x14ac:dyDescent="0.2">
      <c r="A65" s="22"/>
      <c r="B65" s="88"/>
      <c r="C65" s="74"/>
      <c r="D65" s="75"/>
      <c r="E65" s="158" t="s">
        <v>293</v>
      </c>
      <c r="F65" s="82">
        <f>(((1950.9/COS(RADIANS(45)))+(1950.9/COS(RADIANS(33.69))))/2)+251.8/COS(RADIANS(31))+197.6/COS(RADIANS(31))</f>
        <v>3076.1237442320653</v>
      </c>
      <c r="G65" s="76" t="s">
        <v>19</v>
      </c>
      <c r="H65" s="89"/>
      <c r="I65" s="28"/>
      <c r="J65" s="87"/>
      <c r="L65" s="1"/>
      <c r="M65" s="1"/>
      <c r="N65" s="1"/>
      <c r="O65" s="1"/>
    </row>
    <row r="66" spans="1:15" ht="14.25" x14ac:dyDescent="0.2">
      <c r="A66" s="99"/>
      <c r="B66" s="28"/>
      <c r="C66" s="29"/>
      <c r="D66" s="30"/>
      <c r="E66" s="31"/>
      <c r="F66" s="90"/>
      <c r="G66" s="32"/>
      <c r="H66" s="93"/>
      <c r="I66" s="28"/>
      <c r="J66" s="87"/>
      <c r="L66" s="1"/>
      <c r="M66" s="1"/>
      <c r="N66" s="4"/>
      <c r="O66" s="1"/>
    </row>
    <row r="67" spans="1:15" s="117" customFormat="1" ht="25.5" x14ac:dyDescent="0.2">
      <c r="A67" s="27">
        <f>MAX(A$2:A66)+1</f>
        <v>13</v>
      </c>
      <c r="B67" s="42"/>
      <c r="C67" s="125" t="s">
        <v>33</v>
      </c>
      <c r="D67" s="136"/>
      <c r="E67" s="154" t="s">
        <v>34</v>
      </c>
      <c r="F67" s="154"/>
      <c r="G67" s="127" t="s">
        <v>19</v>
      </c>
      <c r="H67" s="124">
        <f>H68</f>
        <v>3076.1237442320653</v>
      </c>
      <c r="I67" s="128">
        <v>0</v>
      </c>
      <c r="J67" s="83">
        <f>ROUND(I67,2)*H67</f>
        <v>0</v>
      </c>
      <c r="L67" s="1"/>
      <c r="M67" s="1"/>
      <c r="N67" s="1"/>
      <c r="O67" s="1"/>
    </row>
    <row r="68" spans="1:15" s="117" customFormat="1" ht="25.5" x14ac:dyDescent="0.2">
      <c r="A68" s="115"/>
      <c r="B68" s="20"/>
      <c r="C68" s="20"/>
      <c r="D68" s="116" t="s">
        <v>35</v>
      </c>
      <c r="E68" s="155" t="s">
        <v>36</v>
      </c>
      <c r="F68" s="156"/>
      <c r="G68" s="118" t="s">
        <v>19</v>
      </c>
      <c r="H68" s="119">
        <f>F65</f>
        <v>3076.1237442320653</v>
      </c>
      <c r="I68" s="120"/>
      <c r="J68" s="121"/>
      <c r="L68" s="122"/>
      <c r="M68" s="122"/>
      <c r="N68" s="123"/>
      <c r="O68" s="122"/>
    </row>
    <row r="69" spans="1:15" ht="14.25" x14ac:dyDescent="0.2">
      <c r="A69" s="100"/>
      <c r="B69" s="38"/>
      <c r="C69" s="39"/>
      <c r="D69" s="30"/>
      <c r="E69" s="31"/>
      <c r="F69" s="90"/>
      <c r="G69" s="32"/>
      <c r="H69" s="92"/>
      <c r="I69" s="28"/>
      <c r="J69" s="87"/>
      <c r="L69" s="1"/>
      <c r="M69" s="1"/>
      <c r="N69" s="4"/>
      <c r="O69" s="1"/>
    </row>
    <row r="70" spans="1:15" ht="14.25" x14ac:dyDescent="0.2">
      <c r="A70" s="100"/>
      <c r="B70" s="36" t="s">
        <v>37</v>
      </c>
      <c r="C70" s="40"/>
      <c r="D70" s="41"/>
      <c r="E70" s="25" t="s">
        <v>38</v>
      </c>
      <c r="F70" s="90"/>
      <c r="G70" s="21"/>
      <c r="H70" s="92"/>
      <c r="I70" s="28"/>
      <c r="J70" s="87"/>
      <c r="L70" s="1"/>
      <c r="M70" s="1"/>
      <c r="N70" s="4"/>
      <c r="O70" s="1"/>
    </row>
    <row r="71" spans="1:15" s="117" customFormat="1" ht="14.25" x14ac:dyDescent="0.2">
      <c r="A71" s="27">
        <f>MAX(A$2:A70)+1</f>
        <v>14</v>
      </c>
      <c r="B71" s="42"/>
      <c r="C71" s="125" t="s">
        <v>139</v>
      </c>
      <c r="D71" s="136"/>
      <c r="E71" s="154" t="s">
        <v>140</v>
      </c>
      <c r="F71" s="154"/>
      <c r="G71" s="127" t="s">
        <v>39</v>
      </c>
      <c r="H71" s="124">
        <f>H72</f>
        <v>199.8</v>
      </c>
      <c r="I71" s="128">
        <v>0</v>
      </c>
      <c r="J71" s="83">
        <f>ROUND(I71,2)*H71</f>
        <v>0</v>
      </c>
      <c r="L71" s="1"/>
      <c r="M71" s="1"/>
      <c r="N71" s="1"/>
      <c r="O71" s="1"/>
    </row>
    <row r="72" spans="1:15" s="117" customFormat="1" ht="14.25" x14ac:dyDescent="0.2">
      <c r="A72" s="115"/>
      <c r="B72" s="20"/>
      <c r="C72" s="20"/>
      <c r="D72" s="116" t="s">
        <v>141</v>
      </c>
      <c r="E72" s="155" t="s">
        <v>142</v>
      </c>
      <c r="F72" s="156"/>
      <c r="G72" s="118" t="s">
        <v>39</v>
      </c>
      <c r="H72" s="119">
        <f>F73</f>
        <v>199.8</v>
      </c>
      <c r="I72" s="120"/>
      <c r="J72" s="121"/>
      <c r="L72" s="122"/>
      <c r="M72" s="122"/>
      <c r="N72" s="123"/>
      <c r="O72" s="122"/>
    </row>
    <row r="73" spans="1:15" ht="14.25" x14ac:dyDescent="0.2">
      <c r="A73" s="22"/>
      <c r="B73" s="88"/>
      <c r="C73" s="74"/>
      <c r="D73" s="75"/>
      <c r="E73" s="158" t="s">
        <v>143</v>
      </c>
      <c r="F73" s="82">
        <f>0.74*270</f>
        <v>199.8</v>
      </c>
      <c r="G73" s="76" t="s">
        <v>39</v>
      </c>
      <c r="H73" s="89"/>
      <c r="I73" s="28"/>
      <c r="J73" s="87"/>
      <c r="L73" s="1"/>
      <c r="M73" s="1"/>
      <c r="N73" s="1"/>
      <c r="O73" s="1"/>
    </row>
    <row r="74" spans="1:15" ht="14.25" x14ac:dyDescent="0.2">
      <c r="A74" s="43"/>
      <c r="B74" s="36"/>
      <c r="C74" s="40"/>
      <c r="D74" s="41"/>
      <c r="E74" s="25"/>
      <c r="F74" s="90"/>
      <c r="G74" s="21"/>
      <c r="H74" s="92"/>
      <c r="I74" s="28"/>
      <c r="J74" s="87"/>
      <c r="L74" s="1"/>
      <c r="M74" s="1"/>
      <c r="N74" s="4"/>
      <c r="O74" s="1"/>
    </row>
    <row r="75" spans="1:15" s="117" customFormat="1" ht="14.25" x14ac:dyDescent="0.2">
      <c r="A75" s="27">
        <f>MAX(A$2:A74)+1</f>
        <v>15</v>
      </c>
      <c r="B75" s="42"/>
      <c r="C75" s="125" t="s">
        <v>80</v>
      </c>
      <c r="D75" s="136"/>
      <c r="E75" s="154" t="s">
        <v>81</v>
      </c>
      <c r="F75" s="154"/>
      <c r="G75" s="127" t="s">
        <v>39</v>
      </c>
      <c r="H75" s="124">
        <f>SUM(H76:H78)</f>
        <v>3663.5827999999992</v>
      </c>
      <c r="I75" s="128">
        <v>0</v>
      </c>
      <c r="J75" s="83">
        <f>ROUND(I75,2)*H75</f>
        <v>0</v>
      </c>
      <c r="L75" s="1"/>
      <c r="M75" s="1"/>
      <c r="N75" s="1"/>
      <c r="O75" s="1"/>
    </row>
    <row r="76" spans="1:15" s="117" customFormat="1" ht="25.5" x14ac:dyDescent="0.2">
      <c r="A76" s="115"/>
      <c r="B76" s="20"/>
      <c r="C76" s="20"/>
      <c r="D76" s="116" t="s">
        <v>159</v>
      </c>
      <c r="E76" s="155" t="s">
        <v>160</v>
      </c>
      <c r="F76" s="156"/>
      <c r="G76" s="118" t="s">
        <v>39</v>
      </c>
      <c r="H76" s="119">
        <f>F77</f>
        <v>1522.9118999999998</v>
      </c>
      <c r="I76" s="120"/>
      <c r="J76" s="121"/>
      <c r="L76" s="122"/>
      <c r="M76" s="122"/>
      <c r="N76" s="123"/>
      <c r="O76" s="122"/>
    </row>
    <row r="77" spans="1:15" ht="14.25" x14ac:dyDescent="0.2">
      <c r="A77" s="22"/>
      <c r="B77" s="88"/>
      <c r="C77" s="74"/>
      <c r="D77" s="75"/>
      <c r="E77" s="158" t="s">
        <v>151</v>
      </c>
      <c r="F77" s="82">
        <f>(2.79+1)*(22+9.63)+(3.66+1)*(9.63+2.87)+(3.61+1)*(2.87+3.24)+(4.22+1)*(3.24+9.26)+(4.51+1)*(9.26+12.5)+(4.25+1)*25+(3.81+1)*25+(7.49+1)*25+(5.76+1)*25+(8.43+1)*25+(1.42+1)*25+(2.43+1)*(12.5+6.73)+(6.72+1)*(6.73+6)+(13.58*0.3+18.47*0.3)+(5.9*2+8.41*2)</f>
        <v>1522.9118999999998</v>
      </c>
      <c r="G77" s="76" t="s">
        <v>39</v>
      </c>
      <c r="H77" s="89"/>
      <c r="I77" s="28"/>
      <c r="J77" s="87"/>
      <c r="L77" s="1"/>
      <c r="M77" s="1"/>
      <c r="N77" s="1"/>
      <c r="O77" s="1"/>
    </row>
    <row r="78" spans="1:15" s="117" customFormat="1" ht="25.5" x14ac:dyDescent="0.2">
      <c r="A78" s="115"/>
      <c r="B78" s="20"/>
      <c r="C78" s="20"/>
      <c r="D78" s="116" t="s">
        <v>161</v>
      </c>
      <c r="E78" s="155" t="s">
        <v>162</v>
      </c>
      <c r="F78" s="156"/>
      <c r="G78" s="118" t="s">
        <v>39</v>
      </c>
      <c r="H78" s="119">
        <f>F79</f>
        <v>2140.6708999999996</v>
      </c>
      <c r="I78" s="120"/>
      <c r="J78" s="121"/>
      <c r="L78" s="122"/>
      <c r="M78" s="122"/>
      <c r="N78" s="123"/>
      <c r="O78" s="122"/>
    </row>
    <row r="79" spans="1:15" ht="14.25" x14ac:dyDescent="0.2">
      <c r="A79" s="22"/>
      <c r="B79" s="88"/>
      <c r="C79" s="74"/>
      <c r="D79" s="75"/>
      <c r="E79" s="158" t="s">
        <v>1</v>
      </c>
      <c r="F79" s="82">
        <f>1.65*(10.38+12.5)+1.94*25+3.78*(12.5+9.63)+(3.25)*(9.63+2.87)+(6.57)*(2.87+3.24)+(12.46)*(3.24+9.26)+(19.27)*(9.26+12.5)+(11.07)*25+(4.11)*25+(3.99)*25+(2.36)*25+(9.89)*25+(11.06)*25+(10.43)*(12.5+6.73)+(4)*(6.73+5.77)+(0.41)*5.77</f>
        <v>2140.6708999999996</v>
      </c>
      <c r="G79" s="76" t="s">
        <v>39</v>
      </c>
      <c r="H79" s="89"/>
      <c r="I79" s="28"/>
      <c r="J79" s="87"/>
      <c r="L79" s="1"/>
      <c r="M79" s="1"/>
      <c r="N79" s="1"/>
      <c r="O79" s="1"/>
    </row>
    <row r="80" spans="1:15" ht="14.25" x14ac:dyDescent="0.2">
      <c r="A80" s="43"/>
      <c r="B80" s="42"/>
      <c r="C80" s="44"/>
      <c r="D80" s="30"/>
      <c r="E80" s="31"/>
      <c r="F80" s="90"/>
      <c r="G80" s="32"/>
      <c r="H80" s="93"/>
      <c r="I80" s="28"/>
      <c r="J80" s="87"/>
      <c r="L80" s="1"/>
      <c r="M80" s="1"/>
      <c r="N80" s="1"/>
      <c r="O80" s="1"/>
    </row>
    <row r="81" spans="1:15" s="117" customFormat="1" ht="14.25" x14ac:dyDescent="0.2">
      <c r="A81" s="27">
        <f>MAX(A$2:A80)+1</f>
        <v>16</v>
      </c>
      <c r="B81" s="42"/>
      <c r="C81" s="125" t="s">
        <v>92</v>
      </c>
      <c r="D81" s="136"/>
      <c r="E81" s="154" t="s">
        <v>93</v>
      </c>
      <c r="F81" s="154"/>
      <c r="G81" s="127" t="s">
        <v>39</v>
      </c>
      <c r="H81" s="124">
        <f>H82</f>
        <v>1611.1280999999999</v>
      </c>
      <c r="I81" s="128">
        <v>0</v>
      </c>
      <c r="J81" s="83">
        <f>ROUND(I81,2)*H81</f>
        <v>0</v>
      </c>
      <c r="L81" s="1"/>
      <c r="M81" s="1"/>
      <c r="N81" s="1"/>
      <c r="O81" s="1"/>
    </row>
    <row r="82" spans="1:15" s="117" customFormat="1" ht="25.5" x14ac:dyDescent="0.2">
      <c r="A82" s="115"/>
      <c r="B82" s="20"/>
      <c r="C82" s="20"/>
      <c r="D82" s="116" t="s">
        <v>94</v>
      </c>
      <c r="E82" s="155" t="s">
        <v>95</v>
      </c>
      <c r="F82" s="156"/>
      <c r="G82" s="118" t="s">
        <v>39</v>
      </c>
      <c r="H82" s="119">
        <f>F83</f>
        <v>1611.1280999999999</v>
      </c>
      <c r="I82" s="120"/>
      <c r="J82" s="121"/>
      <c r="L82" s="122"/>
      <c r="M82" s="122"/>
      <c r="N82" s="123"/>
      <c r="O82" s="122"/>
    </row>
    <row r="83" spans="1:15" ht="14.25" x14ac:dyDescent="0.2">
      <c r="A83" s="22"/>
      <c r="B83" s="88"/>
      <c r="C83" s="74"/>
      <c r="D83" s="75"/>
      <c r="E83" s="158" t="s">
        <v>193</v>
      </c>
      <c r="F83" s="82">
        <f>7.31*(9.63+2.87)+(8.61)*(2.87+3.24)+(14.86)*(3.24+9.26)+(9.6)*(9.26+12.5)+(8.41)*25+(16.8)*25+(17.69)*25</f>
        <v>1611.1280999999999</v>
      </c>
      <c r="G83" s="76" t="s">
        <v>39</v>
      </c>
      <c r="H83" s="89"/>
      <c r="I83" s="28"/>
      <c r="J83" s="87"/>
      <c r="L83" s="1"/>
      <c r="M83" s="1"/>
      <c r="N83" s="1"/>
      <c r="O83" s="1"/>
    </row>
    <row r="84" spans="1:15" ht="14.25" x14ac:dyDescent="0.2">
      <c r="A84" s="43"/>
      <c r="B84" s="42"/>
      <c r="C84" s="44"/>
      <c r="D84" s="30"/>
      <c r="E84" s="31"/>
      <c r="F84" s="90"/>
      <c r="G84" s="32"/>
      <c r="H84" s="93"/>
      <c r="I84" s="28"/>
      <c r="J84" s="87"/>
      <c r="L84" s="1"/>
      <c r="M84" s="1"/>
      <c r="N84" s="1"/>
      <c r="O84" s="1"/>
    </row>
    <row r="85" spans="1:15" s="117" customFormat="1" ht="14.25" x14ac:dyDescent="0.2">
      <c r="A85" s="27">
        <f>MAX(A$2:A84)+1</f>
        <v>17</v>
      </c>
      <c r="B85" s="42"/>
      <c r="C85" s="125" t="s">
        <v>40</v>
      </c>
      <c r="D85" s="136"/>
      <c r="E85" s="154" t="s">
        <v>41</v>
      </c>
      <c r="F85" s="154"/>
      <c r="G85" s="127" t="s">
        <v>39</v>
      </c>
      <c r="H85" s="124">
        <f>H86</f>
        <v>199.8</v>
      </c>
      <c r="I85" s="128">
        <v>0</v>
      </c>
      <c r="J85" s="83">
        <f>ROUND(I85,2)*H85</f>
        <v>0</v>
      </c>
      <c r="L85" s="1"/>
      <c r="M85" s="1"/>
      <c r="N85" s="1"/>
      <c r="O85" s="1"/>
    </row>
    <row r="86" spans="1:15" s="117" customFormat="1" ht="14.25" x14ac:dyDescent="0.2">
      <c r="A86" s="115"/>
      <c r="B86" s="20"/>
      <c r="C86" s="20"/>
      <c r="D86" s="116" t="s">
        <v>42</v>
      </c>
      <c r="E86" s="155" t="s">
        <v>43</v>
      </c>
      <c r="F86" s="156"/>
      <c r="G86" s="118" t="s">
        <v>39</v>
      </c>
      <c r="H86" s="119">
        <f>F87</f>
        <v>199.8</v>
      </c>
      <c r="I86" s="120"/>
      <c r="J86" s="121"/>
      <c r="L86" s="122"/>
      <c r="M86" s="122"/>
      <c r="N86" s="123"/>
      <c r="O86" s="122"/>
    </row>
    <row r="87" spans="1:15" ht="14.25" x14ac:dyDescent="0.2">
      <c r="A87" s="22"/>
      <c r="B87" s="88"/>
      <c r="C87" s="74"/>
      <c r="D87" s="75"/>
      <c r="E87" s="158" t="s">
        <v>144</v>
      </c>
      <c r="F87" s="82">
        <f>0.74*270</f>
        <v>199.8</v>
      </c>
      <c r="G87" s="76" t="s">
        <v>39</v>
      </c>
      <c r="H87" s="89"/>
      <c r="I87" s="28"/>
      <c r="J87" s="87"/>
      <c r="L87" s="1"/>
      <c r="M87" s="1"/>
      <c r="N87" s="1"/>
      <c r="O87" s="1"/>
    </row>
    <row r="88" spans="1:15" ht="14.25" x14ac:dyDescent="0.2">
      <c r="A88" s="43"/>
      <c r="B88" s="42"/>
      <c r="C88" s="64"/>
      <c r="D88" s="30"/>
      <c r="E88" s="31"/>
      <c r="F88" s="94"/>
      <c r="G88" s="32"/>
      <c r="H88" s="93"/>
      <c r="I88" s="28"/>
      <c r="J88" s="87"/>
      <c r="L88" s="1"/>
      <c r="M88" s="1"/>
      <c r="N88" s="1"/>
      <c r="O88" s="1"/>
    </row>
    <row r="89" spans="1:15" s="117" customFormat="1" ht="14.25" x14ac:dyDescent="0.2">
      <c r="A89" s="27">
        <f>MAX(A$2:A88)+1</f>
        <v>18</v>
      </c>
      <c r="B89" s="42"/>
      <c r="C89" s="125" t="s">
        <v>152</v>
      </c>
      <c r="D89" s="136"/>
      <c r="E89" s="154" t="s">
        <v>153</v>
      </c>
      <c r="F89" s="154"/>
      <c r="G89" s="127" t="s">
        <v>39</v>
      </c>
      <c r="H89" s="124">
        <f>H90+H96</f>
        <v>4885.1637467460314</v>
      </c>
      <c r="I89" s="128">
        <v>0</v>
      </c>
      <c r="J89" s="83">
        <f>ROUND(I89,2)*H89</f>
        <v>0</v>
      </c>
      <c r="L89" s="1"/>
      <c r="M89" s="1"/>
      <c r="N89" s="1"/>
      <c r="O89" s="1"/>
    </row>
    <row r="90" spans="1:15" s="117" customFormat="1" ht="14.25" x14ac:dyDescent="0.2">
      <c r="A90" s="115"/>
      <c r="B90" s="20"/>
      <c r="C90" s="20"/>
      <c r="D90" s="116" t="s">
        <v>154</v>
      </c>
      <c r="E90" s="155" t="s">
        <v>155</v>
      </c>
      <c r="F90" s="156"/>
      <c r="G90" s="118" t="s">
        <v>39</v>
      </c>
      <c r="H90" s="119">
        <f>F95</f>
        <v>2675.4456424210307</v>
      </c>
      <c r="I90" s="120"/>
      <c r="J90" s="121"/>
      <c r="L90" s="122"/>
      <c r="M90" s="122"/>
      <c r="N90" s="123"/>
      <c r="O90" s="122"/>
    </row>
    <row r="91" spans="1:15" ht="14.25" x14ac:dyDescent="0.2">
      <c r="A91" s="22"/>
      <c r="B91" s="88"/>
      <c r="C91" s="74"/>
      <c r="D91" s="75"/>
      <c r="E91" s="158" t="s">
        <v>156</v>
      </c>
      <c r="F91" s="82">
        <f>H58</f>
        <v>1148.9070980719025</v>
      </c>
      <c r="G91" s="76" t="s">
        <v>39</v>
      </c>
      <c r="H91" s="89"/>
      <c r="I91" s="28"/>
      <c r="J91" s="87"/>
      <c r="L91" s="1"/>
      <c r="M91" s="1"/>
      <c r="N91" s="1"/>
      <c r="O91" s="1"/>
    </row>
    <row r="92" spans="1:15" ht="14.25" x14ac:dyDescent="0.2">
      <c r="A92" s="22"/>
      <c r="B92" s="88"/>
      <c r="C92" s="74"/>
      <c r="D92" s="75"/>
      <c r="E92" s="158" t="s">
        <v>157</v>
      </c>
      <c r="F92" s="82">
        <f>F77</f>
        <v>1522.9118999999998</v>
      </c>
      <c r="G92" s="76" t="s">
        <v>39</v>
      </c>
      <c r="H92" s="89"/>
      <c r="I92" s="28"/>
      <c r="J92" s="87"/>
      <c r="L92" s="1"/>
      <c r="M92" s="1"/>
      <c r="N92" s="1"/>
      <c r="O92" s="1"/>
    </row>
    <row r="93" spans="1:15" ht="14.25" x14ac:dyDescent="0.2">
      <c r="A93" s="22"/>
      <c r="B93" s="88"/>
      <c r="C93" s="74"/>
      <c r="D93" s="75"/>
      <c r="E93" s="158" t="s">
        <v>212</v>
      </c>
      <c r="F93" s="151"/>
      <c r="G93" s="76"/>
      <c r="H93" s="89"/>
      <c r="I93" s="28"/>
      <c r="J93" s="87"/>
      <c r="L93" s="1"/>
      <c r="M93" s="1"/>
      <c r="N93" s="1"/>
      <c r="O93" s="1"/>
    </row>
    <row r="94" spans="1:15" ht="14.25" x14ac:dyDescent="0.2">
      <c r="A94" s="22"/>
      <c r="B94" s="88"/>
      <c r="C94" s="74"/>
      <c r="D94" s="75"/>
      <c r="E94" s="158" t="s">
        <v>213</v>
      </c>
      <c r="F94" s="135">
        <f>PI()*(0.13/2)^2*89*3.07</f>
        <v>3.6266443491279334</v>
      </c>
      <c r="G94" s="76" t="s">
        <v>39</v>
      </c>
      <c r="H94" s="89"/>
      <c r="I94" s="28"/>
      <c r="J94" s="87"/>
      <c r="L94" s="1"/>
      <c r="M94" s="1"/>
      <c r="N94" s="1"/>
      <c r="O94" s="1"/>
    </row>
    <row r="95" spans="1:15" ht="14.25" x14ac:dyDescent="0.2">
      <c r="A95" s="27"/>
      <c r="B95" s="33"/>
      <c r="C95" s="133"/>
      <c r="D95" s="30"/>
      <c r="E95" s="160" t="s">
        <v>158</v>
      </c>
      <c r="F95" s="159">
        <f>SUM(F91:F94)</f>
        <v>2675.4456424210307</v>
      </c>
      <c r="G95" s="134" t="s">
        <v>39</v>
      </c>
      <c r="H95" s="93"/>
      <c r="I95" s="28"/>
      <c r="J95" s="87"/>
      <c r="L95" s="1"/>
      <c r="M95" s="1"/>
      <c r="N95" s="4"/>
      <c r="O95" s="1"/>
    </row>
    <row r="96" spans="1:15" s="117" customFormat="1" ht="14.25" x14ac:dyDescent="0.2">
      <c r="A96" s="115"/>
      <c r="B96" s="20"/>
      <c r="C96" s="20"/>
      <c r="D96" s="116" t="s">
        <v>163</v>
      </c>
      <c r="E96" s="155" t="s">
        <v>164</v>
      </c>
      <c r="F96" s="156"/>
      <c r="G96" s="118" t="s">
        <v>39</v>
      </c>
      <c r="H96" s="119">
        <f>F100</f>
        <v>2209.7181043250007</v>
      </c>
      <c r="I96" s="120"/>
      <c r="J96" s="121"/>
      <c r="L96" s="122"/>
      <c r="M96" s="122"/>
      <c r="N96" s="123"/>
      <c r="O96" s="122"/>
    </row>
    <row r="97" spans="1:15" ht="14.25" x14ac:dyDescent="0.2">
      <c r="A97" s="22"/>
      <c r="B97" s="88"/>
      <c r="C97" s="74"/>
      <c r="D97" s="75"/>
      <c r="E97" s="158" t="s">
        <v>157</v>
      </c>
      <c r="F97" s="82">
        <f>F79</f>
        <v>2140.6708999999996</v>
      </c>
      <c r="G97" s="76" t="s">
        <v>39</v>
      </c>
      <c r="H97" s="89"/>
      <c r="I97" s="28"/>
      <c r="J97" s="87"/>
      <c r="L97" s="1"/>
      <c r="M97" s="1"/>
      <c r="N97" s="1"/>
      <c r="O97" s="1"/>
    </row>
    <row r="98" spans="1:15" ht="14.25" x14ac:dyDescent="0.2">
      <c r="A98" s="22"/>
      <c r="B98" s="88"/>
      <c r="C98" s="74"/>
      <c r="D98" s="75"/>
      <c r="E98" s="158" t="s">
        <v>212</v>
      </c>
      <c r="F98" s="151"/>
      <c r="G98" s="76"/>
      <c r="H98" s="89"/>
      <c r="I98" s="28"/>
      <c r="J98" s="87"/>
      <c r="L98" s="1"/>
      <c r="M98" s="1"/>
      <c r="N98" s="1"/>
      <c r="O98" s="1"/>
    </row>
    <row r="99" spans="1:15" ht="14.25" x14ac:dyDescent="0.2">
      <c r="A99" s="22"/>
      <c r="B99" s="88"/>
      <c r="C99" s="74"/>
      <c r="D99" s="75"/>
      <c r="E99" s="158" t="s">
        <v>214</v>
      </c>
      <c r="F99" s="135">
        <f>PI()*(0.13/2)^2*857*6.07</f>
        <v>69.04720432500099</v>
      </c>
      <c r="G99" s="76" t="s">
        <v>39</v>
      </c>
      <c r="H99" s="89"/>
      <c r="I99" s="28"/>
      <c r="J99" s="87"/>
      <c r="L99" s="1"/>
      <c r="M99" s="1"/>
      <c r="N99" s="1"/>
      <c r="O99" s="1"/>
    </row>
    <row r="100" spans="1:15" ht="14.25" x14ac:dyDescent="0.2">
      <c r="A100" s="27"/>
      <c r="B100" s="33"/>
      <c r="C100" s="133"/>
      <c r="D100" s="30"/>
      <c r="E100" s="160" t="s">
        <v>158</v>
      </c>
      <c r="F100" s="159">
        <f>SUM(F97:F99)</f>
        <v>2209.7181043250007</v>
      </c>
      <c r="G100" s="134" t="s">
        <v>39</v>
      </c>
      <c r="H100" s="93"/>
      <c r="I100" s="28"/>
      <c r="J100" s="87"/>
      <c r="L100" s="1"/>
      <c r="M100" s="1"/>
      <c r="N100" s="4"/>
      <c r="O100" s="1"/>
    </row>
    <row r="101" spans="1:15" ht="14.25" x14ac:dyDescent="0.2">
      <c r="A101" s="43"/>
      <c r="B101" s="42"/>
      <c r="C101" s="64"/>
      <c r="D101" s="30"/>
      <c r="E101" s="31"/>
      <c r="F101" s="94"/>
      <c r="G101" s="32"/>
      <c r="H101" s="93"/>
      <c r="I101" s="28"/>
      <c r="J101" s="87"/>
      <c r="L101" s="1"/>
      <c r="M101" s="1"/>
      <c r="N101" s="1"/>
      <c r="O101" s="1"/>
    </row>
    <row r="102" spans="1:15" s="117" customFormat="1" ht="14.25" x14ac:dyDescent="0.2">
      <c r="A102" s="27">
        <f>MAX(A$2:A101)+1</f>
        <v>19</v>
      </c>
      <c r="B102" s="42"/>
      <c r="C102" s="125" t="s">
        <v>165</v>
      </c>
      <c r="D102" s="136"/>
      <c r="E102" s="154" t="s">
        <v>166</v>
      </c>
      <c r="F102" s="154"/>
      <c r="G102" s="127" t="s">
        <v>39</v>
      </c>
      <c r="H102" s="124">
        <f>H103+H111</f>
        <v>5346.5823083808409</v>
      </c>
      <c r="I102" s="128">
        <v>0</v>
      </c>
      <c r="J102" s="83">
        <f>ROUND(I102,2)*H102</f>
        <v>0</v>
      </c>
      <c r="L102" s="1"/>
      <c r="M102" s="1"/>
      <c r="N102" s="1"/>
      <c r="O102" s="1"/>
    </row>
    <row r="103" spans="1:15" s="117" customFormat="1" ht="25.5" x14ac:dyDescent="0.2">
      <c r="A103" s="115"/>
      <c r="B103" s="20"/>
      <c r="C103" s="20"/>
      <c r="D103" s="116" t="s">
        <v>167</v>
      </c>
      <c r="E103" s="155" t="s">
        <v>168</v>
      </c>
      <c r="F103" s="156"/>
      <c r="G103" s="118" t="s">
        <v>39</v>
      </c>
      <c r="H103" s="119">
        <f>F110</f>
        <v>3136.8642040558402</v>
      </c>
      <c r="I103" s="120"/>
      <c r="J103" s="121"/>
      <c r="L103" s="122"/>
      <c r="M103" s="122"/>
      <c r="N103" s="123"/>
      <c r="O103" s="122"/>
    </row>
    <row r="104" spans="1:15" ht="14.25" x14ac:dyDescent="0.2">
      <c r="A104" s="43"/>
      <c r="B104" s="42"/>
      <c r="C104" s="64"/>
      <c r="D104" s="30"/>
      <c r="E104" s="31" t="s">
        <v>174</v>
      </c>
      <c r="F104" s="94"/>
      <c r="G104" s="32"/>
      <c r="H104" s="91"/>
      <c r="I104" s="28"/>
      <c r="J104" s="87"/>
      <c r="L104" s="1"/>
      <c r="M104" s="1"/>
      <c r="N104" s="1"/>
      <c r="O104" s="1"/>
    </row>
    <row r="105" spans="1:15" ht="14.25" x14ac:dyDescent="0.2">
      <c r="A105" s="22"/>
      <c r="B105" s="88"/>
      <c r="C105" s="74"/>
      <c r="D105" s="75"/>
      <c r="E105" s="158" t="s">
        <v>169</v>
      </c>
      <c r="F105" s="82">
        <f>F92</f>
        <v>1522.9118999999998</v>
      </c>
      <c r="G105" s="76" t="s">
        <v>39</v>
      </c>
      <c r="H105" s="89"/>
      <c r="I105" s="28"/>
      <c r="J105" s="87"/>
      <c r="L105" s="1"/>
      <c r="M105" s="1"/>
      <c r="N105" s="1"/>
      <c r="O105" s="1"/>
    </row>
    <row r="106" spans="1:15" ht="14.25" x14ac:dyDescent="0.2">
      <c r="A106" s="22"/>
      <c r="B106" s="88"/>
      <c r="C106" s="74"/>
      <c r="D106" s="75"/>
      <c r="E106" s="158" t="s">
        <v>170</v>
      </c>
      <c r="F106" s="82">
        <f>F91</f>
        <v>1148.9070980719025</v>
      </c>
      <c r="G106" s="76" t="s">
        <v>39</v>
      </c>
      <c r="H106" s="89"/>
      <c r="I106" s="28"/>
      <c r="J106" s="87"/>
      <c r="L106" s="1"/>
      <c r="M106" s="1"/>
      <c r="N106" s="1"/>
      <c r="O106" s="1"/>
    </row>
    <row r="107" spans="1:15" ht="14.25" x14ac:dyDescent="0.2">
      <c r="A107" s="22"/>
      <c r="B107" s="88"/>
      <c r="C107" s="74"/>
      <c r="D107" s="75"/>
      <c r="E107" s="158" t="s">
        <v>171</v>
      </c>
      <c r="F107" s="82">
        <f>F65*0.15</f>
        <v>461.41856163480975</v>
      </c>
      <c r="G107" s="76" t="s">
        <v>39</v>
      </c>
      <c r="H107" s="89"/>
      <c r="I107" s="28"/>
      <c r="J107" s="87"/>
      <c r="L107" s="1"/>
      <c r="M107" s="1"/>
      <c r="N107" s="1"/>
      <c r="O107" s="1"/>
    </row>
    <row r="108" spans="1:15" ht="14.25" x14ac:dyDescent="0.2">
      <c r="A108" s="22"/>
      <c r="B108" s="88"/>
      <c r="C108" s="74"/>
      <c r="D108" s="75"/>
      <c r="E108" s="158" t="s">
        <v>215</v>
      </c>
      <c r="F108" s="82"/>
      <c r="G108" s="76"/>
      <c r="H108" s="89"/>
      <c r="I108" s="28"/>
      <c r="J108" s="87"/>
      <c r="L108" s="1"/>
      <c r="M108" s="1"/>
      <c r="N108" s="1"/>
      <c r="O108" s="1"/>
    </row>
    <row r="109" spans="1:15" ht="14.25" x14ac:dyDescent="0.2">
      <c r="A109" s="22"/>
      <c r="B109" s="88"/>
      <c r="C109" s="74"/>
      <c r="D109" s="75"/>
      <c r="E109" s="158" t="s">
        <v>216</v>
      </c>
      <c r="F109" s="135">
        <f>PI()*(0.13/2)^2*89*3.07</f>
        <v>3.6266443491279334</v>
      </c>
      <c r="G109" s="76" t="s">
        <v>39</v>
      </c>
      <c r="H109" s="89"/>
      <c r="I109" s="28"/>
      <c r="J109" s="87"/>
      <c r="L109" s="1"/>
      <c r="M109" s="1"/>
      <c r="N109" s="1"/>
      <c r="O109" s="1"/>
    </row>
    <row r="110" spans="1:15" ht="14.25" x14ac:dyDescent="0.2">
      <c r="A110" s="27"/>
      <c r="B110" s="33"/>
      <c r="C110" s="133"/>
      <c r="D110" s="30"/>
      <c r="E110" s="160" t="s">
        <v>158</v>
      </c>
      <c r="F110" s="159">
        <f>SUM(F105:F109)</f>
        <v>3136.8642040558402</v>
      </c>
      <c r="G110" s="134" t="s">
        <v>39</v>
      </c>
      <c r="H110" s="93"/>
      <c r="I110" s="28"/>
      <c r="J110" s="87"/>
      <c r="L110" s="1"/>
      <c r="M110" s="1"/>
      <c r="N110" s="4"/>
      <c r="O110" s="1"/>
    </row>
    <row r="111" spans="1:15" s="117" customFormat="1" ht="25.5" x14ac:dyDescent="0.2">
      <c r="A111" s="115"/>
      <c r="B111" s="20"/>
      <c r="C111" s="20"/>
      <c r="D111" s="116" t="s">
        <v>172</v>
      </c>
      <c r="E111" s="155" t="s">
        <v>173</v>
      </c>
      <c r="F111" s="156"/>
      <c r="G111" s="118" t="s">
        <v>39</v>
      </c>
      <c r="H111" s="119">
        <f>F116</f>
        <v>2209.7181043250007</v>
      </c>
      <c r="I111" s="120"/>
      <c r="J111" s="121"/>
      <c r="L111" s="122"/>
      <c r="M111" s="122"/>
      <c r="N111" s="123"/>
      <c r="O111" s="122"/>
    </row>
    <row r="112" spans="1:15" ht="14.25" x14ac:dyDescent="0.2">
      <c r="A112" s="43"/>
      <c r="B112" s="42"/>
      <c r="C112" s="64"/>
      <c r="D112" s="30"/>
      <c r="E112" s="31" t="s">
        <v>174</v>
      </c>
      <c r="F112" s="31"/>
      <c r="G112" s="32"/>
      <c r="H112" s="91"/>
      <c r="I112" s="28"/>
      <c r="J112" s="87"/>
      <c r="L112" s="1"/>
      <c r="M112" s="1"/>
      <c r="N112" s="1"/>
      <c r="O112" s="1"/>
    </row>
    <row r="113" spans="1:15" ht="14.25" x14ac:dyDescent="0.2">
      <c r="A113" s="22"/>
      <c r="B113" s="88"/>
      <c r="C113" s="74"/>
      <c r="D113" s="75"/>
      <c r="E113" s="158" t="s">
        <v>169</v>
      </c>
      <c r="F113" s="82">
        <f>F97</f>
        <v>2140.6708999999996</v>
      </c>
      <c r="G113" s="76" t="s">
        <v>39</v>
      </c>
      <c r="H113" s="89"/>
      <c r="I113" s="28"/>
      <c r="J113" s="87"/>
      <c r="L113" s="1"/>
      <c r="M113" s="1"/>
      <c r="N113" s="1"/>
      <c r="O113" s="1"/>
    </row>
    <row r="114" spans="1:15" ht="14.25" x14ac:dyDescent="0.2">
      <c r="A114" s="22"/>
      <c r="B114" s="88"/>
      <c r="C114" s="74"/>
      <c r="D114" s="75"/>
      <c r="E114" s="158" t="s">
        <v>215</v>
      </c>
      <c r="F114" s="82"/>
      <c r="G114" s="76"/>
      <c r="H114" s="89"/>
      <c r="I114" s="28"/>
      <c r="J114" s="87"/>
      <c r="L114" s="1"/>
      <c r="M114" s="1"/>
      <c r="N114" s="1"/>
      <c r="O114" s="1"/>
    </row>
    <row r="115" spans="1:15" ht="14.25" x14ac:dyDescent="0.2">
      <c r="A115" s="22"/>
      <c r="B115" s="88"/>
      <c r="C115" s="74"/>
      <c r="D115" s="75"/>
      <c r="E115" s="158" t="s">
        <v>217</v>
      </c>
      <c r="F115" s="135">
        <f>PI()*(0.13/2)^2*857*6.07</f>
        <v>69.04720432500099</v>
      </c>
      <c r="G115" s="76" t="s">
        <v>39</v>
      </c>
      <c r="H115" s="89"/>
      <c r="I115" s="28"/>
      <c r="J115" s="87"/>
      <c r="L115" s="1"/>
      <c r="M115" s="1"/>
      <c r="N115" s="1"/>
      <c r="O115" s="1"/>
    </row>
    <row r="116" spans="1:15" ht="14.25" x14ac:dyDescent="0.2">
      <c r="A116" s="27"/>
      <c r="B116" s="33"/>
      <c r="C116" s="133"/>
      <c r="D116" s="30"/>
      <c r="E116" s="160" t="s">
        <v>158</v>
      </c>
      <c r="F116" s="159">
        <f>SUM(F113:F115)</f>
        <v>2209.7181043250007</v>
      </c>
      <c r="G116" s="134" t="s">
        <v>39</v>
      </c>
      <c r="H116" s="93"/>
      <c r="I116" s="28"/>
      <c r="J116" s="87"/>
      <c r="L116" s="1"/>
      <c r="M116" s="1"/>
      <c r="N116" s="4"/>
      <c r="O116" s="1"/>
    </row>
    <row r="117" spans="1:15" ht="14.25" x14ac:dyDescent="0.2">
      <c r="A117" s="43"/>
      <c r="B117" s="42"/>
      <c r="C117" s="64"/>
      <c r="D117" s="30"/>
      <c r="E117" s="31"/>
      <c r="F117" s="31"/>
      <c r="G117" s="32"/>
      <c r="H117" s="93"/>
      <c r="I117" s="28"/>
      <c r="J117" s="87"/>
      <c r="L117" s="1"/>
      <c r="M117" s="1"/>
      <c r="N117" s="1"/>
      <c r="O117" s="1"/>
    </row>
    <row r="118" spans="1:15" s="117" customFormat="1" ht="14.25" x14ac:dyDescent="0.2">
      <c r="A118" s="27">
        <f>MAX(A$2:A117)+1</f>
        <v>20</v>
      </c>
      <c r="B118" s="42"/>
      <c r="C118" s="125" t="s">
        <v>179</v>
      </c>
      <c r="D118" s="136"/>
      <c r="E118" s="154" t="s">
        <v>180</v>
      </c>
      <c r="F118" s="154"/>
      <c r="G118" s="127" t="s">
        <v>39</v>
      </c>
      <c r="H118" s="124">
        <f>H119</f>
        <v>461.41856163480975</v>
      </c>
      <c r="I118" s="128">
        <v>0</v>
      </c>
      <c r="J118" s="83">
        <f>ROUND(I118,2)*H118</f>
        <v>0</v>
      </c>
      <c r="L118" s="1"/>
      <c r="M118" s="1"/>
      <c r="N118" s="1"/>
      <c r="O118" s="1"/>
    </row>
    <row r="119" spans="1:15" s="117" customFormat="1" ht="25.5" x14ac:dyDescent="0.2">
      <c r="A119" s="115"/>
      <c r="B119" s="20"/>
      <c r="C119" s="20"/>
      <c r="D119" s="116" t="s">
        <v>181</v>
      </c>
      <c r="E119" s="155" t="s">
        <v>182</v>
      </c>
      <c r="F119" s="156"/>
      <c r="G119" s="118" t="s">
        <v>39</v>
      </c>
      <c r="H119" s="119">
        <f>F120</f>
        <v>461.41856163480975</v>
      </c>
      <c r="I119" s="120"/>
      <c r="J119" s="121"/>
      <c r="L119" s="122"/>
      <c r="M119" s="122"/>
      <c r="N119" s="123"/>
      <c r="O119" s="122"/>
    </row>
    <row r="120" spans="1:15" ht="14.25" x14ac:dyDescent="0.2">
      <c r="A120" s="22"/>
      <c r="B120" s="88"/>
      <c r="C120" s="74"/>
      <c r="D120" s="75"/>
      <c r="E120" s="158" t="s">
        <v>249</v>
      </c>
      <c r="F120" s="82">
        <f>F65*0.15</f>
        <v>461.41856163480975</v>
      </c>
      <c r="G120" s="76" t="s">
        <v>39</v>
      </c>
      <c r="H120" s="89"/>
      <c r="I120" s="28"/>
      <c r="J120" s="87"/>
      <c r="L120" s="1"/>
      <c r="M120" s="1"/>
      <c r="N120" s="1"/>
      <c r="O120" s="1"/>
    </row>
    <row r="121" spans="1:15" ht="14.25" x14ac:dyDescent="0.2">
      <c r="A121" s="43"/>
      <c r="B121" s="42"/>
      <c r="C121" s="64"/>
      <c r="D121" s="30"/>
      <c r="E121" s="65"/>
      <c r="F121" s="65"/>
      <c r="G121" s="32"/>
      <c r="H121" s="91"/>
      <c r="I121" s="28"/>
      <c r="J121" s="87"/>
      <c r="L121" s="1"/>
      <c r="M121" s="1"/>
      <c r="N121" s="1"/>
      <c r="O121" s="1"/>
    </row>
    <row r="122" spans="1:15" s="117" customFormat="1" ht="14.25" x14ac:dyDescent="0.2">
      <c r="A122" s="27">
        <f>MAX(A$2:A121)+1</f>
        <v>21</v>
      </c>
      <c r="B122" s="42"/>
      <c r="C122" s="125" t="s">
        <v>183</v>
      </c>
      <c r="D122" s="136"/>
      <c r="E122" s="154" t="s">
        <v>184</v>
      </c>
      <c r="F122" s="154"/>
      <c r="G122" s="127" t="s">
        <v>19</v>
      </c>
      <c r="H122" s="124">
        <f>H123+H125</f>
        <v>2827.6279681030355</v>
      </c>
      <c r="I122" s="128">
        <v>0</v>
      </c>
      <c r="J122" s="83">
        <f>ROUND(I122,2)*H122</f>
        <v>0</v>
      </c>
      <c r="L122" s="1"/>
      <c r="M122" s="1"/>
      <c r="N122" s="1"/>
      <c r="O122" s="1"/>
    </row>
    <row r="123" spans="1:15" s="117" customFormat="1" ht="25.5" x14ac:dyDescent="0.2">
      <c r="A123" s="115"/>
      <c r="B123" s="20"/>
      <c r="C123" s="20"/>
      <c r="D123" s="116" t="s">
        <v>191</v>
      </c>
      <c r="E123" s="155" t="s">
        <v>192</v>
      </c>
      <c r="F123" s="156"/>
      <c r="G123" s="118" t="s">
        <v>19</v>
      </c>
      <c r="H123" s="119">
        <f>F124</f>
        <v>1595.9473</v>
      </c>
      <c r="I123" s="120"/>
      <c r="J123" s="121"/>
      <c r="L123" s="122"/>
      <c r="M123" s="122"/>
      <c r="N123" s="123"/>
      <c r="O123" s="122"/>
    </row>
    <row r="124" spans="1:15" ht="14.25" x14ac:dyDescent="0.2">
      <c r="A124" s="22"/>
      <c r="B124" s="88"/>
      <c r="C124" s="74"/>
      <c r="D124" s="75"/>
      <c r="E124" s="158" t="s">
        <v>295</v>
      </c>
      <c r="F124" s="82">
        <f>(10.24)*(22+9.63)+(2.19)*(9.63+2.87)+(1.78)*(2.87+3.24)+(0)*(9.26+12.5)+(11.9)*25+(3.96)*25+(2.47)*25+(1.96)*25+(14.76)*25+(4.3)*25+(5.94)*(12.5+6.73)+(10.67)*(6.73+6)</f>
        <v>1595.9473</v>
      </c>
      <c r="G124" s="76" t="s">
        <v>19</v>
      </c>
      <c r="H124" s="89"/>
      <c r="I124" s="28"/>
      <c r="J124" s="87"/>
      <c r="L124" s="1"/>
      <c r="M124" s="1"/>
      <c r="N124" s="1"/>
      <c r="O124" s="1"/>
    </row>
    <row r="125" spans="1:15" s="117" customFormat="1" ht="14.25" x14ac:dyDescent="0.2">
      <c r="A125" s="115"/>
      <c r="B125" s="20"/>
      <c r="C125" s="20"/>
      <c r="D125" s="116" t="s">
        <v>185</v>
      </c>
      <c r="E125" s="155" t="s">
        <v>186</v>
      </c>
      <c r="F125" s="156"/>
      <c r="G125" s="118" t="s">
        <v>19</v>
      </c>
      <c r="H125" s="119">
        <f>F126</f>
        <v>1231.6806681030353</v>
      </c>
      <c r="I125" s="120"/>
      <c r="J125" s="121"/>
      <c r="L125" s="122"/>
      <c r="M125" s="122"/>
      <c r="N125" s="123"/>
      <c r="O125" s="122"/>
    </row>
    <row r="126" spans="1:15" ht="14.25" x14ac:dyDescent="0.2">
      <c r="A126" s="22"/>
      <c r="B126" s="88"/>
      <c r="C126" s="74"/>
      <c r="D126" s="75"/>
      <c r="E126" s="158" t="s">
        <v>295</v>
      </c>
      <c r="F126" s="82">
        <f>834/COS(RADIANS(11))+197.64*COS(RADIANS(33.69))+251.8*COS(RADIANS(30.2))</f>
        <v>1231.6806681030353</v>
      </c>
      <c r="G126" s="76" t="s">
        <v>19</v>
      </c>
      <c r="H126" s="89"/>
      <c r="I126" s="28"/>
      <c r="J126" s="87"/>
      <c r="L126" s="1"/>
      <c r="M126" s="1"/>
      <c r="N126" s="1"/>
      <c r="O126" s="1"/>
    </row>
    <row r="127" spans="1:15" ht="14.25" x14ac:dyDescent="0.2">
      <c r="A127" s="43"/>
      <c r="B127" s="42"/>
      <c r="C127" s="64"/>
      <c r="D127" s="30"/>
      <c r="E127" s="65"/>
      <c r="F127" s="65"/>
      <c r="G127" s="32"/>
      <c r="H127" s="91"/>
      <c r="I127" s="28"/>
      <c r="J127" s="87"/>
      <c r="L127" s="1"/>
      <c r="M127" s="1"/>
      <c r="N127" s="1"/>
      <c r="O127" s="1"/>
    </row>
    <row r="128" spans="1:15" s="117" customFormat="1" ht="14.25" x14ac:dyDescent="0.2">
      <c r="A128" s="27">
        <f>MAX(A$2:A125)+1</f>
        <v>22</v>
      </c>
      <c r="B128" s="42"/>
      <c r="C128" s="125" t="s">
        <v>187</v>
      </c>
      <c r="D128" s="136"/>
      <c r="E128" s="154" t="s">
        <v>188</v>
      </c>
      <c r="F128" s="154"/>
      <c r="G128" s="127" t="s">
        <v>19</v>
      </c>
      <c r="H128" s="124">
        <f>H129</f>
        <v>1642.6892</v>
      </c>
      <c r="I128" s="128">
        <v>0</v>
      </c>
      <c r="J128" s="83">
        <f>ROUND(I128,2)*H128</f>
        <v>0</v>
      </c>
      <c r="L128" s="1"/>
      <c r="M128" s="1"/>
      <c r="N128" s="1"/>
      <c r="O128" s="1"/>
    </row>
    <row r="129" spans="1:15" s="117" customFormat="1" ht="25.5" x14ac:dyDescent="0.2">
      <c r="A129" s="115"/>
      <c r="B129" s="20"/>
      <c r="C129" s="20"/>
      <c r="D129" s="116" t="s">
        <v>189</v>
      </c>
      <c r="E129" s="155" t="s">
        <v>190</v>
      </c>
      <c r="F129" s="156"/>
      <c r="G129" s="118" t="s">
        <v>19</v>
      </c>
      <c r="H129" s="119">
        <f>F130</f>
        <v>1642.6892</v>
      </c>
      <c r="I129" s="120"/>
      <c r="J129" s="121"/>
      <c r="L129" s="122"/>
      <c r="M129" s="122"/>
      <c r="N129" s="123"/>
      <c r="O129" s="122"/>
    </row>
    <row r="130" spans="1:15" ht="14.25" x14ac:dyDescent="0.2">
      <c r="A130" s="22"/>
      <c r="B130" s="88"/>
      <c r="C130" s="74"/>
      <c r="D130" s="75"/>
      <c r="E130" s="158" t="s">
        <v>294</v>
      </c>
      <c r="F130" s="82">
        <f>6.69*(9.63+2.87)+7.56*(2.87+3.24)+9.43*(3.24+9.26)+9.26*(9.26+12.5)+8.36*25+11.56*25+12.58*25+9.13*25+6.11*25</f>
        <v>1642.6892</v>
      </c>
      <c r="G130" s="76" t="s">
        <v>19</v>
      </c>
      <c r="H130" s="89"/>
      <c r="I130" s="28"/>
      <c r="J130" s="87"/>
      <c r="L130" s="1"/>
      <c r="M130" s="1"/>
      <c r="N130" s="1"/>
      <c r="O130" s="1"/>
    </row>
    <row r="131" spans="1:15" ht="14.25" x14ac:dyDescent="0.2">
      <c r="A131" s="43"/>
      <c r="B131" s="42"/>
      <c r="C131" s="64"/>
      <c r="D131" s="30"/>
      <c r="E131" s="31"/>
      <c r="F131" s="94"/>
      <c r="G131" s="32"/>
      <c r="H131" s="93"/>
      <c r="I131" s="28"/>
      <c r="J131" s="87"/>
      <c r="L131" s="1"/>
      <c r="M131" s="1"/>
      <c r="N131" s="1"/>
      <c r="O131" s="1"/>
    </row>
    <row r="132" spans="1:15" ht="38.25" x14ac:dyDescent="0.2">
      <c r="A132" s="43"/>
      <c r="B132" s="78" t="s">
        <v>300</v>
      </c>
      <c r="C132" s="64"/>
      <c r="D132" s="30"/>
      <c r="E132" s="25" t="s">
        <v>305</v>
      </c>
      <c r="F132" s="94"/>
      <c r="G132" s="32"/>
      <c r="H132" s="93"/>
      <c r="I132" s="28"/>
      <c r="J132" s="87"/>
      <c r="L132" s="1"/>
      <c r="M132" s="1"/>
      <c r="N132" s="1"/>
      <c r="O132" s="1"/>
    </row>
    <row r="133" spans="1:15" ht="14.25" x14ac:dyDescent="0.2">
      <c r="A133" s="27">
        <f>MAX(A$2:A132)+1</f>
        <v>23</v>
      </c>
      <c r="B133" s="138"/>
      <c r="C133" s="139" t="s">
        <v>301</v>
      </c>
      <c r="D133" s="140"/>
      <c r="E133" s="141" t="s">
        <v>302</v>
      </c>
      <c r="F133" s="141"/>
      <c r="G133" s="142" t="s">
        <v>26</v>
      </c>
      <c r="H133" s="93">
        <f>H134</f>
        <v>106.20121544908108</v>
      </c>
      <c r="I133" s="128">
        <v>0</v>
      </c>
      <c r="J133" s="83">
        <f>ROUND(I133,2)*H133</f>
        <v>0</v>
      </c>
      <c r="L133" s="1"/>
      <c r="M133" s="1"/>
      <c r="N133" s="1"/>
      <c r="O133" s="1"/>
    </row>
    <row r="134" spans="1:15" ht="14.25" x14ac:dyDescent="0.2">
      <c r="A134" s="43"/>
      <c r="B134" s="138"/>
      <c r="C134" s="64"/>
      <c r="D134" s="116" t="s">
        <v>303</v>
      </c>
      <c r="E134" s="155" t="s">
        <v>304</v>
      </c>
      <c r="F134" s="31"/>
      <c r="G134" s="32" t="s">
        <v>26</v>
      </c>
      <c r="H134" s="119">
        <f>F135</f>
        <v>106.20121544908108</v>
      </c>
      <c r="I134" s="28"/>
      <c r="J134" s="87"/>
      <c r="L134" s="1"/>
      <c r="M134" s="1"/>
      <c r="N134" s="1"/>
      <c r="O134" s="1"/>
    </row>
    <row r="135" spans="1:15" ht="14.25" x14ac:dyDescent="0.2">
      <c r="A135" s="43"/>
      <c r="B135" s="138"/>
      <c r="C135" s="64"/>
      <c r="D135" s="30"/>
      <c r="E135" s="158" t="s">
        <v>306</v>
      </c>
      <c r="F135" s="94">
        <f>834/COS(RADIANS(11))/4*0.5</f>
        <v>106.20121544908108</v>
      </c>
      <c r="G135" s="76" t="s">
        <v>26</v>
      </c>
      <c r="H135" s="93"/>
      <c r="I135" s="28"/>
      <c r="J135" s="87"/>
      <c r="L135" s="1"/>
      <c r="M135" s="1"/>
      <c r="N135" s="1"/>
      <c r="O135" s="1"/>
    </row>
    <row r="136" spans="1:15" ht="14.25" x14ac:dyDescent="0.2">
      <c r="A136" s="43"/>
      <c r="B136" s="138"/>
      <c r="C136" s="64"/>
      <c r="D136" s="30"/>
      <c r="E136" s="31"/>
      <c r="F136" s="94"/>
      <c r="G136" s="32"/>
      <c r="H136" s="93"/>
      <c r="I136" s="28"/>
      <c r="J136" s="87"/>
      <c r="L136" s="1"/>
      <c r="M136" s="1"/>
      <c r="N136" s="1"/>
      <c r="O136" s="1"/>
    </row>
    <row r="137" spans="1:15" ht="25.5" x14ac:dyDescent="0.2">
      <c r="A137" s="43"/>
      <c r="B137" s="78" t="s">
        <v>250</v>
      </c>
      <c r="C137" s="61"/>
      <c r="D137" s="30"/>
      <c r="E137" s="25" t="s">
        <v>251</v>
      </c>
      <c r="F137" s="101"/>
      <c r="G137" s="32"/>
      <c r="H137" s="91"/>
      <c r="I137" s="28"/>
      <c r="J137" s="87"/>
      <c r="L137" s="1"/>
      <c r="M137" s="1"/>
      <c r="N137" s="1"/>
      <c r="O137" s="1"/>
    </row>
    <row r="138" spans="1:15" s="117" customFormat="1" ht="25.5" x14ac:dyDescent="0.2">
      <c r="A138" s="27">
        <f>MAX(A$2:A137)+1</f>
        <v>24</v>
      </c>
      <c r="B138" s="42"/>
      <c r="C138" s="125" t="s">
        <v>252</v>
      </c>
      <c r="D138" s="136"/>
      <c r="E138" s="154" t="s">
        <v>253</v>
      </c>
      <c r="F138" s="154"/>
      <c r="G138" s="127" t="s">
        <v>26</v>
      </c>
      <c r="H138" s="124">
        <f>H139</f>
        <v>243</v>
      </c>
      <c r="I138" s="128">
        <v>0</v>
      </c>
      <c r="J138" s="83">
        <f>ROUND(I138,2)*H138</f>
        <v>0</v>
      </c>
      <c r="L138" s="1"/>
      <c r="M138" s="1"/>
      <c r="N138" s="1"/>
      <c r="O138" s="1"/>
    </row>
    <row r="139" spans="1:15" s="117" customFormat="1" ht="25.5" x14ac:dyDescent="0.2">
      <c r="A139" s="115"/>
      <c r="B139" s="20"/>
      <c r="C139" s="20"/>
      <c r="D139" s="116" t="s">
        <v>254</v>
      </c>
      <c r="E139" s="155" t="s">
        <v>255</v>
      </c>
      <c r="F139" s="156"/>
      <c r="G139" s="118" t="s">
        <v>26</v>
      </c>
      <c r="H139" s="119">
        <f>F140</f>
        <v>243</v>
      </c>
      <c r="I139" s="120"/>
      <c r="J139" s="121"/>
      <c r="L139" s="122"/>
      <c r="M139" s="122"/>
      <c r="N139" s="123"/>
      <c r="O139" s="122"/>
    </row>
    <row r="140" spans="1:15" ht="14.25" x14ac:dyDescent="0.2">
      <c r="A140" s="22"/>
      <c r="B140" s="88"/>
      <c r="C140" s="74"/>
      <c r="D140" s="75"/>
      <c r="E140" s="158" t="s">
        <v>296</v>
      </c>
      <c r="F140" s="82">
        <f>231+2*6</f>
        <v>243</v>
      </c>
      <c r="G140" s="76" t="s">
        <v>26</v>
      </c>
      <c r="H140" s="89"/>
      <c r="I140" s="28"/>
      <c r="J140" s="87"/>
      <c r="L140" s="1"/>
      <c r="M140" s="1"/>
      <c r="N140" s="1"/>
      <c r="O140" s="1"/>
    </row>
    <row r="141" spans="1:15" ht="14.25" x14ac:dyDescent="0.2">
      <c r="A141" s="43"/>
      <c r="B141" s="77"/>
      <c r="C141" s="64"/>
      <c r="D141" s="30"/>
      <c r="E141" s="31"/>
      <c r="F141" s="94"/>
      <c r="G141" s="32"/>
      <c r="H141" s="93"/>
      <c r="I141" s="28"/>
      <c r="J141" s="87"/>
      <c r="L141" s="1"/>
      <c r="M141" s="1"/>
      <c r="N141" s="1"/>
      <c r="O141" s="1"/>
    </row>
    <row r="142" spans="1:15" ht="25.5" x14ac:dyDescent="0.2">
      <c r="A142" s="43"/>
      <c r="B142" s="78" t="s">
        <v>44</v>
      </c>
      <c r="C142" s="61"/>
      <c r="D142" s="30"/>
      <c r="E142" s="25" t="s">
        <v>45</v>
      </c>
      <c r="F142" s="101"/>
      <c r="G142" s="32"/>
      <c r="H142" s="91"/>
      <c r="I142" s="28"/>
      <c r="J142" s="87"/>
      <c r="L142" s="1"/>
      <c r="M142" s="1"/>
      <c r="N142" s="1"/>
      <c r="O142" s="1"/>
    </row>
    <row r="143" spans="1:15" s="117" customFormat="1" ht="14.25" x14ac:dyDescent="0.2">
      <c r="A143" s="27">
        <f>MAX(A$2:A141)+1</f>
        <v>25</v>
      </c>
      <c r="B143" s="42"/>
      <c r="C143" s="125" t="s">
        <v>134</v>
      </c>
      <c r="D143" s="136"/>
      <c r="E143" s="154" t="s">
        <v>135</v>
      </c>
      <c r="F143" s="154"/>
      <c r="G143" s="127" t="s">
        <v>26</v>
      </c>
      <c r="H143" s="124">
        <f>H144</f>
        <v>270</v>
      </c>
      <c r="I143" s="128">
        <v>0</v>
      </c>
      <c r="J143" s="83">
        <f>ROUND(I143,2)*H143</f>
        <v>0</v>
      </c>
      <c r="L143" s="1"/>
      <c r="M143" s="1"/>
      <c r="N143" s="1"/>
      <c r="O143" s="1"/>
    </row>
    <row r="144" spans="1:15" s="117" customFormat="1" ht="14.25" x14ac:dyDescent="0.2">
      <c r="A144" s="115"/>
      <c r="B144" s="20"/>
      <c r="C144" s="20"/>
      <c r="D144" s="116" t="s">
        <v>136</v>
      </c>
      <c r="E144" s="155" t="s">
        <v>137</v>
      </c>
      <c r="F144" s="156"/>
      <c r="G144" s="118" t="s">
        <v>26</v>
      </c>
      <c r="H144" s="119">
        <f>F145</f>
        <v>270</v>
      </c>
      <c r="I144" s="120"/>
      <c r="J144" s="121"/>
      <c r="L144" s="122"/>
      <c r="M144" s="122"/>
      <c r="N144" s="123"/>
      <c r="O144" s="122"/>
    </row>
    <row r="145" spans="1:15" ht="14.25" x14ac:dyDescent="0.2">
      <c r="A145" s="22"/>
      <c r="B145" s="88"/>
      <c r="C145" s="74"/>
      <c r="D145" s="75"/>
      <c r="E145" s="158" t="s">
        <v>138</v>
      </c>
      <c r="F145" s="82">
        <v>270</v>
      </c>
      <c r="G145" s="76" t="s">
        <v>26</v>
      </c>
      <c r="H145" s="89"/>
      <c r="I145" s="28"/>
      <c r="J145" s="87"/>
      <c r="L145" s="1"/>
      <c r="M145" s="1"/>
      <c r="N145" s="1"/>
      <c r="O145" s="1"/>
    </row>
    <row r="146" spans="1:15" ht="14.25" x14ac:dyDescent="0.2">
      <c r="A146" s="43"/>
      <c r="B146" s="42"/>
      <c r="C146" s="44"/>
      <c r="D146" s="30"/>
      <c r="E146" s="31"/>
      <c r="F146" s="90"/>
      <c r="G146" s="45"/>
      <c r="H146" s="93"/>
      <c r="I146" s="28"/>
      <c r="J146" s="87"/>
      <c r="L146" s="1"/>
      <c r="M146" s="1"/>
      <c r="N146" s="1"/>
      <c r="O146" s="1"/>
    </row>
    <row r="147" spans="1:15" ht="38.25" x14ac:dyDescent="0.2">
      <c r="A147" s="161"/>
      <c r="B147" s="36" t="s">
        <v>46</v>
      </c>
      <c r="C147" s="49"/>
      <c r="D147" s="50"/>
      <c r="E147" s="25" t="s">
        <v>47</v>
      </c>
      <c r="F147" s="90"/>
      <c r="G147" s="37"/>
      <c r="H147" s="93"/>
      <c r="I147" s="28"/>
      <c r="J147" s="87"/>
      <c r="L147" s="1"/>
      <c r="M147" s="5"/>
      <c r="N147" s="1"/>
      <c r="O147" s="1"/>
    </row>
    <row r="148" spans="1:15" s="117" customFormat="1" ht="25.5" x14ac:dyDescent="0.2">
      <c r="A148" s="27">
        <f>MAX(A$2:A145)+1</f>
        <v>26</v>
      </c>
      <c r="B148" s="42"/>
      <c r="C148" s="125" t="s">
        <v>48</v>
      </c>
      <c r="D148" s="136"/>
      <c r="E148" s="154" t="s">
        <v>49</v>
      </c>
      <c r="F148" s="154"/>
      <c r="G148" s="127" t="s">
        <v>39</v>
      </c>
      <c r="H148" s="124">
        <f>F149</f>
        <v>343.73399999999998</v>
      </c>
      <c r="I148" s="128">
        <v>0</v>
      </c>
      <c r="J148" s="83">
        <f>ROUND(I148,2)*H148</f>
        <v>0</v>
      </c>
      <c r="L148" s="1"/>
      <c r="M148" s="1"/>
      <c r="N148" s="1"/>
      <c r="O148" s="1"/>
    </row>
    <row r="149" spans="1:15" ht="14.25" x14ac:dyDescent="0.2">
      <c r="A149" s="22"/>
      <c r="B149" s="88"/>
      <c r="C149" s="74"/>
      <c r="D149" s="75"/>
      <c r="E149" s="158" t="s">
        <v>50</v>
      </c>
      <c r="F149" s="82">
        <f>1456.5*0.2*1.18</f>
        <v>343.73399999999998</v>
      </c>
      <c r="G149" s="76" t="s">
        <v>39</v>
      </c>
      <c r="H149" s="89"/>
      <c r="I149" s="28"/>
      <c r="J149" s="87"/>
      <c r="L149" s="1"/>
      <c r="M149" s="1"/>
      <c r="N149" s="1"/>
      <c r="O149" s="1"/>
    </row>
    <row r="150" spans="1:15" ht="14.25" x14ac:dyDescent="0.2">
      <c r="A150" s="43"/>
      <c r="B150" s="42"/>
      <c r="C150" s="44"/>
      <c r="D150" s="47"/>
      <c r="E150" s="48"/>
      <c r="F150" s="90"/>
      <c r="G150" s="32"/>
      <c r="H150" s="93"/>
      <c r="I150" s="28"/>
      <c r="J150" s="87"/>
      <c r="L150" s="1"/>
      <c r="M150" s="2"/>
      <c r="N150" s="1"/>
      <c r="O150" s="1"/>
    </row>
    <row r="151" spans="1:15" s="117" customFormat="1" ht="25.5" x14ac:dyDescent="0.2">
      <c r="A151" s="27">
        <f>MAX(A$2:A149)+1</f>
        <v>27</v>
      </c>
      <c r="B151" s="42"/>
      <c r="C151" s="125" t="s">
        <v>96</v>
      </c>
      <c r="D151" s="136"/>
      <c r="E151" s="154" t="s">
        <v>97</v>
      </c>
      <c r="F151" s="154"/>
      <c r="G151" s="127" t="s">
        <v>39</v>
      </c>
      <c r="H151" s="124">
        <f>H152</f>
        <v>72.031319999999994</v>
      </c>
      <c r="I151" s="128">
        <v>0</v>
      </c>
      <c r="J151" s="83">
        <f>ROUND(I151,2)*H151</f>
        <v>0</v>
      </c>
      <c r="L151" s="1"/>
      <c r="M151" s="1"/>
      <c r="N151" s="1"/>
      <c r="O151" s="1"/>
    </row>
    <row r="152" spans="1:15" s="117" customFormat="1" ht="25.5" x14ac:dyDescent="0.2">
      <c r="A152" s="115"/>
      <c r="B152" s="20"/>
      <c r="C152" s="20"/>
      <c r="D152" s="116" t="s">
        <v>96</v>
      </c>
      <c r="E152" s="155" t="s">
        <v>97</v>
      </c>
      <c r="F152" s="156"/>
      <c r="G152" s="118" t="s">
        <v>39</v>
      </c>
      <c r="H152" s="119">
        <f>F153</f>
        <v>72.031319999999994</v>
      </c>
      <c r="I152" s="120"/>
      <c r="J152" s="121"/>
      <c r="L152" s="122"/>
      <c r="M152" s="122"/>
      <c r="N152" s="123"/>
      <c r="O152" s="122"/>
    </row>
    <row r="153" spans="1:15" ht="25.5" x14ac:dyDescent="0.2">
      <c r="A153" s="22"/>
      <c r="B153" s="88"/>
      <c r="C153" s="74"/>
      <c r="D153" s="75"/>
      <c r="E153" s="158" t="s">
        <v>98</v>
      </c>
      <c r="F153" s="82">
        <f>(0.046)*(2.87)+(0.037+0.024)*(2.87+3.24)+(0.277+0.059)*(3.24+9.26)+(0.37+0.053)*(9.26+12.5)+(0.197+0.082)*25+(0.195+0.083)*25+(0.253+0.083)*25+(0.273+0.057)*25+(0.276+0.075)*25+(0.197+0.083)*25+(0.197+0.083)*(12.5+6.73)+(0.275+0.11)*(6.73+5.77)+(0.263+0.01)*5.77</f>
        <v>72.031319999999994</v>
      </c>
      <c r="G153" s="76" t="s">
        <v>39</v>
      </c>
      <c r="H153" s="89"/>
      <c r="I153" s="28"/>
      <c r="J153" s="87"/>
      <c r="L153" s="1"/>
      <c r="M153" s="1"/>
      <c r="N153" s="1"/>
      <c r="O153" s="1"/>
    </row>
    <row r="154" spans="1:15" ht="14.25" x14ac:dyDescent="0.2">
      <c r="A154" s="43"/>
      <c r="B154" s="42"/>
      <c r="C154" s="44"/>
      <c r="D154" s="47"/>
      <c r="E154" s="48"/>
      <c r="F154" s="90"/>
      <c r="G154" s="32"/>
      <c r="H154" s="93"/>
      <c r="I154" s="28"/>
      <c r="J154" s="87"/>
      <c r="L154" s="1"/>
      <c r="M154" s="2"/>
      <c r="N154" s="1"/>
      <c r="O154" s="1"/>
    </row>
    <row r="155" spans="1:15" s="117" customFormat="1" ht="25.5" x14ac:dyDescent="0.2">
      <c r="A155" s="27">
        <f>MAX(A$2:A153)+1</f>
        <v>28</v>
      </c>
      <c r="B155" s="42"/>
      <c r="C155" s="125" t="s">
        <v>99</v>
      </c>
      <c r="D155" s="136"/>
      <c r="E155" s="154" t="s">
        <v>100</v>
      </c>
      <c r="F155" s="154"/>
      <c r="G155" s="127" t="s">
        <v>39</v>
      </c>
      <c r="H155" s="124">
        <f>H156</f>
        <v>39.223000000000006</v>
      </c>
      <c r="I155" s="128">
        <v>0</v>
      </c>
      <c r="J155" s="83">
        <f>ROUND(I155,2)*H155</f>
        <v>0</v>
      </c>
      <c r="L155" s="1"/>
      <c r="M155" s="1"/>
      <c r="N155" s="1"/>
      <c r="O155" s="1"/>
    </row>
    <row r="156" spans="1:15" s="117" customFormat="1" ht="25.5" x14ac:dyDescent="0.2">
      <c r="A156" s="115"/>
      <c r="B156" s="20"/>
      <c r="C156" s="20"/>
      <c r="D156" s="116" t="s">
        <v>99</v>
      </c>
      <c r="E156" s="155" t="s">
        <v>100</v>
      </c>
      <c r="F156" s="156"/>
      <c r="G156" s="118" t="s">
        <v>39</v>
      </c>
      <c r="H156" s="119">
        <f>F157</f>
        <v>39.223000000000006</v>
      </c>
      <c r="I156" s="120"/>
      <c r="J156" s="121"/>
      <c r="L156" s="122"/>
      <c r="M156" s="122"/>
      <c r="N156" s="123"/>
      <c r="O156" s="122"/>
    </row>
    <row r="157" spans="1:15" ht="14.25" x14ac:dyDescent="0.2">
      <c r="A157" s="22"/>
      <c r="B157" s="88"/>
      <c r="C157" s="74"/>
      <c r="D157" s="75"/>
      <c r="E157" s="158" t="s">
        <v>101</v>
      </c>
      <c r="F157" s="82">
        <f>(279.68+112.55)*0.1</f>
        <v>39.223000000000006</v>
      </c>
      <c r="G157" s="76" t="s">
        <v>39</v>
      </c>
      <c r="H157" s="89"/>
      <c r="I157" s="28"/>
      <c r="J157" s="87"/>
      <c r="L157" s="1"/>
      <c r="M157" s="1"/>
      <c r="N157" s="1"/>
      <c r="O157" s="1"/>
    </row>
    <row r="158" spans="1:15" ht="14.25" x14ac:dyDescent="0.2">
      <c r="A158" s="161"/>
      <c r="B158" s="42"/>
      <c r="C158" s="44"/>
      <c r="D158" s="47"/>
      <c r="E158" s="48"/>
      <c r="F158" s="90"/>
      <c r="G158" s="32"/>
      <c r="H158" s="93"/>
      <c r="I158" s="28"/>
      <c r="J158" s="87"/>
      <c r="L158" s="1"/>
      <c r="M158" s="2"/>
      <c r="N158" s="1"/>
      <c r="O158" s="1"/>
    </row>
    <row r="159" spans="1:15" s="117" customFormat="1" ht="38.25" x14ac:dyDescent="0.2">
      <c r="A159" s="79">
        <f>MAX(A$2:A156)+1</f>
        <v>29</v>
      </c>
      <c r="B159" s="42"/>
      <c r="C159" s="125" t="s">
        <v>51</v>
      </c>
      <c r="D159" s="136"/>
      <c r="E159" s="154" t="s">
        <v>52</v>
      </c>
      <c r="F159" s="154"/>
      <c r="G159" s="127" t="s">
        <v>39</v>
      </c>
      <c r="H159" s="124">
        <f>H160</f>
        <v>281.83275000000003</v>
      </c>
      <c r="I159" s="128">
        <v>0</v>
      </c>
      <c r="J159" s="83">
        <f>ROUND(I159,2)*H159</f>
        <v>0</v>
      </c>
      <c r="L159" s="1"/>
      <c r="M159" s="1"/>
      <c r="N159" s="1"/>
      <c r="O159" s="1"/>
    </row>
    <row r="160" spans="1:15" s="117" customFormat="1" ht="38.25" x14ac:dyDescent="0.2">
      <c r="A160" s="115"/>
      <c r="B160" s="20"/>
      <c r="C160" s="20"/>
      <c r="D160" s="116"/>
      <c r="E160" s="155" t="s">
        <v>53</v>
      </c>
      <c r="F160" s="156"/>
      <c r="G160" s="118" t="s">
        <v>39</v>
      </c>
      <c r="H160" s="119">
        <f>F161</f>
        <v>281.83275000000003</v>
      </c>
      <c r="I160" s="120"/>
      <c r="J160" s="121"/>
      <c r="L160" s="122"/>
      <c r="M160" s="122"/>
      <c r="N160" s="123"/>
      <c r="O160" s="122"/>
    </row>
    <row r="161" spans="1:15" ht="14.25" x14ac:dyDescent="0.2">
      <c r="A161" s="22"/>
      <c r="B161" s="88"/>
      <c r="C161" s="74"/>
      <c r="D161" s="75"/>
      <c r="E161" s="158" t="s">
        <v>54</v>
      </c>
      <c r="F161" s="82">
        <f>1456.5*0.18*1.075</f>
        <v>281.83275000000003</v>
      </c>
      <c r="G161" s="76" t="s">
        <v>39</v>
      </c>
      <c r="H161" s="89"/>
      <c r="I161" s="28"/>
      <c r="J161" s="87"/>
      <c r="L161" s="1"/>
      <c r="M161" s="1"/>
      <c r="N161" s="1"/>
      <c r="O161" s="1"/>
    </row>
    <row r="162" spans="1:15" ht="14.25" x14ac:dyDescent="0.2">
      <c r="A162" s="43"/>
      <c r="B162" s="42"/>
      <c r="C162" s="44"/>
      <c r="D162" s="47"/>
      <c r="E162" s="48"/>
      <c r="F162" s="90"/>
      <c r="G162" s="37"/>
      <c r="H162" s="93"/>
      <c r="I162" s="28"/>
      <c r="J162" s="87"/>
      <c r="L162" s="1"/>
      <c r="M162" s="1"/>
      <c r="N162" s="1"/>
      <c r="O162" s="1"/>
    </row>
    <row r="163" spans="1:15" ht="38.25" x14ac:dyDescent="0.2">
      <c r="A163" s="43"/>
      <c r="B163" s="51" t="s">
        <v>55</v>
      </c>
      <c r="C163" s="49"/>
      <c r="D163" s="50"/>
      <c r="E163" s="25" t="s">
        <v>56</v>
      </c>
      <c r="F163" s="90"/>
      <c r="G163" s="37"/>
      <c r="H163" s="93"/>
      <c r="I163" s="28"/>
      <c r="J163" s="87"/>
      <c r="L163" s="1"/>
      <c r="M163" s="1"/>
      <c r="N163" s="1"/>
      <c r="O163" s="1"/>
    </row>
    <row r="164" spans="1:15" s="117" customFormat="1" ht="25.5" x14ac:dyDescent="0.2">
      <c r="A164" s="27">
        <f>MAX(A$2:A162)+1</f>
        <v>30</v>
      </c>
      <c r="B164" s="33"/>
      <c r="C164" s="125" t="s">
        <v>57</v>
      </c>
      <c r="D164" s="137"/>
      <c r="E164" s="154" t="s">
        <v>58</v>
      </c>
      <c r="F164" s="154"/>
      <c r="G164" s="127" t="s">
        <v>19</v>
      </c>
      <c r="H164" s="124">
        <f>H165</f>
        <v>1514.76</v>
      </c>
      <c r="I164" s="128">
        <v>0</v>
      </c>
      <c r="J164" s="83">
        <f>ROUND(I164,2)*H164</f>
        <v>0</v>
      </c>
      <c r="L164" s="1"/>
      <c r="M164" s="1"/>
      <c r="N164" s="4"/>
      <c r="O164" s="1"/>
    </row>
    <row r="165" spans="1:15" s="117" customFormat="1" ht="25.5" x14ac:dyDescent="0.2">
      <c r="A165" s="115"/>
      <c r="B165" s="20"/>
      <c r="C165" s="20"/>
      <c r="D165" s="116" t="s">
        <v>59</v>
      </c>
      <c r="E165" s="155" t="s">
        <v>60</v>
      </c>
      <c r="F165" s="156"/>
      <c r="G165" s="118" t="s">
        <v>19</v>
      </c>
      <c r="H165" s="119">
        <f>F166</f>
        <v>1514.76</v>
      </c>
      <c r="I165" s="120"/>
      <c r="J165" s="121"/>
      <c r="L165" s="122"/>
      <c r="M165" s="122"/>
      <c r="N165" s="123"/>
      <c r="O165" s="122"/>
    </row>
    <row r="166" spans="1:15" ht="14.25" x14ac:dyDescent="0.2">
      <c r="A166" s="22"/>
      <c r="B166" s="88"/>
      <c r="C166" s="74"/>
      <c r="D166" s="75"/>
      <c r="E166" s="158" t="s">
        <v>297</v>
      </c>
      <c r="F166" s="82">
        <f>1456.5*1.04</f>
        <v>1514.76</v>
      </c>
      <c r="G166" s="76" t="s">
        <v>19</v>
      </c>
      <c r="H166" s="89"/>
      <c r="I166" s="28"/>
      <c r="J166" s="87"/>
      <c r="L166" s="1"/>
      <c r="M166" s="1"/>
      <c r="N166" s="1"/>
      <c r="O166" s="1"/>
    </row>
    <row r="167" spans="1:15" ht="14.25" x14ac:dyDescent="0.2">
      <c r="A167" s="43"/>
      <c r="B167" s="42"/>
      <c r="C167" s="44"/>
      <c r="D167" s="47"/>
      <c r="E167" s="48"/>
      <c r="F167" s="90"/>
      <c r="G167" s="37"/>
      <c r="H167" s="93"/>
      <c r="I167" s="28"/>
      <c r="J167" s="87"/>
      <c r="L167" s="1"/>
      <c r="M167" s="1"/>
      <c r="N167" s="1"/>
      <c r="O167" s="1"/>
    </row>
    <row r="168" spans="1:15" s="117" customFormat="1" ht="25.5" x14ac:dyDescent="0.2">
      <c r="A168" s="27">
        <f>MAX(A$2:A165)+1</f>
        <v>31</v>
      </c>
      <c r="B168" s="33"/>
      <c r="C168" s="125" t="s">
        <v>61</v>
      </c>
      <c r="D168" s="137"/>
      <c r="E168" s="154" t="s">
        <v>62</v>
      </c>
      <c r="F168" s="154"/>
      <c r="G168" s="127" t="s">
        <v>19</v>
      </c>
      <c r="H168" s="124">
        <f>H169</f>
        <v>1456.5</v>
      </c>
      <c r="I168" s="128">
        <v>0</v>
      </c>
      <c r="J168" s="83">
        <f>ROUND(I168,2)*H168</f>
        <v>0</v>
      </c>
      <c r="L168" s="1"/>
      <c r="M168" s="1"/>
      <c r="N168" s="4"/>
      <c r="O168" s="1"/>
    </row>
    <row r="169" spans="1:15" s="117" customFormat="1" ht="25.5" x14ac:dyDescent="0.2">
      <c r="A169" s="115"/>
      <c r="B169" s="20"/>
      <c r="C169" s="20"/>
      <c r="D169" s="116" t="s">
        <v>63</v>
      </c>
      <c r="E169" s="155" t="s">
        <v>64</v>
      </c>
      <c r="F169" s="156"/>
      <c r="G169" s="118" t="s">
        <v>19</v>
      </c>
      <c r="H169" s="119">
        <f>F170</f>
        <v>1456.5</v>
      </c>
      <c r="I169" s="120"/>
      <c r="J169" s="121"/>
      <c r="L169" s="122"/>
      <c r="M169" s="122"/>
      <c r="N169" s="123"/>
      <c r="O169" s="122"/>
    </row>
    <row r="170" spans="1:15" ht="14.25" x14ac:dyDescent="0.2">
      <c r="A170" s="22"/>
      <c r="B170" s="88"/>
      <c r="C170" s="74"/>
      <c r="D170" s="75"/>
      <c r="E170" s="158" t="s">
        <v>298</v>
      </c>
      <c r="F170" s="82">
        <f>1456.5</f>
        <v>1456.5</v>
      </c>
      <c r="G170" s="76" t="s">
        <v>19</v>
      </c>
      <c r="H170" s="89"/>
      <c r="I170" s="28"/>
      <c r="J170" s="87"/>
      <c r="L170" s="1"/>
      <c r="M170" s="1"/>
      <c r="N170" s="1"/>
      <c r="O170" s="1"/>
    </row>
    <row r="171" spans="1:15" ht="14.25" x14ac:dyDescent="0.2">
      <c r="A171" s="43"/>
      <c r="B171" s="42"/>
      <c r="C171" s="44"/>
      <c r="D171" s="47"/>
      <c r="E171" s="48"/>
      <c r="F171" s="90"/>
      <c r="G171" s="37"/>
      <c r="H171" s="93"/>
      <c r="I171" s="28"/>
      <c r="J171" s="87"/>
      <c r="L171" s="1"/>
      <c r="M171" s="1"/>
      <c r="N171" s="1"/>
      <c r="O171" s="1"/>
    </row>
    <row r="172" spans="1:15" s="117" customFormat="1" ht="25.5" x14ac:dyDescent="0.2">
      <c r="A172" s="27">
        <f>MAX(A$2:A169)+1</f>
        <v>32</v>
      </c>
      <c r="B172" s="33"/>
      <c r="C172" s="125" t="s">
        <v>65</v>
      </c>
      <c r="D172" s="137"/>
      <c r="E172" s="154" t="s">
        <v>66</v>
      </c>
      <c r="F172" s="154"/>
      <c r="G172" s="127" t="s">
        <v>39</v>
      </c>
      <c r="H172" s="124">
        <f>H173</f>
        <v>178.85820000000001</v>
      </c>
      <c r="I172" s="128">
        <v>0</v>
      </c>
      <c r="J172" s="83">
        <f>ROUND(I172,2)*H172</f>
        <v>0</v>
      </c>
      <c r="L172" s="1"/>
      <c r="M172" s="1"/>
      <c r="N172" s="4"/>
      <c r="O172" s="1"/>
    </row>
    <row r="173" spans="1:15" s="117" customFormat="1" ht="25.5" x14ac:dyDescent="0.2">
      <c r="A173" s="115"/>
      <c r="B173" s="20"/>
      <c r="C173" s="20"/>
      <c r="D173" s="116" t="s">
        <v>67</v>
      </c>
      <c r="E173" s="155" t="s">
        <v>68</v>
      </c>
      <c r="F173" s="156"/>
      <c r="G173" s="118" t="s">
        <v>39</v>
      </c>
      <c r="H173" s="119">
        <f>SUM(F174:F175)</f>
        <v>178.85820000000001</v>
      </c>
      <c r="I173" s="120"/>
      <c r="J173" s="121"/>
      <c r="L173" s="122"/>
      <c r="M173" s="122"/>
      <c r="N173" s="123"/>
      <c r="O173" s="122"/>
    </row>
    <row r="174" spans="1:15" ht="25.5" x14ac:dyDescent="0.2">
      <c r="A174" s="22"/>
      <c r="B174" s="88"/>
      <c r="C174" s="74"/>
      <c r="D174" s="75"/>
      <c r="E174" s="158" t="s">
        <v>69</v>
      </c>
      <c r="F174" s="82">
        <f>1456.5*0.07*1.04</f>
        <v>106.03320000000002</v>
      </c>
      <c r="G174" s="76" t="s">
        <v>39</v>
      </c>
      <c r="H174" s="89"/>
      <c r="I174" s="28"/>
      <c r="J174" s="87"/>
      <c r="L174" s="1"/>
      <c r="M174" s="1"/>
      <c r="N174" s="1"/>
      <c r="O174" s="1"/>
    </row>
    <row r="175" spans="1:15" ht="25.5" x14ac:dyDescent="0.2">
      <c r="A175" s="22"/>
      <c r="B175" s="88"/>
      <c r="C175" s="74"/>
      <c r="D175" s="75"/>
      <c r="E175" s="158" t="s">
        <v>70</v>
      </c>
      <c r="F175" s="82">
        <f>1456.5*0.05</f>
        <v>72.825000000000003</v>
      </c>
      <c r="G175" s="76" t="s">
        <v>39</v>
      </c>
      <c r="H175" s="89"/>
      <c r="I175" s="28"/>
      <c r="J175" s="87"/>
      <c r="L175" s="1"/>
      <c r="M175" s="1"/>
      <c r="N175" s="1"/>
      <c r="O175" s="1"/>
    </row>
    <row r="176" spans="1:15" ht="14.25" x14ac:dyDescent="0.2">
      <c r="A176" s="43"/>
      <c r="B176" s="42"/>
      <c r="C176" s="44"/>
      <c r="D176" s="30"/>
      <c r="E176" s="46"/>
      <c r="F176" s="90"/>
      <c r="G176" s="32"/>
      <c r="H176" s="93"/>
      <c r="I176" s="28"/>
      <c r="J176" s="87"/>
      <c r="L176" s="1"/>
      <c r="M176" s="1"/>
      <c r="N176" s="1"/>
      <c r="O176" s="1"/>
    </row>
    <row r="177" spans="1:15" s="117" customFormat="1" ht="25.5" x14ac:dyDescent="0.2">
      <c r="A177" s="27">
        <f>MAX(A$2:A175)+1</f>
        <v>33</v>
      </c>
      <c r="B177" s="33"/>
      <c r="C177" s="125" t="s">
        <v>130</v>
      </c>
      <c r="D177" s="137"/>
      <c r="E177" s="154" t="s">
        <v>131</v>
      </c>
      <c r="F177" s="154"/>
      <c r="G177" s="127" t="s">
        <v>19</v>
      </c>
      <c r="H177" s="124">
        <f>H178</f>
        <v>780</v>
      </c>
      <c r="I177" s="128">
        <v>0</v>
      </c>
      <c r="J177" s="83">
        <f>ROUND(I177,2)*H177</f>
        <v>0</v>
      </c>
      <c r="L177" s="1"/>
      <c r="M177" s="1"/>
      <c r="N177" s="4"/>
      <c r="O177" s="1"/>
    </row>
    <row r="178" spans="1:15" s="117" customFormat="1" ht="25.5" x14ac:dyDescent="0.2">
      <c r="A178" s="115"/>
      <c r="B178" s="20"/>
      <c r="C178" s="20"/>
      <c r="D178" s="116" t="s">
        <v>132</v>
      </c>
      <c r="E178" s="155" t="s">
        <v>133</v>
      </c>
      <c r="F178" s="156"/>
      <c r="G178" s="118" t="s">
        <v>19</v>
      </c>
      <c r="H178" s="119">
        <f>F179</f>
        <v>780</v>
      </c>
      <c r="I178" s="120"/>
      <c r="J178" s="121"/>
      <c r="L178" s="122"/>
      <c r="M178" s="122"/>
      <c r="N178" s="123"/>
      <c r="O178" s="122"/>
    </row>
    <row r="179" spans="1:15" ht="14.25" x14ac:dyDescent="0.2">
      <c r="A179" s="22"/>
      <c r="B179" s="88"/>
      <c r="C179" s="74"/>
      <c r="D179" s="75"/>
      <c r="E179" s="158" t="s">
        <v>3</v>
      </c>
      <c r="F179" s="82">
        <v>780</v>
      </c>
      <c r="G179" s="76" t="s">
        <v>19</v>
      </c>
      <c r="H179" s="89"/>
      <c r="I179" s="28"/>
      <c r="J179" s="87"/>
      <c r="L179" s="1"/>
      <c r="M179" s="1"/>
      <c r="N179" s="1"/>
      <c r="O179" s="1"/>
    </row>
    <row r="180" spans="1:15" ht="14.25" x14ac:dyDescent="0.2">
      <c r="A180" s="43"/>
      <c r="B180" s="42"/>
      <c r="C180" s="44"/>
      <c r="D180" s="47"/>
      <c r="E180" s="48"/>
      <c r="F180" s="90"/>
      <c r="G180" s="37"/>
      <c r="H180" s="93"/>
      <c r="I180" s="28"/>
      <c r="J180" s="87"/>
      <c r="L180" s="1"/>
      <c r="M180" s="1"/>
      <c r="N180" s="1"/>
      <c r="O180" s="1"/>
    </row>
    <row r="181" spans="1:15" s="117" customFormat="1" ht="14.25" x14ac:dyDescent="0.2">
      <c r="A181" s="27">
        <f>MAX(A$2:A179)+1</f>
        <v>34</v>
      </c>
      <c r="B181" s="33"/>
      <c r="C181" s="125" t="s">
        <v>71</v>
      </c>
      <c r="D181" s="137"/>
      <c r="E181" s="154" t="s">
        <v>72</v>
      </c>
      <c r="F181" s="154"/>
      <c r="G181" s="127" t="s">
        <v>26</v>
      </c>
      <c r="H181" s="124">
        <f>H182</f>
        <v>546</v>
      </c>
      <c r="I181" s="128">
        <v>0</v>
      </c>
      <c r="J181" s="83">
        <f>ROUND(I181,2)*H181</f>
        <v>0</v>
      </c>
      <c r="L181" s="1"/>
      <c r="M181" s="1"/>
      <c r="N181" s="4"/>
      <c r="O181" s="1"/>
    </row>
    <row r="182" spans="1:15" s="117" customFormat="1" ht="14.25" x14ac:dyDescent="0.2">
      <c r="A182" s="115"/>
      <c r="B182" s="20"/>
      <c r="C182" s="20"/>
      <c r="D182" s="116" t="s">
        <v>73</v>
      </c>
      <c r="E182" s="155" t="s">
        <v>74</v>
      </c>
      <c r="F182" s="156"/>
      <c r="G182" s="118" t="s">
        <v>26</v>
      </c>
      <c r="H182" s="119">
        <f>SUM(F183:F184)</f>
        <v>546</v>
      </c>
      <c r="I182" s="120"/>
      <c r="J182" s="121"/>
      <c r="L182" s="122"/>
      <c r="M182" s="122"/>
      <c r="N182" s="123"/>
      <c r="O182" s="122"/>
    </row>
    <row r="183" spans="1:15" ht="14.25" x14ac:dyDescent="0.2">
      <c r="A183" s="22"/>
      <c r="B183" s="88"/>
      <c r="C183" s="74"/>
      <c r="D183" s="75"/>
      <c r="E183" s="158" t="s">
        <v>2</v>
      </c>
      <c r="F183" s="82">
        <v>316</v>
      </c>
      <c r="G183" s="76" t="s">
        <v>26</v>
      </c>
      <c r="H183" s="89"/>
      <c r="I183" s="28"/>
      <c r="J183" s="87"/>
      <c r="L183" s="1"/>
      <c r="M183" s="1"/>
      <c r="N183" s="1"/>
      <c r="O183" s="1"/>
    </row>
    <row r="184" spans="1:15" ht="14.25" x14ac:dyDescent="0.2">
      <c r="A184" s="22"/>
      <c r="B184" s="88"/>
      <c r="C184" s="74"/>
      <c r="D184" s="75"/>
      <c r="E184" s="158" t="s">
        <v>75</v>
      </c>
      <c r="F184" s="82">
        <v>230</v>
      </c>
      <c r="G184" s="76" t="s">
        <v>26</v>
      </c>
      <c r="H184" s="89"/>
      <c r="I184" s="28"/>
      <c r="J184" s="87"/>
      <c r="L184" s="1"/>
      <c r="M184" s="1"/>
      <c r="N184" s="1"/>
      <c r="O184" s="1"/>
    </row>
    <row r="185" spans="1:15" x14ac:dyDescent="0.2">
      <c r="A185" s="43"/>
      <c r="B185" s="42"/>
      <c r="C185" s="44"/>
      <c r="D185" s="47"/>
      <c r="E185" s="48"/>
      <c r="F185" s="90"/>
      <c r="G185" s="37"/>
      <c r="H185" s="93"/>
      <c r="I185" s="28"/>
      <c r="J185" s="87"/>
    </row>
    <row r="186" spans="1:15" s="117" customFormat="1" ht="25.5" x14ac:dyDescent="0.2">
      <c r="A186" s="27">
        <f>MAX(A$2:A184)+1</f>
        <v>35</v>
      </c>
      <c r="B186" s="33"/>
      <c r="C186" s="125" t="s">
        <v>256</v>
      </c>
      <c r="D186" s="137"/>
      <c r="E186" s="154" t="s">
        <v>257</v>
      </c>
      <c r="F186" s="154"/>
      <c r="G186" s="127" t="s">
        <v>125</v>
      </c>
      <c r="H186" s="124">
        <f>H187</f>
        <v>28</v>
      </c>
      <c r="I186" s="128">
        <v>0</v>
      </c>
      <c r="J186" s="83">
        <f>ROUND(I186,2)*H186</f>
        <v>0</v>
      </c>
      <c r="L186" s="1"/>
      <c r="M186" s="1"/>
      <c r="N186" s="4"/>
      <c r="O186" s="1"/>
    </row>
    <row r="187" spans="1:15" s="117" customFormat="1" ht="25.5" x14ac:dyDescent="0.2">
      <c r="A187" s="115"/>
      <c r="B187" s="20"/>
      <c r="C187" s="20"/>
      <c r="D187" s="116" t="s">
        <v>258</v>
      </c>
      <c r="E187" s="155" t="s">
        <v>259</v>
      </c>
      <c r="F187" s="156"/>
      <c r="G187" s="118" t="s">
        <v>125</v>
      </c>
      <c r="H187" s="119">
        <f>F190</f>
        <v>28</v>
      </c>
      <c r="I187" s="120"/>
      <c r="J187" s="121"/>
      <c r="L187" s="122"/>
      <c r="M187" s="122"/>
      <c r="N187" s="123"/>
      <c r="O187" s="122"/>
    </row>
    <row r="188" spans="1:15" ht="14.25" x14ac:dyDescent="0.2">
      <c r="A188" s="22"/>
      <c r="B188" s="88"/>
      <c r="C188" s="74"/>
      <c r="D188" s="75"/>
      <c r="E188" s="158" t="s">
        <v>260</v>
      </c>
      <c r="F188" s="82">
        <v>24</v>
      </c>
      <c r="G188" s="76" t="s">
        <v>125</v>
      </c>
      <c r="H188" s="89"/>
      <c r="I188" s="28"/>
      <c r="J188" s="87"/>
      <c r="L188" s="1"/>
      <c r="M188" s="1"/>
      <c r="N188" s="1"/>
      <c r="O188" s="1"/>
    </row>
    <row r="189" spans="1:15" ht="14.25" x14ac:dyDescent="0.2">
      <c r="A189" s="22"/>
      <c r="B189" s="88"/>
      <c r="C189" s="74"/>
      <c r="D189" s="75"/>
      <c r="E189" s="158" t="s">
        <v>261</v>
      </c>
      <c r="F189" s="135">
        <v>4</v>
      </c>
      <c r="G189" s="76" t="s">
        <v>125</v>
      </c>
      <c r="H189" s="89"/>
      <c r="I189" s="28"/>
      <c r="J189" s="87"/>
      <c r="L189" s="1"/>
      <c r="M189" s="1"/>
      <c r="N189" s="1"/>
      <c r="O189" s="1"/>
    </row>
    <row r="190" spans="1:15" ht="14.25" x14ac:dyDescent="0.2">
      <c r="A190" s="27"/>
      <c r="B190" s="33"/>
      <c r="C190" s="133"/>
      <c r="D190" s="30"/>
      <c r="E190" s="160" t="s">
        <v>158</v>
      </c>
      <c r="F190" s="159">
        <f>SUM(F188:F189)</f>
        <v>28</v>
      </c>
      <c r="G190" s="134" t="s">
        <v>125</v>
      </c>
      <c r="H190" s="93"/>
      <c r="I190" s="28"/>
      <c r="J190" s="87"/>
      <c r="L190" s="1"/>
      <c r="M190" s="1"/>
      <c r="N190" s="4"/>
      <c r="O190" s="1"/>
    </row>
    <row r="191" spans="1:15" x14ac:dyDescent="0.2">
      <c r="A191" s="43"/>
      <c r="B191" s="42"/>
      <c r="C191" s="44"/>
      <c r="D191" s="66"/>
      <c r="E191" s="48"/>
      <c r="F191" s="90"/>
      <c r="G191" s="37"/>
      <c r="H191" s="93"/>
      <c r="I191" s="28"/>
      <c r="J191" s="87"/>
    </row>
    <row r="192" spans="1:15" s="117" customFormat="1" ht="25.5" x14ac:dyDescent="0.2">
      <c r="A192" s="27">
        <f>MAX(A$2:A190)+1</f>
        <v>36</v>
      </c>
      <c r="B192" s="33"/>
      <c r="C192" s="125" t="s">
        <v>76</v>
      </c>
      <c r="D192" s="137"/>
      <c r="E192" s="154" t="s">
        <v>77</v>
      </c>
      <c r="F192" s="154"/>
      <c r="G192" s="127" t="s">
        <v>26</v>
      </c>
      <c r="H192" s="124">
        <f>H193</f>
        <v>310</v>
      </c>
      <c r="I192" s="128">
        <v>0</v>
      </c>
      <c r="J192" s="83">
        <f>ROUND(I192,2)*H192</f>
        <v>0</v>
      </c>
      <c r="L192" s="1"/>
      <c r="M192" s="1"/>
      <c r="N192" s="4"/>
      <c r="O192" s="1"/>
    </row>
    <row r="193" spans="1:15" s="117" customFormat="1" ht="25.5" x14ac:dyDescent="0.2">
      <c r="A193" s="115"/>
      <c r="B193" s="20"/>
      <c r="C193" s="20"/>
      <c r="D193" s="116" t="s">
        <v>78</v>
      </c>
      <c r="E193" s="155" t="s">
        <v>79</v>
      </c>
      <c r="F193" s="156"/>
      <c r="G193" s="118" t="s">
        <v>26</v>
      </c>
      <c r="H193" s="119">
        <f>F194</f>
        <v>310</v>
      </c>
      <c r="I193" s="120"/>
      <c r="J193" s="121"/>
      <c r="L193" s="122"/>
      <c r="M193" s="122"/>
      <c r="N193" s="123"/>
      <c r="O193" s="122"/>
    </row>
    <row r="194" spans="1:15" ht="25.5" x14ac:dyDescent="0.2">
      <c r="A194" s="22"/>
      <c r="B194" s="88"/>
      <c r="C194" s="74"/>
      <c r="D194" s="75"/>
      <c r="E194" s="158" t="s">
        <v>218</v>
      </c>
      <c r="F194" s="82">
        <v>310</v>
      </c>
      <c r="G194" s="76" t="s">
        <v>26</v>
      </c>
      <c r="H194" s="89"/>
      <c r="I194" s="28"/>
      <c r="J194" s="87"/>
      <c r="L194" s="1"/>
      <c r="M194" s="1"/>
      <c r="N194" s="1"/>
      <c r="O194" s="1"/>
    </row>
    <row r="195" spans="1:15" x14ac:dyDescent="0.2">
      <c r="A195" s="43"/>
      <c r="B195" s="42"/>
      <c r="C195" s="44"/>
      <c r="D195" s="30"/>
      <c r="E195" s="31"/>
      <c r="F195" s="90"/>
      <c r="G195" s="32"/>
      <c r="H195" s="93"/>
      <c r="I195" s="28"/>
      <c r="J195" s="87"/>
    </row>
    <row r="196" spans="1:15" s="117" customFormat="1" ht="25.5" x14ac:dyDescent="0.2">
      <c r="A196" s="27">
        <f>MAX(A$2:A194)+1</f>
        <v>37</v>
      </c>
      <c r="B196" s="33"/>
      <c r="C196" s="125" t="s">
        <v>262</v>
      </c>
      <c r="D196" s="137"/>
      <c r="E196" s="154" t="s">
        <v>263</v>
      </c>
      <c r="F196" s="154"/>
      <c r="G196" s="127" t="s">
        <v>125</v>
      </c>
      <c r="H196" s="124">
        <f>H197</f>
        <v>2</v>
      </c>
      <c r="I196" s="128">
        <v>0</v>
      </c>
      <c r="J196" s="83">
        <f>ROUND(I196,2)*H196</f>
        <v>0</v>
      </c>
      <c r="L196" s="1"/>
      <c r="M196" s="1"/>
      <c r="N196" s="4"/>
      <c r="O196" s="1"/>
    </row>
    <row r="197" spans="1:15" s="117" customFormat="1" ht="25.5" x14ac:dyDescent="0.2">
      <c r="A197" s="115"/>
      <c r="B197" s="20"/>
      <c r="C197" s="20"/>
      <c r="D197" s="116" t="s">
        <v>264</v>
      </c>
      <c r="E197" s="155" t="s">
        <v>265</v>
      </c>
      <c r="F197" s="156"/>
      <c r="G197" s="118" t="s">
        <v>125</v>
      </c>
      <c r="H197" s="119">
        <f>F198</f>
        <v>2</v>
      </c>
      <c r="I197" s="120"/>
      <c r="J197" s="121"/>
      <c r="L197" s="122"/>
      <c r="M197" s="122"/>
      <c r="N197" s="123"/>
      <c r="O197" s="122"/>
    </row>
    <row r="198" spans="1:15" ht="14.25" x14ac:dyDescent="0.2">
      <c r="A198" s="22"/>
      <c r="B198" s="88"/>
      <c r="C198" s="74"/>
      <c r="D198" s="75"/>
      <c r="E198" s="158" t="s">
        <v>266</v>
      </c>
      <c r="F198" s="82">
        <v>2</v>
      </c>
      <c r="G198" s="76" t="s">
        <v>125</v>
      </c>
      <c r="H198" s="89"/>
      <c r="I198" s="28"/>
      <c r="J198" s="87"/>
      <c r="L198" s="1"/>
      <c r="M198" s="1"/>
      <c r="N198" s="1"/>
      <c r="O198" s="1"/>
    </row>
    <row r="199" spans="1:15" x14ac:dyDescent="0.2">
      <c r="A199" s="43"/>
      <c r="B199" s="42"/>
      <c r="C199" s="44"/>
      <c r="D199" s="30"/>
      <c r="E199" s="31"/>
      <c r="F199" s="90"/>
      <c r="G199" s="32"/>
      <c r="H199" s="93"/>
      <c r="I199" s="28"/>
      <c r="J199" s="87"/>
    </row>
    <row r="200" spans="1:15" ht="25.5" x14ac:dyDescent="0.2">
      <c r="A200" s="43"/>
      <c r="B200" s="36" t="s">
        <v>267</v>
      </c>
      <c r="C200" s="40"/>
      <c r="D200" s="41"/>
      <c r="E200" s="25" t="s">
        <v>268</v>
      </c>
      <c r="F200" s="94"/>
      <c r="G200" s="32"/>
      <c r="H200" s="91"/>
      <c r="I200" s="28"/>
      <c r="J200" s="87"/>
    </row>
    <row r="201" spans="1:15" s="117" customFormat="1" ht="25.5" x14ac:dyDescent="0.2">
      <c r="A201" s="27">
        <f>MAX(A$2:A199)+1</f>
        <v>38</v>
      </c>
      <c r="B201" s="33"/>
      <c r="C201" s="125" t="s">
        <v>269</v>
      </c>
      <c r="D201" s="137"/>
      <c r="E201" s="154" t="s">
        <v>270</v>
      </c>
      <c r="F201" s="154"/>
      <c r="G201" s="127" t="s">
        <v>19</v>
      </c>
      <c r="H201" s="124">
        <f>H202+H204</f>
        <v>227.375</v>
      </c>
      <c r="I201" s="128">
        <v>0</v>
      </c>
      <c r="J201" s="83">
        <f>ROUND(I201,2)*H201</f>
        <v>0</v>
      </c>
      <c r="L201" s="1"/>
      <c r="M201" s="1"/>
      <c r="N201" s="4"/>
      <c r="O201" s="1"/>
    </row>
    <row r="202" spans="1:15" s="117" customFormat="1" ht="25.5" x14ac:dyDescent="0.2">
      <c r="A202" s="115"/>
      <c r="B202" s="20"/>
      <c r="C202" s="20"/>
      <c r="D202" s="116" t="s">
        <v>271</v>
      </c>
      <c r="E202" s="155" t="s">
        <v>272</v>
      </c>
      <c r="F202" s="156"/>
      <c r="G202" s="118" t="s">
        <v>19</v>
      </c>
      <c r="H202" s="119">
        <f>F203</f>
        <v>115.5</v>
      </c>
      <c r="I202" s="120"/>
      <c r="J202" s="121"/>
      <c r="L202" s="122"/>
      <c r="M202" s="122"/>
      <c r="N202" s="123"/>
      <c r="O202" s="122"/>
    </row>
    <row r="203" spans="1:15" ht="14.25" x14ac:dyDescent="0.2">
      <c r="A203" s="22"/>
      <c r="B203" s="88"/>
      <c r="C203" s="74"/>
      <c r="D203" s="75"/>
      <c r="E203" s="158" t="s">
        <v>273</v>
      </c>
      <c r="F203" s="82">
        <f>0.25*2*231</f>
        <v>115.5</v>
      </c>
      <c r="G203" s="76" t="s">
        <v>19</v>
      </c>
      <c r="H203" s="89"/>
      <c r="I203" s="28"/>
      <c r="J203" s="87"/>
      <c r="L203" s="1"/>
      <c r="M203" s="1"/>
      <c r="N203" s="1"/>
      <c r="O203" s="1"/>
    </row>
    <row r="204" spans="1:15" s="117" customFormat="1" ht="25.5" x14ac:dyDescent="0.2">
      <c r="A204" s="115"/>
      <c r="B204" s="20"/>
      <c r="C204" s="20"/>
      <c r="D204" s="116" t="s">
        <v>274</v>
      </c>
      <c r="E204" s="155" t="s">
        <v>275</v>
      </c>
      <c r="F204" s="156"/>
      <c r="G204" s="118" t="s">
        <v>19</v>
      </c>
      <c r="H204" s="119">
        <f>F207</f>
        <v>111.875</v>
      </c>
      <c r="I204" s="120"/>
      <c r="J204" s="121"/>
      <c r="L204" s="122"/>
      <c r="M204" s="122"/>
      <c r="N204" s="123"/>
      <c r="O204" s="122"/>
    </row>
    <row r="205" spans="1:15" ht="14.25" x14ac:dyDescent="0.2">
      <c r="A205" s="22"/>
      <c r="B205" s="88"/>
      <c r="C205" s="74"/>
      <c r="D205" s="75"/>
      <c r="E205" s="158" t="s">
        <v>276</v>
      </c>
      <c r="F205" s="82">
        <f>(334+294)*0.125+6*3*0.25</f>
        <v>83</v>
      </c>
      <c r="G205" s="76" t="s">
        <v>19</v>
      </c>
      <c r="H205" s="89"/>
      <c r="I205" s="28"/>
      <c r="J205" s="87"/>
      <c r="L205" s="1"/>
      <c r="M205" s="1"/>
      <c r="N205" s="1"/>
      <c r="O205" s="1"/>
    </row>
    <row r="206" spans="1:15" ht="14.25" x14ac:dyDescent="0.2">
      <c r="A206" s="22"/>
      <c r="B206" s="88"/>
      <c r="C206" s="74"/>
      <c r="D206" s="75"/>
      <c r="E206" s="158" t="s">
        <v>273</v>
      </c>
      <c r="F206" s="135">
        <f>0.125*231</f>
        <v>28.875</v>
      </c>
      <c r="G206" s="76" t="s">
        <v>19</v>
      </c>
      <c r="H206" s="89"/>
      <c r="I206" s="28"/>
      <c r="J206" s="87"/>
      <c r="L206" s="1"/>
      <c r="M206" s="1"/>
      <c r="N206" s="1"/>
      <c r="O206" s="1"/>
    </row>
    <row r="207" spans="1:15" ht="14.25" x14ac:dyDescent="0.2">
      <c r="A207" s="27"/>
      <c r="B207" s="33"/>
      <c r="C207" s="133"/>
      <c r="D207" s="30"/>
      <c r="E207" s="160" t="s">
        <v>158</v>
      </c>
      <c r="F207" s="159">
        <f>F205+F206</f>
        <v>111.875</v>
      </c>
      <c r="G207" s="134" t="s">
        <v>19</v>
      </c>
      <c r="H207" s="93"/>
      <c r="I207" s="28"/>
      <c r="J207" s="87"/>
      <c r="L207" s="1"/>
      <c r="M207" s="1"/>
      <c r="N207" s="4"/>
      <c r="O207" s="1"/>
    </row>
    <row r="208" spans="1:15" x14ac:dyDescent="0.2">
      <c r="A208" s="43"/>
      <c r="B208" s="77"/>
      <c r="C208" s="44"/>
      <c r="D208" s="30"/>
      <c r="E208" s="31"/>
      <c r="F208" s="90"/>
      <c r="G208" s="32"/>
      <c r="H208" s="93"/>
      <c r="I208" s="28"/>
      <c r="J208" s="87"/>
    </row>
    <row r="209" spans="1:10" ht="25.5" x14ac:dyDescent="0.2">
      <c r="A209" s="43"/>
      <c r="B209" s="36" t="s">
        <v>196</v>
      </c>
      <c r="C209" s="40"/>
      <c r="D209" s="41"/>
      <c r="E209" s="25" t="s">
        <v>197</v>
      </c>
      <c r="F209" s="94"/>
      <c r="G209" s="32"/>
      <c r="H209" s="91"/>
      <c r="I209" s="28"/>
      <c r="J209" s="87"/>
    </row>
    <row r="210" spans="1:10" ht="14.25" customHeight="1" x14ac:dyDescent="0.2">
      <c r="A210" s="43"/>
      <c r="B210" s="42"/>
      <c r="C210" s="191"/>
      <c r="D210" s="66"/>
      <c r="E210" s="48"/>
      <c r="F210" s="90"/>
      <c r="G210" s="37"/>
      <c r="H210" s="93"/>
      <c r="I210" s="28"/>
      <c r="J210" s="87"/>
    </row>
    <row r="211" spans="1:10" ht="14.25" customHeight="1" x14ac:dyDescent="0.2">
      <c r="A211" s="27">
        <f>MAX(A$2:A210)+1</f>
        <v>39</v>
      </c>
      <c r="B211" s="42"/>
      <c r="C211" s="139" t="s">
        <v>321</v>
      </c>
      <c r="D211" s="183"/>
      <c r="E211" s="184" t="s">
        <v>322</v>
      </c>
      <c r="F211" s="185"/>
      <c r="G211" s="186" t="s">
        <v>39</v>
      </c>
      <c r="H211" s="93">
        <f>H212</f>
        <v>10.946999999999999</v>
      </c>
      <c r="I211" s="128">
        <v>0</v>
      </c>
      <c r="J211" s="83">
        <f>ROUND(I211,2)*H211</f>
        <v>0</v>
      </c>
    </row>
    <row r="212" spans="1:10" ht="14.25" customHeight="1" x14ac:dyDescent="0.2">
      <c r="A212" s="43"/>
      <c r="B212" s="42"/>
      <c r="C212" s="173"/>
      <c r="D212" s="181" t="s">
        <v>319</v>
      </c>
      <c r="E212" s="182" t="s">
        <v>320</v>
      </c>
      <c r="F212" s="6"/>
      <c r="G212" s="45" t="s">
        <v>39</v>
      </c>
      <c r="H212" s="130">
        <f>F213</f>
        <v>10.946999999999999</v>
      </c>
      <c r="I212" s="177"/>
      <c r="J212" s="178"/>
    </row>
    <row r="213" spans="1:10" ht="14.25" customHeight="1" x14ac:dyDescent="0.2">
      <c r="A213" s="43"/>
      <c r="B213" s="42"/>
      <c r="C213" s="173"/>
      <c r="D213" s="174"/>
      <c r="E213" s="158" t="s">
        <v>323</v>
      </c>
      <c r="F213" s="192">
        <f>20.62*0.3+15.87*0.3</f>
        <v>10.946999999999999</v>
      </c>
      <c r="G213" s="134" t="s">
        <v>39</v>
      </c>
      <c r="H213" s="176"/>
      <c r="I213" s="177"/>
      <c r="J213" s="178"/>
    </row>
    <row r="214" spans="1:10" ht="14.25" customHeight="1" x14ac:dyDescent="0.2">
      <c r="A214" s="43"/>
      <c r="B214" s="42"/>
      <c r="C214" s="191"/>
      <c r="D214" s="66"/>
      <c r="E214" s="48"/>
      <c r="F214" s="90"/>
      <c r="G214" s="37"/>
      <c r="H214" s="93"/>
      <c r="I214" s="28"/>
      <c r="J214" s="87"/>
    </row>
    <row r="215" spans="1:10" ht="14.25" customHeight="1" x14ac:dyDescent="0.2">
      <c r="A215" s="27">
        <f>MAX(A$2:A214)+1</f>
        <v>40</v>
      </c>
      <c r="B215" s="42"/>
      <c r="C215" s="139" t="s">
        <v>329</v>
      </c>
      <c r="D215" s="183"/>
      <c r="E215" s="184" t="s">
        <v>330</v>
      </c>
      <c r="F215" s="193"/>
      <c r="G215" s="142" t="s">
        <v>19</v>
      </c>
      <c r="H215" s="93">
        <f>H216</f>
        <v>3.54</v>
      </c>
      <c r="I215" s="128">
        <v>0</v>
      </c>
      <c r="J215" s="83">
        <f>ROUND(I215,2)*H215</f>
        <v>0</v>
      </c>
    </row>
    <row r="216" spans="1:10" ht="14.25" customHeight="1" x14ac:dyDescent="0.2">
      <c r="A216" s="43"/>
      <c r="B216" s="42"/>
      <c r="C216" s="191"/>
      <c r="D216" s="188" t="s">
        <v>331</v>
      </c>
      <c r="E216" s="189" t="s">
        <v>332</v>
      </c>
      <c r="F216" s="194"/>
      <c r="G216" s="32" t="s">
        <v>19</v>
      </c>
      <c r="H216" s="130">
        <f>F217</f>
        <v>3.54</v>
      </c>
      <c r="I216" s="28"/>
      <c r="J216" s="87"/>
    </row>
    <row r="217" spans="1:10" ht="14.25" customHeight="1" x14ac:dyDescent="0.2">
      <c r="A217" s="43"/>
      <c r="B217" s="42"/>
      <c r="C217" s="191"/>
      <c r="D217" s="66"/>
      <c r="E217" s="48" t="s">
        <v>333</v>
      </c>
      <c r="F217" s="192">
        <f>0.64*2+0.23*2+4*1.5*0.3</f>
        <v>3.54</v>
      </c>
      <c r="G217" s="134" t="s">
        <v>19</v>
      </c>
      <c r="H217" s="93"/>
      <c r="I217" s="28"/>
      <c r="J217" s="87"/>
    </row>
    <row r="218" spans="1:10" ht="14.25" customHeight="1" x14ac:dyDescent="0.2">
      <c r="A218" s="43"/>
      <c r="B218" s="42"/>
      <c r="C218" s="191"/>
      <c r="D218" s="66"/>
      <c r="E218" s="48"/>
      <c r="F218" s="90"/>
      <c r="G218" s="37"/>
      <c r="H218" s="93"/>
      <c r="I218" s="28"/>
      <c r="J218" s="87"/>
    </row>
    <row r="219" spans="1:10" ht="14.25" customHeight="1" x14ac:dyDescent="0.2">
      <c r="A219" s="27">
        <f>MAX(A$2:A218)+1</f>
        <v>41</v>
      </c>
      <c r="B219" s="42"/>
      <c r="C219" s="139" t="s">
        <v>325</v>
      </c>
      <c r="D219" s="183"/>
      <c r="E219" s="184" t="s">
        <v>326</v>
      </c>
      <c r="F219" s="185"/>
      <c r="G219" s="142" t="s">
        <v>112</v>
      </c>
      <c r="H219" s="93">
        <f>H220</f>
        <v>0.39168366000000004</v>
      </c>
      <c r="I219" s="128">
        <v>0</v>
      </c>
      <c r="J219" s="83">
        <f>ROUND(I219,2)*H219</f>
        <v>0</v>
      </c>
    </row>
    <row r="220" spans="1:10" ht="14.25" customHeight="1" x14ac:dyDescent="0.2">
      <c r="A220" s="43"/>
      <c r="B220" s="42"/>
      <c r="C220" s="173"/>
      <c r="D220" s="188" t="s">
        <v>327</v>
      </c>
      <c r="E220" s="189" t="s">
        <v>328</v>
      </c>
      <c r="F220" s="190"/>
      <c r="G220" s="32" t="s">
        <v>112</v>
      </c>
      <c r="H220" s="130">
        <f>F221</f>
        <v>0.39168366000000004</v>
      </c>
      <c r="I220" s="177"/>
      <c r="J220" s="178"/>
    </row>
    <row r="221" spans="1:10" ht="14.25" customHeight="1" x14ac:dyDescent="0.2">
      <c r="A221" s="43"/>
      <c r="B221" s="42"/>
      <c r="C221" s="173"/>
      <c r="D221" s="174"/>
      <c r="E221" s="158" t="s">
        <v>324</v>
      </c>
      <c r="F221" s="187">
        <f>(20.62*2+15.87*2)*5.367/1000</f>
        <v>0.39168366000000004</v>
      </c>
      <c r="G221" s="134" t="s">
        <v>112</v>
      </c>
      <c r="H221" s="176"/>
      <c r="I221" s="177"/>
      <c r="J221" s="178"/>
    </row>
    <row r="222" spans="1:10" ht="14.25" customHeight="1" x14ac:dyDescent="0.2">
      <c r="A222" s="43"/>
      <c r="B222" s="42"/>
      <c r="C222" s="191"/>
      <c r="D222" s="66"/>
      <c r="E222" s="48"/>
      <c r="F222" s="90"/>
      <c r="G222" s="37"/>
      <c r="H222" s="93"/>
      <c r="I222" s="28"/>
      <c r="J222" s="87"/>
    </row>
    <row r="223" spans="1:10" ht="14.25" customHeight="1" x14ac:dyDescent="0.2">
      <c r="A223" s="27">
        <f>MAX(A$2:A222)+1</f>
        <v>42</v>
      </c>
      <c r="B223" s="33"/>
      <c r="C223" s="125" t="s">
        <v>194</v>
      </c>
      <c r="D223" s="137"/>
      <c r="E223" s="154" t="s">
        <v>195</v>
      </c>
      <c r="F223" s="154"/>
      <c r="G223" s="127" t="s">
        <v>39</v>
      </c>
      <c r="H223" s="124">
        <f>H224</f>
        <v>499.7</v>
      </c>
      <c r="I223" s="128">
        <v>0</v>
      </c>
      <c r="J223" s="83">
        <f>ROUND(I223,2)*H223</f>
        <v>0</v>
      </c>
    </row>
    <row r="224" spans="1:10" ht="14.25" customHeight="1" x14ac:dyDescent="0.2">
      <c r="A224" s="115"/>
      <c r="B224" s="20"/>
      <c r="C224" s="20"/>
      <c r="D224" s="116" t="s">
        <v>194</v>
      </c>
      <c r="E224" s="155" t="s">
        <v>195</v>
      </c>
      <c r="F224" s="156"/>
      <c r="G224" s="118" t="s">
        <v>39</v>
      </c>
      <c r="H224" s="119">
        <f>F227</f>
        <v>499.7</v>
      </c>
      <c r="I224" s="120"/>
      <c r="J224" s="121"/>
    </row>
    <row r="225" spans="1:15" ht="14.25" customHeight="1" x14ac:dyDescent="0.2">
      <c r="A225" s="22"/>
      <c r="B225" s="88"/>
      <c r="C225" s="74"/>
      <c r="D225" s="75"/>
      <c r="E225" s="158" t="s">
        <v>0</v>
      </c>
      <c r="F225" s="82">
        <f>2*0.3*1.5*263</f>
        <v>236.7</v>
      </c>
      <c r="G225" s="76" t="s">
        <v>39</v>
      </c>
      <c r="H225" s="89"/>
      <c r="I225" s="28"/>
      <c r="J225" s="87"/>
    </row>
    <row r="226" spans="1:15" ht="14.25" customHeight="1" x14ac:dyDescent="0.2">
      <c r="A226" s="22"/>
      <c r="B226" s="88"/>
      <c r="C226" s="74"/>
      <c r="D226" s="75"/>
      <c r="E226" s="158" t="s">
        <v>311</v>
      </c>
      <c r="F226" s="135">
        <f>1*1*263</f>
        <v>263</v>
      </c>
      <c r="G226" s="76" t="s">
        <v>39</v>
      </c>
      <c r="H226" s="89"/>
      <c r="I226" s="28"/>
      <c r="J226" s="87"/>
    </row>
    <row r="227" spans="1:15" ht="14.25" customHeight="1" x14ac:dyDescent="0.2">
      <c r="A227" s="22"/>
      <c r="B227" s="88"/>
      <c r="C227" s="74"/>
      <c r="D227" s="75"/>
      <c r="E227" s="160" t="s">
        <v>158</v>
      </c>
      <c r="F227" s="159">
        <f>F225+F226</f>
        <v>499.7</v>
      </c>
      <c r="G227" s="134" t="s">
        <v>39</v>
      </c>
      <c r="H227" s="89"/>
      <c r="I227" s="28"/>
      <c r="J227" s="87"/>
    </row>
    <row r="228" spans="1:15" ht="14.25" customHeight="1" x14ac:dyDescent="0.2">
      <c r="A228" s="43"/>
      <c r="B228" s="42"/>
      <c r="C228" s="191"/>
      <c r="D228" s="66"/>
      <c r="E228" s="48"/>
      <c r="F228" s="90"/>
      <c r="G228" s="37"/>
      <c r="H228" s="93"/>
      <c r="I228" s="28"/>
      <c r="J228" s="87"/>
    </row>
    <row r="229" spans="1:15" x14ac:dyDescent="0.2">
      <c r="A229" s="43"/>
      <c r="B229" s="36" t="s">
        <v>108</v>
      </c>
      <c r="C229" s="40"/>
      <c r="D229" s="41"/>
      <c r="E229" s="25" t="s">
        <v>109</v>
      </c>
      <c r="F229" s="90"/>
      <c r="G229" s="37"/>
      <c r="H229" s="93"/>
      <c r="I229" s="28"/>
      <c r="J229" s="87"/>
    </row>
    <row r="230" spans="1:15" s="117" customFormat="1" ht="25.5" x14ac:dyDescent="0.2">
      <c r="A230" s="27">
        <f>MAX(A$2:A229)+1</f>
        <v>43</v>
      </c>
      <c r="B230" s="33"/>
      <c r="C230" s="125" t="s">
        <v>198</v>
      </c>
      <c r="D230" s="137"/>
      <c r="E230" s="154" t="s">
        <v>199</v>
      </c>
      <c r="F230" s="154"/>
      <c r="G230" s="127" t="s">
        <v>26</v>
      </c>
      <c r="H230" s="124">
        <f>H231</f>
        <v>273.22999999999996</v>
      </c>
      <c r="I230" s="128">
        <v>0</v>
      </c>
      <c r="J230" s="83">
        <f>ROUND(I230,2)*H230</f>
        <v>0</v>
      </c>
      <c r="L230" s="1"/>
      <c r="M230" s="1"/>
      <c r="N230" s="4"/>
      <c r="O230" s="1"/>
    </row>
    <row r="231" spans="1:15" s="117" customFormat="1" ht="25.5" x14ac:dyDescent="0.2">
      <c r="A231" s="115"/>
      <c r="B231" s="20"/>
      <c r="C231" s="20"/>
      <c r="D231" s="116" t="s">
        <v>200</v>
      </c>
      <c r="E231" s="155" t="s">
        <v>201</v>
      </c>
      <c r="F231" s="156"/>
      <c r="G231" s="118" t="s">
        <v>26</v>
      </c>
      <c r="H231" s="119">
        <f>F232</f>
        <v>273.22999999999996</v>
      </c>
      <c r="I231" s="120"/>
      <c r="J231" s="121"/>
      <c r="L231" s="122"/>
      <c r="M231" s="122"/>
      <c r="N231" s="123"/>
      <c r="O231" s="122"/>
    </row>
    <row r="232" spans="1:15" ht="14.25" x14ac:dyDescent="0.2">
      <c r="A232" s="22"/>
      <c r="B232" s="88"/>
      <c r="C232" s="74"/>
      <c r="D232" s="75"/>
      <c r="E232" s="158" t="s">
        <v>219</v>
      </c>
      <c r="F232" s="82">
        <f>89*3.07</f>
        <v>273.22999999999996</v>
      </c>
      <c r="G232" s="76" t="s">
        <v>26</v>
      </c>
      <c r="H232" s="89"/>
      <c r="I232" s="28"/>
      <c r="J232" s="87"/>
      <c r="L232" s="1"/>
      <c r="M232" s="1"/>
      <c r="N232" s="1"/>
      <c r="O232" s="1"/>
    </row>
    <row r="233" spans="1:15" x14ac:dyDescent="0.2">
      <c r="A233" s="43"/>
      <c r="B233" s="36"/>
      <c r="C233" s="44"/>
      <c r="D233" s="66"/>
      <c r="E233" s="48"/>
      <c r="F233" s="94"/>
      <c r="G233" s="32"/>
      <c r="H233" s="93"/>
      <c r="I233" s="28"/>
      <c r="J233" s="87"/>
    </row>
    <row r="234" spans="1:15" s="117" customFormat="1" ht="25.5" x14ac:dyDescent="0.2">
      <c r="A234" s="27">
        <f>MAX(A$2:A232)+1</f>
        <v>44</v>
      </c>
      <c r="B234" s="33"/>
      <c r="C234" s="125" t="s">
        <v>202</v>
      </c>
      <c r="D234" s="137"/>
      <c r="E234" s="154" t="s">
        <v>203</v>
      </c>
      <c r="F234" s="154"/>
      <c r="G234" s="127" t="s">
        <v>26</v>
      </c>
      <c r="H234" s="124">
        <f>H235</f>
        <v>5201.9900000000007</v>
      </c>
      <c r="I234" s="128">
        <v>0</v>
      </c>
      <c r="J234" s="83">
        <f>ROUND(I234,2)*H234</f>
        <v>0</v>
      </c>
      <c r="L234" s="1"/>
      <c r="M234" s="1"/>
      <c r="N234" s="4"/>
      <c r="O234" s="1"/>
    </row>
    <row r="235" spans="1:15" s="117" customFormat="1" ht="25.5" x14ac:dyDescent="0.2">
      <c r="A235" s="115"/>
      <c r="B235" s="20"/>
      <c r="C235" s="20"/>
      <c r="D235" s="116" t="s">
        <v>204</v>
      </c>
      <c r="E235" s="155" t="s">
        <v>205</v>
      </c>
      <c r="F235" s="156"/>
      <c r="G235" s="118" t="s">
        <v>26</v>
      </c>
      <c r="H235" s="119">
        <f>F236</f>
        <v>5201.9900000000007</v>
      </c>
      <c r="I235" s="120"/>
      <c r="J235" s="121"/>
      <c r="L235" s="122"/>
      <c r="M235" s="122"/>
      <c r="N235" s="123"/>
      <c r="O235" s="122"/>
    </row>
    <row r="236" spans="1:15" ht="14.25" x14ac:dyDescent="0.2">
      <c r="A236" s="22"/>
      <c r="B236" s="88"/>
      <c r="C236" s="74"/>
      <c r="D236" s="75"/>
      <c r="E236" s="158" t="s">
        <v>220</v>
      </c>
      <c r="F236" s="82">
        <f>857*6.07</f>
        <v>5201.9900000000007</v>
      </c>
      <c r="G236" s="76" t="s">
        <v>26</v>
      </c>
      <c r="H236" s="89"/>
      <c r="I236" s="28"/>
      <c r="J236" s="87"/>
      <c r="L236" s="1"/>
      <c r="M236" s="1"/>
      <c r="N236" s="1"/>
      <c r="O236" s="1"/>
    </row>
    <row r="237" spans="1:15" x14ac:dyDescent="0.2">
      <c r="A237" s="43"/>
      <c r="B237" s="36"/>
      <c r="C237" s="40"/>
      <c r="D237" s="41"/>
      <c r="E237" s="25"/>
      <c r="F237" s="90"/>
      <c r="G237" s="37"/>
      <c r="H237" s="93"/>
      <c r="I237" s="28"/>
      <c r="J237" s="87"/>
    </row>
    <row r="238" spans="1:15" s="117" customFormat="1" ht="51" x14ac:dyDescent="0.2">
      <c r="A238" s="27">
        <f>MAX(A$2:A236)+1</f>
        <v>45</v>
      </c>
      <c r="B238" s="33"/>
      <c r="C238" s="125" t="s">
        <v>206</v>
      </c>
      <c r="D238" s="137"/>
      <c r="E238" s="154" t="s">
        <v>207</v>
      </c>
      <c r="F238" s="154"/>
      <c r="G238" s="127" t="s">
        <v>39</v>
      </c>
      <c r="H238" s="124">
        <f>H239</f>
        <v>70.926344043754909</v>
      </c>
      <c r="I238" s="128">
        <v>0</v>
      </c>
      <c r="J238" s="83">
        <f>ROUND(I238,2)*H238</f>
        <v>0</v>
      </c>
      <c r="L238" s="1"/>
      <c r="M238" s="1"/>
      <c r="N238" s="4"/>
      <c r="O238" s="1"/>
    </row>
    <row r="239" spans="1:15" s="117" customFormat="1" ht="38.25" x14ac:dyDescent="0.2">
      <c r="A239" s="115"/>
      <c r="B239" s="20"/>
      <c r="C239" s="20"/>
      <c r="D239" s="116" t="s">
        <v>206</v>
      </c>
      <c r="E239" s="155" t="s">
        <v>207</v>
      </c>
      <c r="F239" s="156"/>
      <c r="G239" s="118" t="s">
        <v>39</v>
      </c>
      <c r="H239" s="119">
        <f>F243</f>
        <v>70.926344043754909</v>
      </c>
      <c r="I239" s="120"/>
      <c r="J239" s="121"/>
      <c r="L239" s="122"/>
      <c r="M239" s="122"/>
      <c r="N239" s="123"/>
      <c r="O239" s="122"/>
    </row>
    <row r="240" spans="1:15" x14ac:dyDescent="0.2">
      <c r="A240" s="43"/>
      <c r="B240" s="36"/>
      <c r="C240" s="44"/>
      <c r="D240" s="47"/>
      <c r="E240" s="48" t="s">
        <v>208</v>
      </c>
      <c r="F240" s="90"/>
      <c r="G240" s="32"/>
      <c r="H240" s="93"/>
      <c r="I240" s="28"/>
      <c r="J240" s="87"/>
    </row>
    <row r="241" spans="1:15" ht="14.25" x14ac:dyDescent="0.2">
      <c r="A241" s="22"/>
      <c r="B241" s="88"/>
      <c r="C241" s="74"/>
      <c r="D241" s="75"/>
      <c r="E241" s="158" t="s">
        <v>209</v>
      </c>
      <c r="F241" s="82">
        <f>PI()*(0.13/2)^2*3.07*89-PI()*(0.028/2)^2*3*89</f>
        <v>3.462238522380273</v>
      </c>
      <c r="G241" s="76" t="s">
        <v>39</v>
      </c>
      <c r="H241" s="89"/>
      <c r="I241" s="28"/>
      <c r="J241" s="87"/>
      <c r="L241" s="1"/>
      <c r="M241" s="1"/>
      <c r="N241" s="1"/>
      <c r="O241" s="1"/>
    </row>
    <row r="242" spans="1:15" ht="14.25" x14ac:dyDescent="0.2">
      <c r="A242" s="22"/>
      <c r="B242" s="88"/>
      <c r="C242" s="74"/>
      <c r="D242" s="75"/>
      <c r="E242" s="158" t="s">
        <v>210</v>
      </c>
      <c r="F242" s="135">
        <f>PI()*(0.13/2)^2*6.07*857-PI()*(0.028/2)^2*3*857</f>
        <v>67.464105521374634</v>
      </c>
      <c r="G242" s="76" t="s">
        <v>39</v>
      </c>
      <c r="H242" s="89"/>
      <c r="I242" s="28"/>
      <c r="J242" s="87"/>
      <c r="L242" s="1"/>
      <c r="M242" s="1"/>
      <c r="N242" s="1"/>
      <c r="O242" s="1"/>
    </row>
    <row r="243" spans="1:15" ht="14.25" x14ac:dyDescent="0.2">
      <c r="A243" s="27"/>
      <c r="B243" s="33"/>
      <c r="C243" s="133"/>
      <c r="D243" s="30"/>
      <c r="E243" s="160" t="s">
        <v>158</v>
      </c>
      <c r="F243" s="159">
        <f>SUM(F241:F242)</f>
        <v>70.926344043754909</v>
      </c>
      <c r="G243" s="134" t="s">
        <v>39</v>
      </c>
      <c r="H243" s="93"/>
      <c r="I243" s="28"/>
      <c r="J243" s="87"/>
      <c r="L243" s="1"/>
      <c r="M243" s="1"/>
      <c r="N243" s="4"/>
      <c r="O243" s="1"/>
    </row>
    <row r="244" spans="1:15" x14ac:dyDescent="0.2">
      <c r="A244" s="43"/>
      <c r="B244" s="36"/>
      <c r="C244" s="40"/>
      <c r="D244" s="41"/>
      <c r="E244" s="48"/>
      <c r="F244" s="103"/>
      <c r="G244" s="37"/>
      <c r="H244" s="93"/>
      <c r="I244" s="28"/>
      <c r="J244" s="87"/>
    </row>
    <row r="245" spans="1:15" s="117" customFormat="1" ht="25.5" x14ac:dyDescent="0.2">
      <c r="A245" s="27">
        <f>MAX(A$2:A244)+1</f>
        <v>46</v>
      </c>
      <c r="B245" s="33"/>
      <c r="C245" s="125" t="s">
        <v>119</v>
      </c>
      <c r="D245" s="137"/>
      <c r="E245" s="154" t="s">
        <v>120</v>
      </c>
      <c r="F245" s="154"/>
      <c r="G245" s="127" t="s">
        <v>19</v>
      </c>
      <c r="H245" s="124">
        <f>H246</f>
        <v>1181.23</v>
      </c>
      <c r="I245" s="128">
        <v>0</v>
      </c>
      <c r="J245" s="83">
        <f>ROUND(I245,2)*H245</f>
        <v>0</v>
      </c>
      <c r="L245" s="1"/>
      <c r="M245" s="1"/>
      <c r="N245" s="4"/>
      <c r="O245" s="1"/>
    </row>
    <row r="246" spans="1:15" s="117" customFormat="1" ht="25.5" x14ac:dyDescent="0.2">
      <c r="A246" s="115"/>
      <c r="B246" s="20"/>
      <c r="C246" s="20"/>
      <c r="D246" s="116" t="s">
        <v>119</v>
      </c>
      <c r="E246" s="155" t="s">
        <v>120</v>
      </c>
      <c r="F246" s="156"/>
      <c r="G246" s="118" t="s">
        <v>19</v>
      </c>
      <c r="H246" s="119">
        <f>SUM(F247:F248)</f>
        <v>1181.23</v>
      </c>
      <c r="I246" s="120"/>
      <c r="J246" s="121"/>
      <c r="L246" s="122"/>
      <c r="M246" s="122"/>
      <c r="N246" s="123"/>
      <c r="O246" s="122"/>
    </row>
    <row r="247" spans="1:15" ht="14.25" x14ac:dyDescent="0.2">
      <c r="A247" s="22"/>
      <c r="B247" s="88"/>
      <c r="C247" s="74"/>
      <c r="D247" s="75"/>
      <c r="E247" s="158" t="s">
        <v>122</v>
      </c>
      <c r="F247" s="82">
        <f>3*263</f>
        <v>789</v>
      </c>
      <c r="G247" s="76" t="s">
        <v>19</v>
      </c>
      <c r="H247" s="89"/>
      <c r="I247" s="28"/>
      <c r="J247" s="87"/>
      <c r="L247" s="1"/>
      <c r="M247" s="1"/>
      <c r="N247" s="1"/>
      <c r="O247" s="1"/>
    </row>
    <row r="248" spans="1:15" ht="14.25" x14ac:dyDescent="0.2">
      <c r="A248" s="22"/>
      <c r="B248" s="88"/>
      <c r="C248" s="74"/>
      <c r="D248" s="75"/>
      <c r="E248" s="158" t="s">
        <v>121</v>
      </c>
      <c r="F248" s="82">
        <f>279.68+112.55</f>
        <v>392.23</v>
      </c>
      <c r="G248" s="76" t="s">
        <v>19</v>
      </c>
      <c r="H248" s="89"/>
      <c r="I248" s="28"/>
      <c r="J248" s="87"/>
      <c r="L248" s="1"/>
      <c r="M248" s="1"/>
      <c r="N248" s="1"/>
      <c r="O248" s="1"/>
    </row>
    <row r="249" spans="1:15" x14ac:dyDescent="0.2">
      <c r="A249" s="43"/>
      <c r="B249" s="36"/>
      <c r="C249" s="40"/>
      <c r="D249" s="41"/>
      <c r="E249" s="63"/>
      <c r="F249" s="90"/>
      <c r="G249" s="62"/>
      <c r="H249" s="91"/>
      <c r="I249" s="28"/>
      <c r="J249" s="87"/>
    </row>
    <row r="250" spans="1:15" s="117" customFormat="1" ht="25.5" x14ac:dyDescent="0.2">
      <c r="A250" s="27">
        <f>MAX(A$2:A248)+1</f>
        <v>47</v>
      </c>
      <c r="B250" s="33"/>
      <c r="C250" s="125" t="s">
        <v>126</v>
      </c>
      <c r="D250" s="137"/>
      <c r="E250" s="154" t="s">
        <v>127</v>
      </c>
      <c r="F250" s="154"/>
      <c r="G250" s="127" t="s">
        <v>39</v>
      </c>
      <c r="H250" s="124">
        <f>H251</f>
        <v>169.92194471852974</v>
      </c>
      <c r="I250" s="128">
        <v>0</v>
      </c>
      <c r="J250" s="83">
        <f>ROUND(I250,2)*H250</f>
        <v>0</v>
      </c>
      <c r="L250" s="1"/>
      <c r="M250" s="1"/>
      <c r="N250" s="4"/>
      <c r="O250" s="1"/>
    </row>
    <row r="251" spans="1:15" s="117" customFormat="1" ht="25.5" x14ac:dyDescent="0.2">
      <c r="A251" s="115"/>
      <c r="B251" s="20"/>
      <c r="C251" s="20"/>
      <c r="D251" s="116" t="s">
        <v>221</v>
      </c>
      <c r="E251" s="155" t="s">
        <v>222</v>
      </c>
      <c r="F251" s="156"/>
      <c r="G251" s="118" t="s">
        <v>39</v>
      </c>
      <c r="H251" s="119">
        <f>F252</f>
        <v>169.92194471852974</v>
      </c>
      <c r="I251" s="120"/>
      <c r="J251" s="121"/>
      <c r="L251" s="122"/>
      <c r="M251" s="122"/>
      <c r="N251" s="123"/>
      <c r="O251" s="122"/>
    </row>
    <row r="252" spans="1:15" ht="14.25" x14ac:dyDescent="0.2">
      <c r="A252" s="22"/>
      <c r="B252" s="88"/>
      <c r="C252" s="74"/>
      <c r="D252" s="75"/>
      <c r="E252" s="158" t="s">
        <v>299</v>
      </c>
      <c r="F252" s="82">
        <f>834/COS(RADIANS(11))*0.2</f>
        <v>169.92194471852974</v>
      </c>
      <c r="G252" s="76" t="s">
        <v>39</v>
      </c>
      <c r="H252" s="89"/>
      <c r="I252" s="28"/>
      <c r="J252" s="87"/>
      <c r="L252" s="1"/>
      <c r="M252" s="1"/>
      <c r="N252" s="1"/>
      <c r="O252" s="1"/>
    </row>
    <row r="253" spans="1:15" x14ac:dyDescent="0.2">
      <c r="A253" s="43"/>
      <c r="B253" s="36"/>
      <c r="C253" s="40"/>
      <c r="D253" s="41"/>
      <c r="E253" s="25"/>
      <c r="F253" s="90"/>
      <c r="G253" s="37"/>
      <c r="H253" s="93"/>
      <c r="I253" s="28"/>
      <c r="J253" s="87"/>
    </row>
    <row r="254" spans="1:15" s="117" customFormat="1" ht="25.5" x14ac:dyDescent="0.2">
      <c r="A254" s="27">
        <f>MAX(A$2:A251)+1</f>
        <v>48</v>
      </c>
      <c r="B254" s="33"/>
      <c r="C254" s="125" t="s">
        <v>110</v>
      </c>
      <c r="D254" s="137"/>
      <c r="E254" s="154" t="s">
        <v>111</v>
      </c>
      <c r="F254" s="154"/>
      <c r="G254" s="127" t="s">
        <v>112</v>
      </c>
      <c r="H254" s="124">
        <f>SUM(H255:H258)</f>
        <v>10.226153431385047</v>
      </c>
      <c r="I254" s="128">
        <v>0</v>
      </c>
      <c r="J254" s="83">
        <f>ROUND(I254,2)*H254</f>
        <v>0</v>
      </c>
      <c r="L254" s="1"/>
      <c r="M254" s="1"/>
      <c r="N254" s="4"/>
      <c r="O254" s="1"/>
    </row>
    <row r="255" spans="1:15" s="117" customFormat="1" ht="25.5" x14ac:dyDescent="0.2">
      <c r="A255" s="115"/>
      <c r="B255" s="20"/>
      <c r="C255" s="20"/>
      <c r="D255" s="116" t="s">
        <v>113</v>
      </c>
      <c r="E255" s="155" t="s">
        <v>111</v>
      </c>
      <c r="F255" s="156"/>
      <c r="G255" s="118" t="s">
        <v>112</v>
      </c>
      <c r="H255" s="119">
        <f>F257</f>
        <v>1.101345</v>
      </c>
      <c r="I255" s="120"/>
      <c r="J255" s="121"/>
      <c r="L255" s="122"/>
      <c r="M255" s="122"/>
      <c r="N255" s="123"/>
      <c r="O255" s="122"/>
    </row>
    <row r="256" spans="1:15" ht="14.25" x14ac:dyDescent="0.2">
      <c r="A256" s="22"/>
      <c r="B256" s="88"/>
      <c r="C256" s="74"/>
      <c r="D256" s="75"/>
      <c r="E256" s="158" t="s">
        <v>114</v>
      </c>
      <c r="F256" s="82"/>
      <c r="G256" s="76"/>
      <c r="H256" s="89"/>
      <c r="I256" s="28"/>
      <c r="J256" s="87"/>
      <c r="L256" s="1"/>
      <c r="M256" s="1"/>
      <c r="N256" s="1"/>
      <c r="O256" s="1"/>
    </row>
    <row r="257" spans="1:15" ht="14.25" x14ac:dyDescent="0.2">
      <c r="A257" s="22"/>
      <c r="B257" s="88"/>
      <c r="C257" s="74"/>
      <c r="D257" s="75"/>
      <c r="E257" s="158" t="s">
        <v>123</v>
      </c>
      <c r="F257" s="82">
        <f>(2550*0.7*0.617)/1000</f>
        <v>1.101345</v>
      </c>
      <c r="G257" s="76" t="s">
        <v>112</v>
      </c>
      <c r="H257" s="89"/>
      <c r="I257" s="28"/>
      <c r="J257" s="87"/>
      <c r="L257" s="1"/>
      <c r="M257" s="1"/>
      <c r="N257" s="1"/>
      <c r="O257" s="1"/>
    </row>
    <row r="258" spans="1:15" s="117" customFormat="1" ht="25.5" x14ac:dyDescent="0.2">
      <c r="A258" s="115"/>
      <c r="B258" s="20"/>
      <c r="C258" s="20"/>
      <c r="D258" s="116" t="s">
        <v>128</v>
      </c>
      <c r="E258" s="155" t="s">
        <v>129</v>
      </c>
      <c r="F258" s="156"/>
      <c r="G258" s="118" t="s">
        <v>112</v>
      </c>
      <c r="H258" s="119">
        <f>F259</f>
        <v>9.1248084313850466</v>
      </c>
      <c r="I258" s="120"/>
      <c r="J258" s="121"/>
      <c r="L258" s="122"/>
      <c r="M258" s="122"/>
      <c r="N258" s="123"/>
      <c r="O258" s="122"/>
    </row>
    <row r="259" spans="1:15" ht="14.25" x14ac:dyDescent="0.2">
      <c r="A259" s="22"/>
      <c r="B259" s="88"/>
      <c r="C259" s="74"/>
      <c r="D259" s="75"/>
      <c r="E259" s="158" t="s">
        <v>211</v>
      </c>
      <c r="F259" s="82">
        <f>((834/COS(RADIANS(11)))*2*5.37)/1000</f>
        <v>9.1248084313850466</v>
      </c>
      <c r="G259" s="76" t="s">
        <v>112</v>
      </c>
      <c r="H259" s="89"/>
      <c r="I259" s="28"/>
      <c r="J259" s="87"/>
      <c r="L259" s="1"/>
      <c r="M259" s="1"/>
      <c r="N259" s="1"/>
      <c r="O259" s="1"/>
    </row>
    <row r="260" spans="1:15" x14ac:dyDescent="0.2">
      <c r="A260" s="43"/>
      <c r="B260" s="36"/>
      <c r="C260" s="44"/>
      <c r="D260" s="47"/>
      <c r="E260" s="48"/>
      <c r="F260" s="90"/>
      <c r="G260" s="37"/>
      <c r="H260" s="93"/>
      <c r="I260" s="28"/>
      <c r="J260" s="87"/>
    </row>
    <row r="261" spans="1:15" s="117" customFormat="1" ht="25.5" x14ac:dyDescent="0.2">
      <c r="A261" s="27">
        <f>MAX(A$2:A259)+1</f>
        <v>49</v>
      </c>
      <c r="B261" s="33"/>
      <c r="C261" s="125" t="s">
        <v>115</v>
      </c>
      <c r="D261" s="137"/>
      <c r="E261" s="154" t="s">
        <v>116</v>
      </c>
      <c r="F261" s="154"/>
      <c r="G261" s="127" t="s">
        <v>125</v>
      </c>
      <c r="H261" s="124">
        <f>H262</f>
        <v>946</v>
      </c>
      <c r="I261" s="128">
        <v>0</v>
      </c>
      <c r="J261" s="83">
        <f>ROUND(I261,2)*H261</f>
        <v>0</v>
      </c>
      <c r="L261" s="1"/>
      <c r="M261" s="1"/>
      <c r="N261" s="4"/>
      <c r="O261" s="1"/>
    </row>
    <row r="262" spans="1:15" s="117" customFormat="1" ht="25.5" x14ac:dyDescent="0.2">
      <c r="A262" s="115"/>
      <c r="B262" s="20"/>
      <c r="C262" s="20"/>
      <c r="D262" s="116" t="s">
        <v>117</v>
      </c>
      <c r="E262" s="155" t="s">
        <v>118</v>
      </c>
      <c r="F262" s="156"/>
      <c r="G262" s="118" t="s">
        <v>125</v>
      </c>
      <c r="H262" s="119">
        <f>SUM(F264:F265)</f>
        <v>946</v>
      </c>
      <c r="I262" s="120"/>
      <c r="J262" s="121"/>
      <c r="L262" s="122"/>
      <c r="M262" s="122"/>
      <c r="N262" s="123"/>
      <c r="O262" s="122"/>
    </row>
    <row r="263" spans="1:15" ht="25.5" x14ac:dyDescent="0.2">
      <c r="A263" s="22"/>
      <c r="B263" s="88"/>
      <c r="C263" s="74"/>
      <c r="D263" s="75"/>
      <c r="E263" s="158" t="s">
        <v>277</v>
      </c>
      <c r="F263" s="82"/>
      <c r="G263" s="76"/>
      <c r="H263" s="89"/>
      <c r="I263" s="28"/>
      <c r="J263" s="87"/>
      <c r="L263" s="1"/>
      <c r="M263" s="1"/>
      <c r="N263" s="1"/>
      <c r="O263" s="1"/>
    </row>
    <row r="264" spans="1:15" ht="14.25" x14ac:dyDescent="0.2">
      <c r="A264" s="22"/>
      <c r="B264" s="88"/>
      <c r="C264" s="74"/>
      <c r="D264" s="75"/>
      <c r="E264" s="158" t="s">
        <v>228</v>
      </c>
      <c r="F264" s="82">
        <v>89</v>
      </c>
      <c r="G264" s="76" t="s">
        <v>125</v>
      </c>
      <c r="H264" s="89"/>
      <c r="I264" s="28"/>
      <c r="J264" s="87"/>
      <c r="L264" s="1"/>
      <c r="M264" s="1"/>
      <c r="N264" s="1"/>
      <c r="O264" s="1"/>
    </row>
    <row r="265" spans="1:15" ht="14.25" x14ac:dyDescent="0.2">
      <c r="A265" s="22"/>
      <c r="B265" s="88"/>
      <c r="C265" s="74"/>
      <c r="D265" s="75"/>
      <c r="E265" s="158" t="s">
        <v>124</v>
      </c>
      <c r="F265" s="82">
        <v>857</v>
      </c>
      <c r="G265" s="76" t="s">
        <v>125</v>
      </c>
      <c r="H265" s="89"/>
      <c r="I265" s="28"/>
      <c r="J265" s="87"/>
      <c r="L265" s="1"/>
      <c r="M265" s="1"/>
      <c r="N265" s="1"/>
      <c r="O265" s="1"/>
    </row>
    <row r="266" spans="1:15" x14ac:dyDescent="0.2">
      <c r="A266" s="43"/>
      <c r="B266" s="42"/>
      <c r="C266" s="44"/>
      <c r="D266" s="47"/>
      <c r="E266" s="48"/>
      <c r="F266" s="90"/>
      <c r="G266" s="37"/>
      <c r="H266" s="93"/>
      <c r="I266" s="28"/>
      <c r="J266" s="87"/>
    </row>
    <row r="267" spans="1:15" s="117" customFormat="1" ht="25.5" x14ac:dyDescent="0.2">
      <c r="A267" s="27">
        <f>MAX(A$2:A265)+1</f>
        <v>50</v>
      </c>
      <c r="B267" s="33"/>
      <c r="C267" s="125" t="s">
        <v>102</v>
      </c>
      <c r="D267" s="137"/>
      <c r="E267" s="154" t="s">
        <v>103</v>
      </c>
      <c r="F267" s="154"/>
      <c r="G267" s="127" t="s">
        <v>19</v>
      </c>
      <c r="H267" s="124">
        <f>H268</f>
        <v>2551.8386955234955</v>
      </c>
      <c r="I267" s="128">
        <v>0</v>
      </c>
      <c r="J267" s="83">
        <f>ROUND(I267,2)*H267</f>
        <v>0</v>
      </c>
      <c r="L267" s="1"/>
      <c r="M267" s="1"/>
      <c r="N267" s="4"/>
      <c r="O267" s="1"/>
    </row>
    <row r="268" spans="1:15" s="117" customFormat="1" ht="38.25" x14ac:dyDescent="0.2">
      <c r="A268" s="115"/>
      <c r="B268" s="20"/>
      <c r="C268" s="20"/>
      <c r="D268" s="116" t="s">
        <v>104</v>
      </c>
      <c r="E268" s="155" t="s">
        <v>105</v>
      </c>
      <c r="F268" s="156"/>
      <c r="G268" s="118" t="s">
        <v>19</v>
      </c>
      <c r="H268" s="119">
        <f>F270</f>
        <v>2551.8386955234955</v>
      </c>
      <c r="I268" s="120"/>
      <c r="J268" s="121"/>
      <c r="L268" s="122"/>
      <c r="M268" s="122"/>
      <c r="N268" s="123"/>
      <c r="O268" s="122"/>
    </row>
    <row r="269" spans="1:15" ht="14.25" x14ac:dyDescent="0.2">
      <c r="A269" s="22"/>
      <c r="B269" s="88"/>
      <c r="C269" s="74"/>
      <c r="D269" s="75"/>
      <c r="E269" s="158" t="s">
        <v>106</v>
      </c>
      <c r="F269" s="82"/>
      <c r="G269" s="76"/>
      <c r="H269" s="89"/>
      <c r="I269" s="28"/>
      <c r="J269" s="87"/>
      <c r="L269" s="1"/>
      <c r="M269" s="1"/>
      <c r="N269" s="1"/>
      <c r="O269" s="1"/>
    </row>
    <row r="270" spans="1:15" ht="25.5" x14ac:dyDescent="0.2">
      <c r="A270" s="22"/>
      <c r="B270" s="88"/>
      <c r="C270" s="74"/>
      <c r="D270" s="75"/>
      <c r="E270" s="158" t="s">
        <v>107</v>
      </c>
      <c r="F270" s="82">
        <f>((1950.9/COS(RADIANS(45)))+(1950.9/COS(RADIANS(33.69))))/2</f>
        <v>2551.8386955234955</v>
      </c>
      <c r="G270" s="76" t="s">
        <v>19</v>
      </c>
      <c r="H270" s="89"/>
      <c r="I270" s="28"/>
      <c r="J270" s="87"/>
      <c r="L270" s="1"/>
      <c r="M270" s="1"/>
      <c r="N270" s="1"/>
      <c r="O270" s="1"/>
    </row>
    <row r="271" spans="1:15" ht="14.25" x14ac:dyDescent="0.2">
      <c r="A271" s="22"/>
      <c r="B271" s="88"/>
      <c r="C271" s="74"/>
      <c r="D271" s="75"/>
      <c r="E271" s="158"/>
      <c r="F271" s="82"/>
      <c r="G271" s="76"/>
      <c r="H271" s="89"/>
      <c r="I271" s="28"/>
      <c r="J271" s="87"/>
      <c r="L271" s="1"/>
      <c r="M271" s="1"/>
      <c r="N271" s="1"/>
      <c r="O271" s="1"/>
    </row>
    <row r="272" spans="1:15" ht="25.5" x14ac:dyDescent="0.2">
      <c r="A272" s="167"/>
      <c r="B272" s="36" t="s">
        <v>312</v>
      </c>
      <c r="C272" s="168"/>
      <c r="D272" s="41"/>
      <c r="E272" s="25" t="s">
        <v>313</v>
      </c>
      <c r="F272" s="94"/>
      <c r="G272" s="26"/>
      <c r="H272" s="180"/>
      <c r="I272" s="179"/>
      <c r="J272" s="87"/>
      <c r="L272" s="1"/>
      <c r="M272" s="1"/>
      <c r="N272" s="1"/>
      <c r="O272" s="1"/>
    </row>
    <row r="273" spans="1:15" ht="14.25" x14ac:dyDescent="0.2">
      <c r="A273" s="79">
        <f>MAX(A$2:A272)+1</f>
        <v>51</v>
      </c>
      <c r="B273" s="24"/>
      <c r="C273" s="139" t="s">
        <v>314</v>
      </c>
      <c r="D273" s="169"/>
      <c r="E273" s="141" t="s">
        <v>315</v>
      </c>
      <c r="F273" s="141"/>
      <c r="G273" s="142" t="s">
        <v>39</v>
      </c>
      <c r="H273" s="175">
        <f>H274</f>
        <v>36.480000000000004</v>
      </c>
      <c r="I273" s="128">
        <v>0</v>
      </c>
      <c r="J273" s="83">
        <f>ROUND(I273,2)*H273</f>
        <v>0</v>
      </c>
      <c r="L273" s="1"/>
      <c r="M273" s="1"/>
      <c r="N273" s="1"/>
      <c r="O273" s="1"/>
    </row>
    <row r="274" spans="1:15" ht="14.25" x14ac:dyDescent="0.2">
      <c r="A274" s="170"/>
      <c r="B274" s="129"/>
      <c r="C274" s="126"/>
      <c r="D274" s="116" t="s">
        <v>316</v>
      </c>
      <c r="E274" s="155" t="s">
        <v>317</v>
      </c>
      <c r="F274" s="157"/>
      <c r="G274" s="118" t="s">
        <v>39</v>
      </c>
      <c r="H274" s="130">
        <f>F275</f>
        <v>36.480000000000004</v>
      </c>
      <c r="I274" s="131"/>
      <c r="J274" s="132"/>
      <c r="L274" s="1"/>
      <c r="M274" s="1"/>
      <c r="N274" s="1"/>
      <c r="O274" s="1"/>
    </row>
    <row r="275" spans="1:15" ht="25.5" x14ac:dyDescent="0.2">
      <c r="A275" s="171"/>
      <c r="B275" s="172"/>
      <c r="C275" s="173"/>
      <c r="D275" s="174"/>
      <c r="E275" s="158" t="s">
        <v>318</v>
      </c>
      <c r="F275" s="159">
        <f>7.93*2+10.31*2</f>
        <v>36.480000000000004</v>
      </c>
      <c r="G275" s="134" t="s">
        <v>39</v>
      </c>
      <c r="H275" s="176"/>
      <c r="I275" s="177"/>
      <c r="J275" s="178"/>
      <c r="L275" s="1"/>
      <c r="M275" s="1"/>
      <c r="N275" s="1"/>
      <c r="O275" s="1"/>
    </row>
    <row r="276" spans="1:15" ht="14.25" x14ac:dyDescent="0.2">
      <c r="A276" s="171"/>
      <c r="B276" s="172"/>
      <c r="C276" s="173"/>
      <c r="D276" s="174"/>
      <c r="E276" s="158"/>
      <c r="F276" s="159"/>
      <c r="G276" s="134"/>
      <c r="H276" s="176"/>
      <c r="I276" s="177"/>
      <c r="J276" s="178"/>
      <c r="L276" s="1"/>
      <c r="M276" s="1"/>
      <c r="N276" s="1"/>
      <c r="O276" s="1"/>
    </row>
    <row r="277" spans="1:15" ht="14.25" x14ac:dyDescent="0.2">
      <c r="A277" s="171"/>
      <c r="B277" s="172"/>
      <c r="C277" s="173"/>
      <c r="D277" s="174"/>
      <c r="E277" s="158"/>
      <c r="F277" s="159"/>
      <c r="G277" s="134"/>
      <c r="H277" s="176"/>
      <c r="I277" s="177"/>
      <c r="J277" s="178"/>
      <c r="L277" s="1"/>
      <c r="M277" s="1"/>
      <c r="N277" s="1"/>
      <c r="O277" s="1"/>
    </row>
    <row r="278" spans="1:15" x14ac:dyDescent="0.2">
      <c r="A278" s="43"/>
      <c r="B278" s="42"/>
      <c r="C278" s="44"/>
      <c r="D278" s="47"/>
      <c r="E278" s="48"/>
      <c r="F278" s="90"/>
      <c r="G278" s="37"/>
      <c r="H278" s="93"/>
      <c r="I278" s="28"/>
      <c r="J278" s="87"/>
    </row>
    <row r="279" spans="1:15" x14ac:dyDescent="0.2">
      <c r="A279" s="43"/>
      <c r="B279" s="42"/>
      <c r="C279" s="44"/>
      <c r="D279" s="47"/>
      <c r="E279" s="48"/>
      <c r="F279" s="90"/>
      <c r="G279" s="37"/>
      <c r="H279" s="93"/>
      <c r="I279" s="28"/>
      <c r="J279" s="87"/>
    </row>
    <row r="280" spans="1:15" x14ac:dyDescent="0.2">
      <c r="A280" s="43"/>
      <c r="B280" s="42"/>
      <c r="C280" s="44"/>
      <c r="D280" s="47"/>
      <c r="E280" s="109" t="s">
        <v>282</v>
      </c>
      <c r="F280" s="110"/>
      <c r="G280" s="111"/>
      <c r="H280" s="112"/>
      <c r="I280" s="113"/>
      <c r="J280" s="114">
        <f>SUM(J7:J279)</f>
        <v>0</v>
      </c>
    </row>
    <row r="281" spans="1:15" x14ac:dyDescent="0.2">
      <c r="A281" s="22"/>
      <c r="B281" s="24"/>
      <c r="C281" s="34"/>
      <c r="D281" s="34"/>
      <c r="E281" s="52"/>
      <c r="F281" s="102"/>
      <c r="G281" s="53"/>
      <c r="H281" s="104"/>
      <c r="I281" s="28"/>
      <c r="J281" s="87"/>
    </row>
    <row r="282" spans="1:15" ht="13.5" thickBot="1" x14ac:dyDescent="0.25">
      <c r="A282" s="54"/>
      <c r="B282" s="55"/>
      <c r="C282" s="56"/>
      <c r="D282" s="57"/>
      <c r="E282" s="58"/>
      <c r="F282" s="105"/>
      <c r="G282" s="59"/>
      <c r="H282" s="106"/>
      <c r="I282" s="107"/>
      <c r="J282" s="108"/>
    </row>
  </sheetData>
  <mergeCells count="6">
    <mergeCell ref="J4:J5"/>
    <mergeCell ref="A4:C4"/>
    <mergeCell ref="E4:F5"/>
    <mergeCell ref="G4:G5"/>
    <mergeCell ref="H4:H5"/>
    <mergeCell ref="I4:I5"/>
  </mergeCells>
  <pageMargins left="0.39370078740157483" right="0.19685039370078741" top="0.98425196850393704" bottom="0.98425196850393704" header="0.51181102362204722" footer="0.51181102362204722"/>
  <pageSetup paperSize="9" scale="75" fitToHeight="100" orientation="portrait" r:id="rId1"/>
  <headerFooter alignWithMargins="0">
    <oddFooter>&amp;C&amp;P</oddFooter>
  </headerFooter>
  <rowBreaks count="1" manualBreakCount="1">
    <brk id="11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Hárok1</vt:lpstr>
      <vt:lpstr>rozpocet</vt:lpstr>
      <vt:lpstr>rozpocet!Názvy_tlače</vt:lpstr>
      <vt:lpstr>Hárok1!Oblasť_tlače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Bratislava Extern1</dc:creator>
  <cp:lastModifiedBy>Michal Křepela</cp:lastModifiedBy>
  <cp:lastPrinted>2022-02-28T09:36:57Z</cp:lastPrinted>
  <dcterms:created xsi:type="dcterms:W3CDTF">2009-11-10T15:30:15Z</dcterms:created>
  <dcterms:modified xsi:type="dcterms:W3CDTF">2022-02-28T09:37:07Z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-479088564</vt:i4>
  </property>
  <property fmtid="{D5CDD505-2E9C-101B-9397-08002B2CF9AE}" pid="3" name="_NewReviewCycle">
    <vt:lpwstr/>
  </property>
  <property fmtid="{D5CDD505-2E9C-101B-9397-08002B2CF9AE}" pid="4" name="_EmailSubject">
    <vt:lpwstr>Žiadosť o vysvetlenie SP č. 5_VO Sanácia zosuvu na ceste III/1556, Rykynčice</vt:lpwstr>
  </property>
  <property fmtid="{D5CDD505-2E9C-101B-9397-08002B2CF9AE}" pid="5" name="_AuthorEmail">
    <vt:lpwstr>Michal.Krepela@baslerhofmann.sk</vt:lpwstr>
  </property>
  <property fmtid="{D5CDD505-2E9C-101B-9397-08002B2CF9AE}" pid="6" name="_AuthorEmailDisplayName">
    <vt:lpwstr>Křepela Michal</vt:lpwstr>
  </property>
  <property fmtid="{D5CDD505-2E9C-101B-9397-08002B2CF9AE}" pid="8" name="_PreviousAdHocReviewCycleID">
    <vt:i4>-1598250042</vt:i4>
  </property>
</Properties>
</file>