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nava-my.sharepoint.com/personal/gregusova_trnava_sk/Documents/podlimitne zakazky/OIV/ZS s MS Nam SUT - rekonstrukcia arealu spis OVO_38222_2022/VYSVETLENIE/5 okno parapet novy VV SO01/"/>
    </mc:Choice>
  </mc:AlternateContent>
  <xr:revisionPtr revIDLastSave="9" documentId="13_ncr:1_{539BAA3C-AEBE-4809-BF53-CE07F9F94337}" xr6:coauthVersionLast="46" xr6:coauthVersionMax="47" xr10:uidLastSave="{78F594B5-2E5D-4DD7-91FF-3EE257A78CEC}"/>
  <bookViews>
    <workbookView xWindow="14175" yWindow="30" windowWidth="14550" windowHeight="15600" xr2:uid="{00000000-000D-0000-FFFF-FFFF00000000}"/>
  </bookViews>
  <sheets>
    <sheet name="SO 01-E1.1,2-U2" sheetId="5" r:id="rId1"/>
  </sheets>
  <definedNames>
    <definedName name="_xlnm._FilterDatabase" localSheetId="0" hidden="1">'SO 01-E1.1,2-U2'!$A$7:$K$389</definedName>
    <definedName name="_xlnm._FilterDatabase" hidden="1">#REF!</definedName>
    <definedName name="fakt1R">#REF!</definedName>
    <definedName name="_xlnm.Print_Titles" localSheetId="0">'SO 01-E1.1,2-U2'!$6:$7</definedName>
    <definedName name="_xlnm.Print_Area" localSheetId="0">'SO 01-E1.1,2-U2'!$A$1:$H$389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8" i="5" l="1"/>
  <c r="F348" i="5"/>
  <c r="I346" i="5"/>
  <c r="H346" i="5"/>
  <c r="H356" i="5" l="1"/>
  <c r="K356" i="5"/>
  <c r="I345" i="5" l="1"/>
  <c r="I344" i="5"/>
  <c r="I343" i="5"/>
  <c r="I342" i="5"/>
  <c r="I341" i="5"/>
  <c r="F202" i="5" l="1"/>
  <c r="F199" i="5" s="1"/>
  <c r="H199" i="5" s="1"/>
  <c r="F198" i="5"/>
  <c r="F196" i="5" s="1"/>
  <c r="H196" i="5" s="1"/>
  <c r="F69" i="5"/>
  <c r="F62" i="5"/>
  <c r="F63" i="5" s="1"/>
  <c r="F61" i="5" s="1"/>
  <c r="F254" i="5"/>
  <c r="F244" i="5"/>
  <c r="F241" i="5"/>
  <c r="F250" i="5"/>
  <c r="F247" i="5"/>
  <c r="F271" i="5"/>
  <c r="F268" i="5"/>
  <c r="F274" i="5"/>
  <c r="F277" i="5"/>
  <c r="F278" i="5" s="1"/>
  <c r="F276" i="5" s="1"/>
  <c r="K276" i="5" s="1"/>
  <c r="F205" i="5"/>
  <c r="F203" i="5" s="1"/>
  <c r="H203" i="5" s="1"/>
  <c r="F153" i="5"/>
  <c r="F154" i="5" s="1"/>
  <c r="F152" i="5" s="1"/>
  <c r="F161" i="5"/>
  <c r="F162" i="5"/>
  <c r="F208" i="5"/>
  <c r="F206" i="5" s="1"/>
  <c r="H206" i="5" s="1"/>
  <c r="F305" i="5"/>
  <c r="K333" i="5"/>
  <c r="F105" i="5"/>
  <c r="F106" i="5" s="1"/>
  <c r="F104" i="5" s="1"/>
  <c r="F102" i="5"/>
  <c r="F103" i="5" s="1"/>
  <c r="F101" i="5" s="1"/>
  <c r="F296" i="5"/>
  <c r="F293" i="5"/>
  <c r="F292" i="5"/>
  <c r="F291" i="5"/>
  <c r="F238" i="5"/>
  <c r="F234" i="5"/>
  <c r="F235" i="5"/>
  <c r="F283" i="5"/>
  <c r="F280" i="5"/>
  <c r="F287" i="5"/>
  <c r="F315" i="5"/>
  <c r="F312" i="5"/>
  <c r="F190" i="5"/>
  <c r="H61" i="5" l="1"/>
  <c r="K61" i="5"/>
  <c r="K152" i="5"/>
  <c r="H152" i="5"/>
  <c r="F163" i="5"/>
  <c r="F159" i="5" s="1"/>
  <c r="H159" i="5" s="1"/>
  <c r="F294" i="5"/>
  <c r="K104" i="5"/>
  <c r="H104" i="5"/>
  <c r="K101" i="5"/>
  <c r="H101" i="5"/>
  <c r="F145" i="5"/>
  <c r="F147" i="5" s="1"/>
  <c r="F156" i="5"/>
  <c r="F158" i="5" s="1"/>
  <c r="F111" i="5"/>
  <c r="F115" i="5"/>
  <c r="F99" i="5"/>
  <c r="F100" i="5" s="1"/>
  <c r="F98" i="5" s="1"/>
  <c r="K98" i="5" s="1"/>
  <c r="F108" i="5"/>
  <c r="K159" i="5" l="1"/>
  <c r="F150" i="5"/>
  <c r="H98" i="5"/>
  <c r="K181" i="5" l="1"/>
  <c r="H181" i="5"/>
  <c r="K180" i="5"/>
  <c r="H180" i="5"/>
  <c r="F179" i="5"/>
  <c r="F175" i="5" s="1"/>
  <c r="H175" i="5" l="1"/>
  <c r="K175" i="5"/>
  <c r="F327" i="5" l="1"/>
  <c r="F326" i="5"/>
  <c r="F122" i="5"/>
  <c r="F123" i="5" s="1"/>
  <c r="F121" i="5" s="1"/>
  <c r="F119" i="5"/>
  <c r="F128" i="5"/>
  <c r="F125" i="5"/>
  <c r="F93" i="5"/>
  <c r="F91" i="5"/>
  <c r="K91" i="5" s="1"/>
  <c r="F90" i="5"/>
  <c r="F88" i="5"/>
  <c r="K88" i="5" s="1"/>
  <c r="F74" i="5"/>
  <c r="F95" i="5"/>
  <c r="F73" i="5"/>
  <c r="K121" i="5" l="1"/>
  <c r="H121" i="5"/>
  <c r="H91" i="5"/>
  <c r="H88" i="5"/>
  <c r="F301" i="5"/>
  <c r="F300" i="5"/>
  <c r="F265" i="5"/>
  <c r="F262" i="5"/>
  <c r="F229" i="5"/>
  <c r="F226" i="5"/>
  <c r="F223" i="5"/>
  <c r="F217" i="5"/>
  <c r="F220" i="5"/>
  <c r="F39" i="5"/>
  <c r="F29" i="5"/>
  <c r="F26" i="5"/>
  <c r="F23" i="5"/>
  <c r="F20" i="5"/>
  <c r="F32" i="5"/>
  <c r="F35" i="5"/>
  <c r="F13" i="5"/>
  <c r="F12" i="5"/>
  <c r="F49" i="5"/>
  <c r="F45" i="5"/>
  <c r="F42" i="5"/>
  <c r="F59" i="5"/>
  <c r="F55" i="5"/>
  <c r="F52" i="5"/>
  <c r="F302" i="5" l="1"/>
  <c r="F371" i="5" l="1"/>
  <c r="F365" i="5" l="1"/>
  <c r="F171" i="5"/>
  <c r="F168" i="5" s="1"/>
  <c r="K168" i="5" s="1"/>
  <c r="F166" i="5"/>
  <c r="H168" i="5" l="1"/>
  <c r="F191" i="5"/>
  <c r="F189" i="5" s="1"/>
  <c r="H189" i="5" s="1"/>
  <c r="F188" i="5"/>
  <c r="F186" i="5" s="1"/>
  <c r="H186" i="5" s="1"/>
  <c r="F185" i="5"/>
  <c r="F183" i="5" s="1"/>
  <c r="H183" i="5" s="1"/>
  <c r="F194" i="5" l="1"/>
  <c r="F355" i="5"/>
  <c r="F353" i="5" s="1"/>
  <c r="K353" i="5" s="1"/>
  <c r="F299" i="5"/>
  <c r="F215" i="5"/>
  <c r="F213" i="5" s="1"/>
  <c r="H213" i="5" s="1"/>
  <c r="F174" i="5"/>
  <c r="F172" i="5" s="1"/>
  <c r="H172" i="5" s="1"/>
  <c r="F376" i="5"/>
  <c r="F373" i="5" s="1"/>
  <c r="H373" i="5" s="1"/>
  <c r="F364" i="5"/>
  <c r="F363" i="5"/>
  <c r="F360" i="5" s="1"/>
  <c r="H360" i="5" s="1"/>
  <c r="F358" i="5"/>
  <c r="H358" i="5" s="1"/>
  <c r="F370" i="5"/>
  <c r="F369" i="5"/>
  <c r="F367" i="5" s="1"/>
  <c r="H367" i="5" s="1"/>
  <c r="F195" i="5" l="1"/>
  <c r="F193" i="5" s="1"/>
  <c r="H193" i="5" s="1"/>
  <c r="F192" i="5"/>
  <c r="H192" i="5" s="1"/>
  <c r="H353" i="5"/>
  <c r="K299" i="5"/>
  <c r="H299" i="5"/>
  <c r="H298" i="5" s="1"/>
  <c r="F167" i="5"/>
  <c r="K364" i="5"/>
  <c r="H364" i="5"/>
  <c r="H357" i="5" s="1"/>
  <c r="K370" i="5"/>
  <c r="H370" i="5"/>
  <c r="H366" i="5" s="1"/>
  <c r="H182" i="5" l="1"/>
  <c r="F316" i="5"/>
  <c r="F314" i="5" s="1"/>
  <c r="H314" i="5" l="1"/>
  <c r="K314" i="5"/>
  <c r="F380" i="5"/>
  <c r="F387" i="5"/>
  <c r="F382" i="5" s="1"/>
  <c r="H382" i="5" s="1"/>
  <c r="H381" i="5" s="1"/>
  <c r="F142" i="5" l="1"/>
  <c r="F140" i="5" s="1"/>
  <c r="K140" i="5" s="1"/>
  <c r="F138" i="5" l="1"/>
  <c r="F139" i="5" s="1"/>
  <c r="F137" i="5" s="1"/>
  <c r="H137" i="5" s="1"/>
  <c r="H140" i="5"/>
  <c r="F120" i="5" l="1"/>
  <c r="F118" i="5" s="1"/>
  <c r="K118" i="5" s="1"/>
  <c r="F126" i="5"/>
  <c r="F124" i="5" s="1"/>
  <c r="H124" i="5" s="1"/>
  <c r="H118" i="5" l="1"/>
  <c r="F129" i="5"/>
  <c r="F127" i="5" s="1"/>
  <c r="H127" i="5" s="1"/>
  <c r="H117" i="5" l="1"/>
  <c r="F275" i="5"/>
  <c r="F273" i="5" s="1"/>
  <c r="F245" i="5"/>
  <c r="F243" i="5" s="1"/>
  <c r="H243" i="5" s="1"/>
  <c r="F242" i="5"/>
  <c r="F240" i="5" s="1"/>
  <c r="H240" i="5" s="1"/>
  <c r="F236" i="5" l="1"/>
  <c r="F248" i="5"/>
  <c r="F246" i="5" s="1"/>
  <c r="H246" i="5" s="1"/>
  <c r="H276" i="5"/>
  <c r="K273" i="5"/>
  <c r="H273" i="5"/>
  <c r="F259" i="5"/>
  <c r="F252" i="5" s="1"/>
  <c r="H252" i="5" s="1"/>
  <c r="F251" i="5"/>
  <c r="F249" i="5" s="1"/>
  <c r="H249" i="5" s="1"/>
  <c r="F230" i="5"/>
  <c r="F228" i="5" s="1"/>
  <c r="H228" i="5" s="1"/>
  <c r="F227" i="5" l="1"/>
  <c r="F225" i="5" s="1"/>
  <c r="H225" i="5" s="1"/>
  <c r="F272" i="5" l="1"/>
  <c r="F270" i="5" s="1"/>
  <c r="K270" i="5" s="1"/>
  <c r="F269" i="5"/>
  <c r="F266" i="5"/>
  <c r="F264" i="5" s="1"/>
  <c r="K264" i="5" s="1"/>
  <c r="F284" i="5"/>
  <c r="F282" i="5" s="1"/>
  <c r="K282" i="5" s="1"/>
  <c r="F281" i="5"/>
  <c r="F279" i="5" s="1"/>
  <c r="F263" i="5" l="1"/>
  <c r="F261" i="5" s="1"/>
  <c r="H261" i="5" s="1"/>
  <c r="H270" i="5"/>
  <c r="H264" i="5"/>
  <c r="H282" i="5"/>
  <c r="H279" i="5"/>
  <c r="K261" i="5" l="1"/>
  <c r="F221" i="5" l="1"/>
  <c r="F219" i="5" s="1"/>
  <c r="H219" i="5" s="1"/>
  <c r="F218" i="5"/>
  <c r="F84" i="5" l="1"/>
  <c r="F87" i="5"/>
  <c r="F85" i="5"/>
  <c r="K85" i="5" s="1"/>
  <c r="F82" i="5"/>
  <c r="K82" i="5" s="1"/>
  <c r="F328" i="5"/>
  <c r="F325" i="5" s="1"/>
  <c r="K325" i="5" s="1"/>
  <c r="H324" i="5"/>
  <c r="F321" i="5"/>
  <c r="F317" i="5" s="1"/>
  <c r="H317" i="5" s="1"/>
  <c r="H323" i="5"/>
  <c r="H322" i="5"/>
  <c r="F313" i="5"/>
  <c r="F311" i="5" s="1"/>
  <c r="F352" i="5"/>
  <c r="F350" i="5" s="1"/>
  <c r="K350" i="5" s="1"/>
  <c r="F349" i="5"/>
  <c r="F347" i="5" s="1"/>
  <c r="K347" i="5" s="1"/>
  <c r="H345" i="5"/>
  <c r="H344" i="5"/>
  <c r="H343" i="5"/>
  <c r="F340" i="5"/>
  <c r="F333" i="5" s="1"/>
  <c r="H342" i="5"/>
  <c r="H341" i="5"/>
  <c r="F297" i="5"/>
  <c r="F295" i="5" s="1"/>
  <c r="K295" i="5" s="1"/>
  <c r="F289" i="5"/>
  <c r="H85" i="5" l="1"/>
  <c r="H82" i="5"/>
  <c r="H325" i="5"/>
  <c r="H311" i="5"/>
  <c r="K317" i="5"/>
  <c r="H350" i="5"/>
  <c r="H347" i="5"/>
  <c r="H333" i="5"/>
  <c r="H289" i="5"/>
  <c r="H295" i="5"/>
  <c r="H310" i="5" l="1"/>
  <c r="F116" i="5"/>
  <c r="F114" i="5" s="1"/>
  <c r="F112" i="5" l="1"/>
  <c r="F110" i="5" s="1"/>
  <c r="H110" i="5" s="1"/>
  <c r="F109" i="5"/>
  <c r="F107" i="5" s="1"/>
  <c r="H107" i="5" s="1"/>
  <c r="K114" i="5"/>
  <c r="H114" i="5"/>
  <c r="K110" i="5" l="1"/>
  <c r="K107" i="5"/>
  <c r="F113" i="5"/>
  <c r="K113" i="5" s="1"/>
  <c r="H113" i="5" l="1"/>
  <c r="H97" i="5" s="1"/>
  <c r="F96" i="5" l="1"/>
  <c r="F94" i="5" s="1"/>
  <c r="K94" i="5" s="1"/>
  <c r="F75" i="5"/>
  <c r="H94" i="5" l="1"/>
  <c r="F33" i="5" l="1"/>
  <c r="F40" i="5"/>
  <c r="F38" i="5" s="1"/>
  <c r="H38" i="5" s="1"/>
  <c r="K38" i="5" l="1"/>
  <c r="F36" i="5" l="1"/>
  <c r="F34" i="5" s="1"/>
  <c r="H34" i="5" s="1"/>
  <c r="F31" i="5"/>
  <c r="H31" i="5" s="1"/>
  <c r="F30" i="5"/>
  <c r="F28" i="5" s="1"/>
  <c r="H28" i="5" s="1"/>
  <c r="F24" i="5"/>
  <c r="F22" i="5" s="1"/>
  <c r="H22" i="5" s="1"/>
  <c r="F18" i="5"/>
  <c r="F16" i="5" s="1"/>
  <c r="H16" i="5" s="1"/>
  <c r="A16" i="5"/>
  <c r="A19" i="5" s="1"/>
  <c r="A22" i="5" s="1"/>
  <c r="A25" i="5" s="1"/>
  <c r="A28" i="5" s="1"/>
  <c r="A31" i="5" s="1"/>
  <c r="A34" i="5" s="1"/>
  <c r="A38" i="5" s="1"/>
  <c r="A41" i="5" s="1"/>
  <c r="F15" i="5" l="1"/>
  <c r="F11" i="5" s="1"/>
  <c r="H11" i="5" s="1"/>
  <c r="F21" i="5"/>
  <c r="F19" i="5" s="1"/>
  <c r="H19" i="5" s="1"/>
  <c r="F27" i="5"/>
  <c r="F25" i="5" s="1"/>
  <c r="H25" i="5" s="1"/>
  <c r="H10" i="5" l="1"/>
  <c r="F50" i="5"/>
  <c r="F48" i="5" s="1"/>
  <c r="K48" i="5" s="1"/>
  <c r="F60" i="5"/>
  <c r="F58" i="5" s="1"/>
  <c r="F43" i="5" l="1"/>
  <c r="F41" i="5" s="1"/>
  <c r="F53" i="5"/>
  <c r="F51" i="5" s="1"/>
  <c r="K51" i="5" s="1"/>
  <c r="F56" i="5"/>
  <c r="F54" i="5" s="1"/>
  <c r="K54" i="5" s="1"/>
  <c r="K58" i="5"/>
  <c r="H58" i="5"/>
  <c r="F46" i="5"/>
  <c r="F44" i="5" s="1"/>
  <c r="K44" i="5" s="1"/>
  <c r="H48" i="5"/>
  <c r="H51" i="5" l="1"/>
  <c r="H54" i="5"/>
  <c r="F57" i="5"/>
  <c r="K57" i="5" s="1"/>
  <c r="H41" i="5"/>
  <c r="K41" i="5"/>
  <c r="H44" i="5"/>
  <c r="F47" i="5"/>
  <c r="H47" i="5" l="1"/>
  <c r="K47" i="5"/>
  <c r="H57" i="5"/>
  <c r="F143" i="5" l="1"/>
  <c r="F149" i="5" s="1"/>
  <c r="F151" i="5" l="1"/>
  <c r="F148" i="5" s="1"/>
  <c r="H148" i="5" s="1"/>
  <c r="H143" i="5"/>
  <c r="F155" i="5"/>
  <c r="K155" i="5" s="1"/>
  <c r="H155" i="5" l="1"/>
  <c r="F224" i="5"/>
  <c r="F222" i="5" s="1"/>
  <c r="H222" i="5" s="1"/>
  <c r="F216" i="5"/>
  <c r="H216" i="5" s="1"/>
  <c r="H212" i="5" l="1"/>
  <c r="F267" i="5"/>
  <c r="F232" i="5"/>
  <c r="F239" i="5"/>
  <c r="F237" i="5" s="1"/>
  <c r="K267" i="5" l="1"/>
  <c r="H267" i="5"/>
  <c r="H260" i="5" s="1"/>
  <c r="H237" i="5"/>
  <c r="H232" i="5"/>
  <c r="H231" i="5" l="1"/>
  <c r="F377" i="5"/>
  <c r="F332" i="5" l="1"/>
  <c r="F330" i="5" s="1"/>
  <c r="F64" i="5" l="1"/>
  <c r="H64" i="5" l="1"/>
  <c r="H37" i="5" s="1"/>
  <c r="F309" i="5"/>
  <c r="F307" i="5" s="1"/>
  <c r="K307" i="5" s="1"/>
  <c r="H307" i="5" l="1"/>
  <c r="F306" i="5"/>
  <c r="F304" i="5" l="1"/>
  <c r="K304" i="5" s="1"/>
  <c r="F288" i="5"/>
  <c r="F286" i="5" s="1"/>
  <c r="K286" i="5" l="1"/>
  <c r="H304" i="5"/>
  <c r="H303" i="5" s="1"/>
  <c r="H286" i="5"/>
  <c r="H285" i="5" s="1"/>
  <c r="A44" i="5" l="1"/>
  <c r="A47" i="5" s="1"/>
  <c r="A48" i="5" s="1"/>
  <c r="F78" i="5"/>
  <c r="F76" i="5" s="1"/>
  <c r="K76" i="5" s="1"/>
  <c r="F79" i="5"/>
  <c r="K79" i="5" s="1"/>
  <c r="F164" i="5"/>
  <c r="K164" i="5" s="1"/>
  <c r="H377" i="5"/>
  <c r="H372" i="5" s="1"/>
  <c r="F81" i="5"/>
  <c r="A51" i="5" l="1"/>
  <c r="A54" i="5" s="1"/>
  <c r="A57" i="5" s="1"/>
  <c r="A58" i="5" s="1"/>
  <c r="A61" i="5" s="1"/>
  <c r="A64" i="5" s="1"/>
  <c r="H76" i="5"/>
  <c r="F71" i="5"/>
  <c r="K71" i="5" s="1"/>
  <c r="F136" i="5"/>
  <c r="F134" i="5" s="1"/>
  <c r="K134" i="5" s="1"/>
  <c r="H79" i="5"/>
  <c r="H330" i="5"/>
  <c r="K330" i="5"/>
  <c r="H164" i="5"/>
  <c r="H211" i="5" l="1"/>
  <c r="H329" i="5"/>
  <c r="K210" i="5"/>
  <c r="F132" i="5"/>
  <c r="F133" i="5" s="1"/>
  <c r="A71" i="5"/>
  <c r="H71" i="5"/>
  <c r="H70" i="5" s="1"/>
  <c r="H134" i="5"/>
  <c r="F131" i="5" l="1"/>
  <c r="H131" i="5" s="1"/>
  <c r="H130" i="5" s="1"/>
  <c r="A76" i="5"/>
  <c r="A79" i="5" s="1"/>
  <c r="A82" i="5" s="1"/>
  <c r="A85" i="5" s="1"/>
  <c r="A88" i="5" s="1"/>
  <c r="A91" i="5" s="1"/>
  <c r="A94" i="5" s="1"/>
  <c r="A98" i="5" s="1"/>
  <c r="A101" i="5" s="1"/>
  <c r="A104" i="5" s="1"/>
  <c r="A107" i="5" s="1"/>
  <c r="A110" i="5" l="1"/>
  <c r="A113" i="5" s="1"/>
  <c r="A114" i="5" s="1"/>
  <c r="A118" i="5" s="1"/>
  <c r="A121" i="5" s="1"/>
  <c r="A124" i="5" s="1"/>
  <c r="A127" i="5" l="1"/>
  <c r="A131" i="5" s="1"/>
  <c r="A134" i="5" s="1"/>
  <c r="A137" i="5" s="1"/>
  <c r="A140" i="5" s="1"/>
  <c r="A143" i="5" s="1"/>
  <c r="A148" i="5" s="1"/>
  <c r="A152" i="5" s="1"/>
  <c r="A155" i="5" s="1"/>
  <c r="A159" i="5" s="1"/>
  <c r="A164" i="5" s="1"/>
  <c r="A168" i="5" l="1"/>
  <c r="A172" i="5" s="1"/>
  <c r="A175" i="5" s="1"/>
  <c r="A180" i="5" s="1"/>
  <c r="A181" i="5" s="1"/>
  <c r="A183" i="5" s="1"/>
  <c r="A186" i="5" s="1"/>
  <c r="A189" i="5" l="1"/>
  <c r="A192" i="5" s="1"/>
  <c r="A193" i="5" s="1"/>
  <c r="A196" i="5" l="1"/>
  <c r="A199" i="5" s="1"/>
  <c r="A203" i="5" s="1"/>
  <c r="A206" i="5" s="1"/>
  <c r="A210" i="5" s="1"/>
  <c r="A213" i="5" s="1"/>
  <c r="A216" i="5" s="1"/>
  <c r="A219" i="5" s="1"/>
  <c r="A222" i="5" s="1"/>
  <c r="A225" i="5" l="1"/>
  <c r="A228" i="5" s="1"/>
  <c r="A232" i="5" s="1"/>
  <c r="A237" i="5" s="1"/>
  <c r="A240" i="5" l="1"/>
  <c r="A243" i="5" s="1"/>
  <c r="A246" i="5" s="1"/>
  <c r="A249" i="5" s="1"/>
  <c r="F210" i="5"/>
  <c r="H210" i="5" s="1"/>
  <c r="H209" i="5" s="1"/>
  <c r="H9" i="5" s="1"/>
  <c r="H389" i="5" s="1"/>
  <c r="A252" i="5" l="1"/>
  <c r="A261" i="5" s="1"/>
  <c r="A264" i="5" s="1"/>
  <c r="A267" i="5" s="1"/>
  <c r="A270" i="5" s="1"/>
  <c r="A273" i="5" s="1"/>
  <c r="A276" i="5" l="1"/>
  <c r="A279" i="5" l="1"/>
  <c r="A282" i="5" s="1"/>
  <c r="A286" i="5" s="1"/>
  <c r="A289" i="5" s="1"/>
  <c r="A295" i="5" s="1"/>
  <c r="A299" i="5" s="1"/>
  <c r="A304" i="5" s="1"/>
  <c r="A307" i="5" s="1"/>
  <c r="A311" i="5" l="1"/>
  <c r="A314" i="5" s="1"/>
  <c r="A317" i="5" s="1"/>
  <c r="A322" i="5" s="1"/>
  <c r="A323" i="5" s="1"/>
  <c r="A324" i="5" s="1"/>
  <c r="A325" i="5" l="1"/>
  <c r="A330" i="5" s="1"/>
  <c r="A333" i="5" s="1"/>
  <c r="A341" i="5" s="1"/>
  <c r="A342" i="5" s="1"/>
  <c r="A343" i="5" s="1"/>
  <c r="A344" i="5" s="1"/>
  <c r="A345" i="5" s="1"/>
  <c r="A347" i="5" l="1"/>
  <c r="A350" i="5" s="1"/>
  <c r="A353" i="5" l="1"/>
  <c r="A356" i="5" l="1"/>
  <c r="A358" i="5" s="1"/>
  <c r="A360" i="5" s="1"/>
  <c r="A364" i="5" s="1"/>
  <c r="A367" i="5" s="1"/>
  <c r="A370" i="5" s="1"/>
  <c r="A373" i="5" s="1"/>
  <c r="A377" i="5" s="1"/>
  <c r="A382" i="5" s="1"/>
</calcChain>
</file>

<file path=xl/sharedStrings.xml><?xml version="1.0" encoding="utf-8"?>
<sst xmlns="http://schemas.openxmlformats.org/spreadsheetml/2006/main" count="697" uniqueCount="364">
  <si>
    <t xml:space="preserve">JKSO: </t>
  </si>
  <si>
    <t>Časť:</t>
  </si>
  <si>
    <t xml:space="preserve">Dátum: </t>
  </si>
  <si>
    <t>P.Č.</t>
  </si>
  <si>
    <t>KCN</t>
  </si>
  <si>
    <t>Kód položky</t>
  </si>
  <si>
    <t>Skrátený popis</t>
  </si>
  <si>
    <t>MJ</t>
  </si>
  <si>
    <t>Výmera</t>
  </si>
  <si>
    <t>Cena jednotková</t>
  </si>
  <si>
    <t>Cena celkom</t>
  </si>
  <si>
    <t>Práce a dodávky HSV</t>
  </si>
  <si>
    <t>m3</t>
  </si>
  <si>
    <t>m2</t>
  </si>
  <si>
    <t>m</t>
  </si>
  <si>
    <t>t</t>
  </si>
  <si>
    <t>Zakladanie</t>
  </si>
  <si>
    <t>Zvislé a kompletné konštrukcie</t>
  </si>
  <si>
    <t>Vodorovné konštrukcie</t>
  </si>
  <si>
    <t>ks</t>
  </si>
  <si>
    <t>kg</t>
  </si>
  <si>
    <t>Úprava povrchov</t>
  </si>
  <si>
    <t>HSV</t>
  </si>
  <si>
    <t>Celkom:</t>
  </si>
  <si>
    <t>PSV</t>
  </si>
  <si>
    <t>Práce a dodávky PSV</t>
  </si>
  <si>
    <t>Súčet:</t>
  </si>
  <si>
    <t>Presun hmôt</t>
  </si>
  <si>
    <t>Ostatné konštrukcie</t>
  </si>
  <si>
    <t>K</t>
  </si>
  <si>
    <t>Zemné práce</t>
  </si>
  <si>
    <t>171209002</t>
  </si>
  <si>
    <t>Poplatok za skladovanie - zemina a kamenivo (17 05) ostatné</t>
  </si>
  <si>
    <t>413351107</t>
  </si>
  <si>
    <t>413351108</t>
  </si>
  <si>
    <t>784452271</t>
  </si>
  <si>
    <t>Dokončovacie práce - maľby</t>
  </si>
  <si>
    <t>711471051</t>
  </si>
  <si>
    <t>Zhotovenie izolácie proti tlakovej vode PVC fóliou položenou voľne na vodorovnej ploche so zvarením spoju</t>
  </si>
  <si>
    <t>Hydroizolačná fólia záťažová Hydrobit V60S35</t>
  </si>
  <si>
    <t>011</t>
  </si>
  <si>
    <t>998011001</t>
  </si>
  <si>
    <t>Presun hmôt pre budovy JKSO 801, 803,812,zvislá konštr.z tehál,tvárnic,z kovu výšky do 6 m</t>
  </si>
  <si>
    <t>Konštrukcie tesárske</t>
  </si>
  <si>
    <t>762</t>
  </si>
  <si>
    <t>MAT</t>
  </si>
  <si>
    <t>SO</t>
  </si>
  <si>
    <t>Konštrukcie stolárske</t>
  </si>
  <si>
    <t>Podlahy z dlaždíc</t>
  </si>
  <si>
    <t>Hydroizolačná stierka podláh hr. 1 mm</t>
  </si>
  <si>
    <t>Tepelné izolácie</t>
  </si>
  <si>
    <t xml:space="preserve">Výkop nezapaženej jamy v hornine 3, do 100 m3   </t>
  </si>
  <si>
    <t>Komunikácie</t>
  </si>
  <si>
    <t>713132206</t>
  </si>
  <si>
    <t>Montáž tepelnej izolácie podzemných stien a základov polystyrénom</t>
  </si>
  <si>
    <t>2837650240</t>
  </si>
  <si>
    <t>Extrudovaný polystyrén (Styrodur 3035 CS) hrúbka 50 mm</t>
  </si>
  <si>
    <t>Zhotovenie izolácie proti tlakovej vode PVC fóliou položenou voľne na zvislej ploche so zvarením spoju</t>
  </si>
  <si>
    <t>Izolácie striech</t>
  </si>
  <si>
    <t>712841559</t>
  </si>
  <si>
    <t>Zhotovenie povlakovej krytiny striech - parozábrana, vytiahnutím izolačného povlaku pásmi pritavením NAIP</t>
  </si>
  <si>
    <t>6283228500</t>
  </si>
  <si>
    <t>712990040</t>
  </si>
  <si>
    <t>6936651300</t>
  </si>
  <si>
    <t>2833000150</t>
  </si>
  <si>
    <t>Objekt:</t>
  </si>
  <si>
    <t>skladba P1</t>
  </si>
  <si>
    <t>274351215</t>
  </si>
  <si>
    <t>Debnenie stien základových pásov, zhotovenie-dielce</t>
  </si>
  <si>
    <t>274351216</t>
  </si>
  <si>
    <t>Debnenie stien základových pásov, odstránenie-dielce</t>
  </si>
  <si>
    <t>odhad</t>
  </si>
  <si>
    <t>411361821</t>
  </si>
  <si>
    <t>413361821</t>
  </si>
  <si>
    <t>181101102</t>
  </si>
  <si>
    <t>Kovové konštrukcie</t>
  </si>
  <si>
    <t xml:space="preserve">Stavba:   </t>
  </si>
  <si>
    <t>Vyčistenie budov pri výške podlaží do 4m</t>
  </si>
  <si>
    <t>dtto omietka vnútorných stien</t>
  </si>
  <si>
    <t>Nátery</t>
  </si>
  <si>
    <t>Klampiarske konštrukcie</t>
  </si>
  <si>
    <t>M+D kovové konštrukcie vr.povrchovej úpravy</t>
  </si>
  <si>
    <t>M</t>
  </si>
  <si>
    <t>274361821</t>
  </si>
  <si>
    <t>Výstuž základových pásov z ocele 10505</t>
  </si>
  <si>
    <t>Debnenie základovej dosky - zhotovenie</t>
  </si>
  <si>
    <t>Debnenie základovej dosky - odstránenie</t>
  </si>
  <si>
    <t>273362441</t>
  </si>
  <si>
    <t>Výstuž základových dosiek zo zvár. sietí KARI, priemer drôtu 8/8 mm, veľkosť oka 100x100 mm</t>
  </si>
  <si>
    <t>Betón základových dosiek, železový (bez výstuže), tr. C 25/30</t>
  </si>
  <si>
    <t>Vodorovné premiestnenie výkopku za sucha pre všetky druhy dopravných prostriedkov bez naloženia výkopku so zložením bez rozhrnutia z horniny 1-4 na vzdialenosť nad 20 do 50 m</t>
  </si>
  <si>
    <t>Vodorovné premiestnenie výkopku po spevnenej ceste z horniny tr.1-4, nad 100 do 1000 m3 na vzdialenosť do 3000 m</t>
  </si>
  <si>
    <t>Vodorovné premiestnenie výkopku po spevnenej ceste z horniny tr.1-4, do 100 m3, príplatok k cene za každých ďalšich a začatých 1000 m</t>
  </si>
  <si>
    <t>Zásyp sypaninou so zhutnením jám, šachiet, rýh, zárezov alebo okolo objektov do 100 m3</t>
  </si>
  <si>
    <t>Úprava pláne v zárezoch v hornine 1-4 so zhutnením</t>
  </si>
  <si>
    <t>413321616</t>
  </si>
  <si>
    <t xml:space="preserve">Výstuž  nosníkov a trámov, bez rozdielu tvaru a uloženia, 10505   </t>
  </si>
  <si>
    <t>Betón nosníkov, vencov, prekladov, železový tr. C 25/30</t>
  </si>
  <si>
    <t xml:space="preserve">Debnenie nosníka, venca, prekladu zhotovenie-dielce   </t>
  </si>
  <si>
    <t xml:space="preserve">Debnenie nosníka, venca, prekladu odstránenie-dielce   </t>
  </si>
  <si>
    <t>D1</t>
  </si>
  <si>
    <t>766661132</t>
  </si>
  <si>
    <t>Montáž dverového krídla kompletiz.otváravého do oceľovej alebo fošňovej zárubne, dvojkrídlové</t>
  </si>
  <si>
    <t>M+D parapetná doska plastová š.240 mm</t>
  </si>
  <si>
    <t>D2</t>
  </si>
  <si>
    <t>D3</t>
  </si>
  <si>
    <t>Extrudovaný polystyrén - XPS hrúbka 50 mm</t>
  </si>
  <si>
    <t>713144080</t>
  </si>
  <si>
    <t>Montáž tepelnej izolácie na atiku z XPS do lepidla</t>
  </si>
  <si>
    <t>6288002160</t>
  </si>
  <si>
    <t>Zhotovenie izolácie stien z nopovej fólie</t>
  </si>
  <si>
    <t>Profilované fólie - napr. DELTA-FLORAXX TOP hr.20 mm</t>
  </si>
  <si>
    <t>712370050</t>
  </si>
  <si>
    <t>Zhotovenie povlakovej krytiny striech plochých do 10°PVC-P fóliou položenou voľne so zvarením spoju</t>
  </si>
  <si>
    <t>FATRAFOL 810-UV hydroizolačná fólia hr.1,50 mm, š.1,3m šedá</t>
  </si>
  <si>
    <t>713146410</t>
  </si>
  <si>
    <t xml:space="preserve">Položenie geotextílie vodorovne alebo zvislo na strechy ploché do 10° </t>
  </si>
  <si>
    <t>Geotextília netkaná polypropylénová Tatratex PP 300</t>
  </si>
  <si>
    <t>Montáž tepelnej izolácie striech plochých do 10° polystyrénom EPS</t>
  </si>
  <si>
    <t>Osadenie záhonového alebo parkového obrubníka betón., do lôžka z bet. pros. tr. C 16/20 s bočnou oporou</t>
  </si>
  <si>
    <t>Záhonový obrubník</t>
  </si>
  <si>
    <t>Montáž vonkajšie hliníkové okno vr.hliníkového rámu</t>
  </si>
  <si>
    <t>Vonkajšia omietka stien tenkovrstvová silikónová, (napr.Baumit SilikonTop - ryhovaná štruktúra) hr.1,5 mm</t>
  </si>
  <si>
    <t>Príprava vonkajšieho podkladu stien BAUMIT, penetračný náter Baumit BetonKontakt</t>
  </si>
  <si>
    <t>612465115</t>
  </si>
  <si>
    <t>Príprava vnútorného podkladu stien, penetračný náter BetonKontakt</t>
  </si>
  <si>
    <t>Príprava vnútorného podkladu stropov BAUMIT, penetračný náter Baumit BetonKontakt</t>
  </si>
  <si>
    <t>dtto omietka vnútorných stropov</t>
  </si>
  <si>
    <t>Vnútorná omietka stien BAUMIT, vápennocementová, strojné nanášanie, MPI 25, hr. 10 mm</t>
  </si>
  <si>
    <t>STENY</t>
  </si>
  <si>
    <t>STROPY</t>
  </si>
  <si>
    <t>766411132</t>
  </si>
  <si>
    <t>6119166511</t>
  </si>
  <si>
    <t>Dokončovacie práce a obklady</t>
  </si>
  <si>
    <t>781445012</t>
  </si>
  <si>
    <t>Montáž obkladov vnútor. stien z obkladačiek kladených do tmelu , vrátane lištovania a špárovania</t>
  </si>
  <si>
    <t>5976389000</t>
  </si>
  <si>
    <t>Obkladačky keramické - podľa špecifikácie investora</t>
  </si>
  <si>
    <t>Montáž soklíkov z obkladačiek do tmelu</t>
  </si>
  <si>
    <t>771575506</t>
  </si>
  <si>
    <t>Montáž podláh z dlaždíc keramických do tmelu, vrátane lištovania a špárovania</t>
  </si>
  <si>
    <t>59764112005</t>
  </si>
  <si>
    <t>podlaha P1</t>
  </si>
  <si>
    <t xml:space="preserve">Stierková hydroizolácia hr. 2 mm na ploche zvislej   </t>
  </si>
  <si>
    <t>Konštrukcie - drevostavby</t>
  </si>
  <si>
    <t>763120010</t>
  </si>
  <si>
    <t>návrh</t>
  </si>
  <si>
    <t>Sadrokartónová inštalačná predstena hr. 50 mm opláštená doskami RB 12.5 mm, na kovovej podkonštrukcii R-CW 50</t>
  </si>
  <si>
    <t>941955003</t>
  </si>
  <si>
    <t>Lešenie ľahké pracovné pomocné s výškou lešeňovej podlahy nad 1,90 do 2,50 m</t>
  </si>
  <si>
    <t>U2</t>
  </si>
  <si>
    <t xml:space="preserve">43,60 m - viď legenda miestností </t>
  </si>
  <si>
    <t>67,74 m2 - viď legenda miestností</t>
  </si>
  <si>
    <t>Keramická dlažba protišmyková hr.9 mm - podľa špecifikácie investora</t>
  </si>
  <si>
    <t>čistenie plôch 1.NP - 67,74 m2</t>
  </si>
  <si>
    <t>Izolácie proti vode a zemnej vlhkosti</t>
  </si>
  <si>
    <t>67,74 m2</t>
  </si>
  <si>
    <t>67,74 m2 x 0,07 m</t>
  </si>
  <si>
    <t>Mazanina z betónu prostého (m3) tr. C 16/20 hr.do 80 mm</t>
  </si>
  <si>
    <t>Penetračný náter podláh</t>
  </si>
  <si>
    <t>Samonivelačný poter hr.17 mm</t>
  </si>
  <si>
    <t>(67,74+43,60*0,065)x1,05 m2</t>
  </si>
  <si>
    <t>Penetračný náter stien a stropov</t>
  </si>
  <si>
    <t>67,74 m2 - náter stropu - viď legenda miestností</t>
  </si>
  <si>
    <t>258,46 m2 - náter steny - viď legenda miestností</t>
  </si>
  <si>
    <t>165,39 m2 - viď legenda miestností "maľba"</t>
  </si>
  <si>
    <t>93,07 m2 - viď legenda miestností</t>
  </si>
  <si>
    <t>93,071,05</t>
  </si>
  <si>
    <t>45,73 m2 - viď legenda miestností</t>
  </si>
  <si>
    <t>Vnútorná omietka stropov tenkovrstvová BAUMIT MVR UNI, hr. 10 mm</t>
  </si>
  <si>
    <t>258,46 m2 - viď legenda miestností</t>
  </si>
  <si>
    <t>zákl.pás 600/600 mm: 0,60*0,60*(2*12,10+3*6,10)</t>
  </si>
  <si>
    <t>zákl.pás 600/600 mm: 2*0,60*(2*12,10+3*6,10)</t>
  </si>
  <si>
    <t>odhad 70kg/m3: 15,30 m3 x 70/1000</t>
  </si>
  <si>
    <t>Betón základových pásov, železový (bez výstuže), tr. C 20/25</t>
  </si>
  <si>
    <t>11,80*7,0*0,10</t>
  </si>
  <si>
    <t>2*(11,80+7,0)*0,10</t>
  </si>
  <si>
    <t>7,90kg/m2: 11,80*7,0</t>
  </si>
  <si>
    <t>13,10*8,30*0,30</t>
  </si>
  <si>
    <t>(2*12,50+3*5,70)*0,60*1,0</t>
  </si>
  <si>
    <t>13,10*8,30</t>
  </si>
  <si>
    <t>6,10*(5,40+4,90)*0,15</t>
  </si>
  <si>
    <t>vykopaná zemina pre spätný zásyp: 9,42 m3</t>
  </si>
  <si>
    <t>vykopaná zemina určená na skládku: 57,88-9,42</t>
  </si>
  <si>
    <t>predpoklad ďalších 12 km: 48,46*12</t>
  </si>
  <si>
    <t xml:space="preserve">Uloženie sypaniny na skládky do 100 m3   </t>
  </si>
  <si>
    <t>48,46*1,78</t>
  </si>
  <si>
    <t>Násyp pod základové  konštrukcie so zhutnením z  kameniva hrubého drveného fr.8-24 mm</t>
  </si>
  <si>
    <t>6,40*(5,70+5,20)*0,25-6,10*(5,40+4,90)*0,15</t>
  </si>
  <si>
    <t>zákl.múr hr. 300 mm: 0,30*0,25*(2*11,80+3*6,40)</t>
  </si>
  <si>
    <t>2*(11,80+7,0)*0,35</t>
  </si>
  <si>
    <t>11,80*7,0</t>
  </si>
  <si>
    <t>(82,60+13,16)*1,15</t>
  </si>
  <si>
    <t>2*(11,80+7,0)*0,65</t>
  </si>
  <si>
    <t>24,44*1,15</t>
  </si>
  <si>
    <t>24,44*1,02</t>
  </si>
  <si>
    <t>(1,915+1,83+1,895)*(1,20+0,15)+2*1,83*(1,20+0,21)</t>
  </si>
  <si>
    <t>2*(0,15+0,225)*2,90</t>
  </si>
  <si>
    <t>Montáž obloženia stien dreveným obkladom vonkajší</t>
  </si>
  <si>
    <t>Kontaktný zatepľovací systém stien z polystyrénu hr. 100 mm, bez povrchovej úpravy</t>
  </si>
  <si>
    <t>Murivo základových pásov (m3)  DT30 s betónovou výplňou C 20/25 hr. 300 mm</t>
  </si>
  <si>
    <t>274271303</t>
  </si>
  <si>
    <t>Murivo nosné z presných tvárnic YTONG</t>
  </si>
  <si>
    <t>hr.300 mm</t>
  </si>
  <si>
    <t>(2*(11,80+7,0)*3,25+4,445*3,0)*0,30</t>
  </si>
  <si>
    <t>Priečky z presných tvárnic YTONG hr.125 mm</t>
  </si>
  <si>
    <t>(6,40+1,80+7,30+2*1,83++1,40+2,92+4,0)*3,0-(0,80*2,0+4*0,60*2,0)</t>
  </si>
  <si>
    <t>Keramický preklad YTONG NEP 125x250x1250 mm</t>
  </si>
  <si>
    <t>preklad P1 - 5 ks</t>
  </si>
  <si>
    <t>preklad P2: 1 ks</t>
  </si>
  <si>
    <t>preklad P3: 2 ks</t>
  </si>
  <si>
    <t>preklad P4: 4 ks</t>
  </si>
  <si>
    <t>preklad P5: 3 ks</t>
  </si>
  <si>
    <t>preklad P6: 2 ks</t>
  </si>
  <si>
    <t>Keramický preklad YTONG NOP 300-1250 mm</t>
  </si>
  <si>
    <t>Keramický preklad YTONG NOP 300-1500 mm</t>
  </si>
  <si>
    <t>Keramický preklad YTONG NOP 300-1750 mm</t>
  </si>
  <si>
    <t>Keramický preklad YTONG NOP 300-2250 mm</t>
  </si>
  <si>
    <t>Keramický preklad YTONG PSF 150-3000 mm</t>
  </si>
  <si>
    <t>0,55+7,65+13,10+1,0</t>
  </si>
  <si>
    <t>22,30*1,05</t>
  </si>
  <si>
    <t xml:space="preserve">Podklad alebo podsyp zo štrkopiesku spolu s rozprestretím, vlhčením a zhutnením, hr.150 mm  po zhutnení </t>
  </si>
  <si>
    <t>okapový chodník: 0,50*(7,15+13,10+1,0)</t>
  </si>
  <si>
    <t xml:space="preserve">finálna vrstva z riečneho štrku spolu s rozprestretím a zhutnením, hr.100 mm  po zhutnení </t>
  </si>
  <si>
    <t>D2: 800/1970 mm - 1 ks</t>
  </si>
  <si>
    <t>D4: (1,83+1,30)*2,0</t>
  </si>
  <si>
    <t>M+D deliace montované WC kabíny, HPL dosky hr.30 mm</t>
  </si>
  <si>
    <t>Dvere vnútorné hladké drevené jednokrídlové plné 60x197 cm s poldrážkou do oceľovej zárubne, povrchová úprava CPL laminát, farebné riešenie, zámok s kľučkou, obojstranne dverná kľučka</t>
  </si>
  <si>
    <t>Dvere vnútorné hladké drevené jednokrídlové plné 80x197 cm s poldrážkou do oceľovej zárubne, povrchová úprava CPL laminát, farebné riešenie, zámok s kľučkou, obojstranne dverná kľučka</t>
  </si>
  <si>
    <t>D5: (1,83+1,875)*2,0</t>
  </si>
  <si>
    <t>Osadenie oceľovej dverovej zárubne alebo rámu, plochy otvoru do 2,5 m2</t>
  </si>
  <si>
    <t>553PC01</t>
  </si>
  <si>
    <t>553PC02</t>
  </si>
  <si>
    <t>Zárubňa kovová šxv 600x1970 mm jednodielna zamurovacia</t>
  </si>
  <si>
    <t>Zárubňa kovová šxv 800x1970 mm jednodielna zamurovacia</t>
  </si>
  <si>
    <t>D1: 600/1970 mm - 3 ks</t>
  </si>
  <si>
    <t>D3: 600/1970 mm - 2 ks</t>
  </si>
  <si>
    <t>Montovaný strop z betónových prefabrikátov systém PREMACO (stropné tvárnice a trámy), s podoprením a dobetónovaním medzi vložkami</t>
  </si>
  <si>
    <t>obvodový veniec: 2*2*(11,80+6,40)*0,30*0,25</t>
  </si>
  <si>
    <t>nad 1.NP hr.250 mm: 11,20*6,40</t>
  </si>
  <si>
    <t>odhad 80kg/m3: 5,46 m3 x 80/1000</t>
  </si>
  <si>
    <t>obvodový veniec: 2*2*2*(11,80+6,40)*0,25</t>
  </si>
  <si>
    <t xml:space="preserve"> -odpočet otvorov:  -(2*1,10*2,40+1,80*2,40+2*1,80*1,50+2,40*0,75+4*1,20*0,75+0,60*2,0)*0,30</t>
  </si>
  <si>
    <t>2*(12,0+7,20)*3,50-(2*1,10*2,40+1,80*2,40+2*1,80*1,50+2,40*0,75+4*1,20*0,75)</t>
  </si>
  <si>
    <t>Montáž lešenia fasádneho ľahkého bez podláh pri zaťaženie do 1 kPa, výšky do 4 m</t>
  </si>
  <si>
    <t>2*(12,0+7,20)*3,85</t>
  </si>
  <si>
    <t>dtto lešenie fasádne</t>
  </si>
  <si>
    <t>2*(8,40+13,20)*0,72+2*(13,20+2*(13,16+7,20)*0,58</t>
  </si>
  <si>
    <t>Obloženie dreveným obkladom z hoblovaných dosiek 120/22 mm</t>
  </si>
  <si>
    <t>54,72*0,022*1,04</t>
  </si>
  <si>
    <t>Obloženie atiky z dosiek OSB skrutkovaných na zraz hr. dosky 18 mm</t>
  </si>
  <si>
    <t>2*(13,16+6,30)*1,03</t>
  </si>
  <si>
    <t>Montáž priestorových viazaných konštrukcií z reziva hraneného prierezovej plochy do 120 cm2</t>
  </si>
  <si>
    <t>Hranoly z borovice neopracované hranené akosť I, prierez 25-75 cm2, dĺ. 1000-1750 mm</t>
  </si>
  <si>
    <t>atika: 2*(11,20+6,40)*0,25</t>
  </si>
  <si>
    <t>8,80*1,02</t>
  </si>
  <si>
    <t xml:space="preserve">skladba S1: </t>
  </si>
  <si>
    <t>2*(11,10+6,30)*0,25</t>
  </si>
  <si>
    <t>11,10*6,30+2*(13,20+6,30)*1,05</t>
  </si>
  <si>
    <t>119,60*1,15</t>
  </si>
  <si>
    <t>prvky konzoly:</t>
  </si>
  <si>
    <t>K1.1: 120/35 mm dĺ.670 mm - 72 ks</t>
  </si>
  <si>
    <t>K1.2: 120/35 mm dĺ.420 mm - 36 ks</t>
  </si>
  <si>
    <t>K1.3: 120/35 mm dĺ.940 mm - 36 ks</t>
  </si>
  <si>
    <t>97,20*0,12*0,035*1,02</t>
  </si>
  <si>
    <t>oceľové prvky konzoly: 184 kg</t>
  </si>
  <si>
    <t>Výstuž stropov doskových, trámových, vložkových,konzolových alebo balkónových, 10505</t>
  </si>
  <si>
    <t>411362021</t>
  </si>
  <si>
    <t>Výstuž stropov doskových, trámových, vložkových,konzolových alebo balkónových, zo zváraných sietí KARI</t>
  </si>
  <si>
    <t>454,38/1000</t>
  </si>
  <si>
    <t>530,60/1000</t>
  </si>
  <si>
    <t>AL2: 1800/2400 mm - 1 ks</t>
  </si>
  <si>
    <t>AL1: 1100/2400 mm - 2 ks</t>
  </si>
  <si>
    <t>AL3: 1200/750 mm - 4 ks</t>
  </si>
  <si>
    <t>AL4: 2400/750 mm - 1 ks</t>
  </si>
  <si>
    <t>AL5: 1800/1500 mm - 1 ks</t>
  </si>
  <si>
    <t>AL1</t>
  </si>
  <si>
    <t>AL2</t>
  </si>
  <si>
    <t>AL3</t>
  </si>
  <si>
    <t>AL4</t>
  </si>
  <si>
    <t>AL5</t>
  </si>
  <si>
    <t>Exteriérové hliníkové jednokrídlové dvere 1100/2400 mm plné s prerušeným tepelným mostom, nadsvetlík zasklenie izolačné dvojsklo 6-16-6 mm, max.súčiniteľ prechodu tepla Uw = 1,3 W/(m2.K), sklo číre, povrchová úprava Al profilov - tmavá šedá RAL 7016</t>
  </si>
  <si>
    <t>Exteriérové hliníkové dvojkrídlové dvere 1800/2400 mm plné s prerušeným tepelným mostom, nadsvetlík zasklenie izolačné dvojsklo 6-16-6 mm, max.súčiniteľ prechodu tepla Uw = 1,3 W/(m2.K), sklo číre, povrchová úprava Al profilov - tmavá šedá RAL 7016</t>
  </si>
  <si>
    <t>Exteriérové hliníkové okno 1200/750 mm sklopné s prerušeným tepelným mostom, zasklenie izolačné dvojsklo 6-16-6 mm, max.súčiniteľ prechodu tepla Uw = 1,3 W/(m2.K), sklo číre, povrchová úprava Al profilov - tmavá šedá RAL 7016</t>
  </si>
  <si>
    <t>Exteriérové hliníkové okno 2400/750 mm sklopné s prerušeným tepelným mostom, zasklenie izolačné dvojsklo 6-16-6 mm, max.súčiniteľ prechodu tepla Uw = 1,3 W/(m2.K), sklo číre, povrchová úprava Al profilov - tmavá šedá RAL 7016</t>
  </si>
  <si>
    <t>Exteriérové hliníkové okno 1800/1500 mm v spodnej časti otváravo-sklopné, v hornej časti s pevným zasklením s prerušeným tepelným mostom, zasklenie izolačné dvojsklo 6-16-6 mm, max.súčiniteľ prechodu tepla Uw = 1,3 W/(m2.K), sklo číre, povrchová úprava Al profilov - tmavá šedá RAL 7016</t>
  </si>
  <si>
    <t>M+D nerezové madlo sklopné</t>
  </si>
  <si>
    <t>M+D nerezové madlo pevné</t>
  </si>
  <si>
    <t>O4: dĺ.945 mm - 1 ks</t>
  </si>
  <si>
    <t>O3: madlo dĺ.900 mm - 1 ks</t>
  </si>
  <si>
    <t>D+M oplechovanie parapetnej dosky z poplastovaného plechu š.150 mm</t>
  </si>
  <si>
    <t>D+M oplechovania atiky z poplastovaného plechu rš 250 mm vr.kotviacich prvkov</t>
  </si>
  <si>
    <t>atika: 2*(13,20+8,40)</t>
  </si>
  <si>
    <t>M+D strešná vpusť</t>
  </si>
  <si>
    <t>Fasádny obklad z tehál 210x60x12 mm</t>
  </si>
  <si>
    <t>skladba F2</t>
  </si>
  <si>
    <t>skladba F1</t>
  </si>
  <si>
    <t>dtto skladba F1</t>
  </si>
  <si>
    <t>dtto skladba F2</t>
  </si>
  <si>
    <t>sokel: 2*(11,90+7,10)*0,35-(2*1,10+1,80)*0,35</t>
  </si>
  <si>
    <t>stena: 2,78*6,50-(2*1,10+1,80)*2,05</t>
  </si>
  <si>
    <t xml:space="preserve"> - odpočet stena skladba F2: 9,90 m2</t>
  </si>
  <si>
    <t>Kontaktný zatepľovací systém stien z polystyrénu hr. 50 mm, bez povrchovej úpravy, vr.kotviacich prvkov a 2x sklotextilná sieťka</t>
  </si>
  <si>
    <r>
      <t xml:space="preserve">strešná vpusť DZ </t>
    </r>
    <r>
      <rPr>
        <sz val="8"/>
        <color theme="1" tint="0.34998626667073579"/>
        <rFont val="Calibri"/>
        <family val="2"/>
        <charset val="238"/>
      </rPr>
      <t>Ф</t>
    </r>
    <r>
      <rPr>
        <sz val="6.8"/>
        <color theme="1" tint="0.34998626667073579"/>
        <rFont val="Arial CE"/>
        <family val="2"/>
        <charset val="238"/>
      </rPr>
      <t xml:space="preserve"> 110 mm </t>
    </r>
    <r>
      <rPr>
        <sz val="8"/>
        <color theme="1" tint="0.34998626667073579"/>
        <rFont val="Arial CE"/>
        <family val="2"/>
        <charset val="238"/>
      </rPr>
      <t>- 2 ks</t>
    </r>
  </si>
  <si>
    <t>M+D vetracia hlavica</t>
  </si>
  <si>
    <t>Extrudovaný polystyrén (Styrodur 3035 CS) hrúbka 200 mm</t>
  </si>
  <si>
    <t>71,70*1,02</t>
  </si>
  <si>
    <t>Montáž tepelnej izolácie striech plochých do 10° spádovými doskami z polystyrénu v jednej vrstve</t>
  </si>
  <si>
    <t>11,20*6,40</t>
  </si>
  <si>
    <t>Spádové dosky EPS hr.20-70 mm</t>
  </si>
  <si>
    <t>skladba S1: 11,20*6,40</t>
  </si>
  <si>
    <t>71,70*1,15</t>
  </si>
  <si>
    <t>Parozábrana (napr. fólia LDS)</t>
  </si>
  <si>
    <t>Zhotovenie vegetačnej strechy vr.substrátu a odvodňovacieho systému so separačnou vrstvou</t>
  </si>
  <si>
    <t>skldba S1: vegetačná strecha</t>
  </si>
  <si>
    <t>vegetačná strecha je zložená z nasl.vrstiev</t>
  </si>
  <si>
    <t xml:space="preserve"> - vegetačná vrstva z rozchodníka hr. 40 mm</t>
  </si>
  <si>
    <t xml:space="preserve"> - substrát z minerálnej vlny hr. 40 mm</t>
  </si>
  <si>
    <t xml:space="preserve"> - odvodňovací systém so separačnou vrstvou</t>
  </si>
  <si>
    <t>poznámka: v ochrannom pásme inžinierskych sietí je nutné výkopové práce realizovať ručným výkopom</t>
  </si>
  <si>
    <t>Vytvorenie prestupu v základových konštrukciách dĺžky do 600 mm</t>
  </si>
  <si>
    <t>prestup 100x250 mm dĺ.600 mm - 1 ks</t>
  </si>
  <si>
    <t>prestup 100x100 mm dĺ.600 mm - 1 ks</t>
  </si>
  <si>
    <t>prestup 200x200 mm dĺ.600 mm - 5 ks</t>
  </si>
  <si>
    <t>prestup 250x250 mm dĺ.600 mm - 1 ks</t>
  </si>
  <si>
    <t>999_PC001</t>
  </si>
  <si>
    <t>999_PC002</t>
  </si>
  <si>
    <r>
      <t xml:space="preserve">PM1: </t>
    </r>
    <r>
      <rPr>
        <sz val="8"/>
        <color theme="1" tint="0.34998626667073579"/>
        <rFont val="Calibri"/>
        <family val="2"/>
        <charset val="238"/>
      </rPr>
      <t>Ф</t>
    </r>
    <r>
      <rPr>
        <sz val="8"/>
        <color theme="1" tint="0.34998626667073579"/>
        <rFont val="Arial CE"/>
        <family val="2"/>
        <charset val="238"/>
      </rPr>
      <t xml:space="preserve"> 80 mm dĺ.300 mm - 1 ks</t>
    </r>
  </si>
  <si>
    <r>
      <t xml:space="preserve">PM2: </t>
    </r>
    <r>
      <rPr>
        <sz val="8"/>
        <color theme="1" tint="0.34998626667073579"/>
        <rFont val="Calibri"/>
        <family val="2"/>
        <charset val="238"/>
      </rPr>
      <t>Ф</t>
    </r>
    <r>
      <rPr>
        <sz val="8"/>
        <color theme="1" tint="0.34998626667073579"/>
        <rFont val="Arial CE"/>
        <family val="2"/>
        <charset val="238"/>
      </rPr>
      <t xml:space="preserve"> 50 mm dĺ.125 mm - 1 ks</t>
    </r>
  </si>
  <si>
    <r>
      <t xml:space="preserve">PM3: </t>
    </r>
    <r>
      <rPr>
        <sz val="8"/>
        <color theme="1" tint="0.34998626667073579"/>
        <rFont val="Calibri"/>
        <family val="2"/>
        <charset val="238"/>
      </rPr>
      <t>Ф</t>
    </r>
    <r>
      <rPr>
        <sz val="8"/>
        <color theme="1" tint="0.34998626667073579"/>
        <rFont val="Arial CE"/>
        <family val="2"/>
        <charset val="238"/>
      </rPr>
      <t xml:space="preserve"> 100 mm dĺ.300 mm - 2 ks</t>
    </r>
  </si>
  <si>
    <t>Vybúranie otvoru v murovaných priečkach a stenách do profilu 60 mm, hr. do 150 mm,  -0,00100t</t>
  </si>
  <si>
    <t>Vybúranie otvoru v murovaných priečkach a stenách plochy do 0,0225 m2, do 300 mm,  -0,01500t</t>
  </si>
  <si>
    <t>971042131.1</t>
  </si>
  <si>
    <t>971042241.1</t>
  </si>
  <si>
    <t>27910005.1</t>
  </si>
  <si>
    <t>56425PC1001</t>
  </si>
  <si>
    <t>62525PC1001</t>
  </si>
  <si>
    <t>62525PC1002</t>
  </si>
  <si>
    <t>62825PC1003</t>
  </si>
  <si>
    <t>632PC2001</t>
  </si>
  <si>
    <t>63257PC2002</t>
  </si>
  <si>
    <t>Príplatok za prvý a každý ďalší i začatý mesiac použitia lešenia ľahkého pracovného radového s podlahami šírky nad 1,00 do 1,20 m, výšky do 10 m</t>
  </si>
  <si>
    <t>Demontáž lešenia ľahkého pracovného radového s podlahami šírky nad 1,00 do 1,20 m, výšky do 10 m</t>
  </si>
  <si>
    <t>Maľby z maliarskych zmesí Primalex, Farmal, ručne nanášané dvojnásobné základné na podklad jemnozrnný výšky do 3,80 m - 2-násobný náter vr. Penetrácie</t>
  </si>
  <si>
    <t>767PC3001</t>
  </si>
  <si>
    <t>767PC3002</t>
  </si>
  <si>
    <t>767PC3003</t>
  </si>
  <si>
    <t>767PC3004</t>
  </si>
  <si>
    <t>766PC4001</t>
  </si>
  <si>
    <t>17,70 m2</t>
  </si>
  <si>
    <t>764PC7641</t>
  </si>
  <si>
    <t>764PC7642</t>
  </si>
  <si>
    <t>712PC7121</t>
  </si>
  <si>
    <t>SO 01   Objekt pre správcu</t>
  </si>
  <si>
    <t>E1.1,2  Architektonicko-stavebné riešenie + statika</t>
  </si>
  <si>
    <t>ROZPOČET</t>
  </si>
  <si>
    <t>M+D hasiaciceho prístroja práškového - 6 kg</t>
  </si>
  <si>
    <t>767PC3005</t>
  </si>
  <si>
    <t>ZŠ s MŠ SUT - rekonštrukcia areálu TRNAVA</t>
  </si>
  <si>
    <r>
      <t xml:space="preserve">vetracia hlavica VH </t>
    </r>
    <r>
      <rPr>
        <sz val="8"/>
        <color theme="1" tint="0.34998626667073579"/>
        <rFont val="Calibri"/>
        <family val="2"/>
        <charset val="238"/>
      </rPr>
      <t>Ф</t>
    </r>
    <r>
      <rPr>
        <sz val="6.8"/>
        <color theme="1" tint="0.34998626667073579"/>
        <rFont val="Arial CE"/>
        <family val="2"/>
        <charset val="238"/>
      </rPr>
      <t xml:space="preserve"> 110 mm </t>
    </r>
    <r>
      <rPr>
        <sz val="8"/>
        <color theme="1" tint="0.34998626667073579"/>
        <rFont val="Arial CE"/>
        <family val="2"/>
        <charset val="238"/>
      </rPr>
      <t>- 3 ks</t>
    </r>
  </si>
  <si>
    <t>AL6: 1800/1500 mm - 1 ks</t>
  </si>
  <si>
    <t>AL6</t>
  </si>
  <si>
    <t>104a</t>
  </si>
  <si>
    <t>4*1,20+2,40+1,80+1,80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</si>
</sst>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##0;\-###0"/>
    <numFmt numFmtId="166" formatCode="0.000"/>
  </numFmts>
  <fonts count="41" x14ac:knownFonts="1">
    <font>
      <sz val="11"/>
      <color theme="1"/>
      <name val="Calibri"/>
      <family val="2"/>
      <charset val="238"/>
      <scheme val="minor"/>
    </font>
    <font>
      <sz val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MS Sans Serif"/>
      <family val="2"/>
      <charset val="238"/>
    </font>
    <font>
      <i/>
      <sz val="9"/>
      <color rgb="FF0000FF"/>
      <name val="Arial CE"/>
      <family val="2"/>
      <charset val="238"/>
    </font>
    <font>
      <i/>
      <sz val="9"/>
      <color rgb="FF0000FF"/>
      <name val="Arial"/>
      <family val="2"/>
      <charset val="238"/>
    </font>
    <font>
      <sz val="8"/>
      <name val="Arial CE"/>
      <family val="2"/>
      <charset val="238"/>
    </font>
    <font>
      <b/>
      <sz val="14"/>
      <color indexed="10"/>
      <name val="Arial CE"/>
      <family val="2"/>
      <charset val="238"/>
    </font>
    <font>
      <sz val="10"/>
      <name val="Arial CE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rgb="FF00008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 tint="0.249977111117893"/>
      <name val="Arial CE"/>
      <family val="2"/>
      <charset val="238"/>
    </font>
    <font>
      <i/>
      <sz val="9"/>
      <color rgb="FF0000FF"/>
      <name val="Arial CE"/>
      <family val="2"/>
      <charset val="238"/>
    </font>
    <font>
      <sz val="9"/>
      <color theme="1" tint="0.249977111117893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 CE"/>
      <family val="2"/>
      <charset val="238"/>
    </font>
    <font>
      <b/>
      <u/>
      <sz val="10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8"/>
      <color rgb="FF00008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name val="Trebuchet MS"/>
      <family val="2"/>
    </font>
    <font>
      <sz val="9"/>
      <name val="Arial CE"/>
      <family val="2"/>
      <charset val="238"/>
    </font>
    <font>
      <sz val="8"/>
      <color theme="1" tint="0.34998626667073579"/>
      <name val="Arial CE"/>
      <family val="2"/>
      <charset val="238"/>
    </font>
    <font>
      <sz val="8"/>
      <color theme="1" tint="0.34998626667073579"/>
      <name val="Arial"/>
      <family val="2"/>
      <charset val="238"/>
    </font>
    <font>
      <sz val="8"/>
      <color theme="1" tint="0.34998626667073579"/>
      <name val="Arial CE"/>
      <family val="2"/>
      <charset val="238"/>
    </font>
    <font>
      <u/>
      <sz val="8"/>
      <name val="Arial"/>
      <family val="2"/>
      <charset val="238"/>
    </font>
    <font>
      <u/>
      <sz val="8"/>
      <color theme="1" tint="0.34998626667073579"/>
      <name val="Arial CE"/>
      <family val="2"/>
      <charset val="238"/>
    </font>
    <font>
      <sz val="8"/>
      <color theme="1" tint="0.34998626667073579"/>
      <name val="Calibri"/>
      <family val="2"/>
      <charset val="238"/>
    </font>
    <font>
      <sz val="6.8"/>
      <color theme="1" tint="0.34998626667073579"/>
      <name val="Arial CE"/>
      <family val="2"/>
      <charset val="238"/>
    </font>
    <font>
      <i/>
      <sz val="8"/>
      <color theme="1" tint="0.34998626667073579"/>
      <name val="Arial CE"/>
      <family val="2"/>
      <charset val="238"/>
    </font>
    <font>
      <sz val="10"/>
      <name val="Times New Roman CE"/>
      <charset val="238"/>
    </font>
    <font>
      <sz val="8"/>
      <name val="MS Sans Serif"/>
      <charset val="1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</fills>
  <borders count="1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0" fontId="1" fillId="0" borderId="0" applyAlignment="0">
      <alignment vertical="top" wrapText="1"/>
      <protection locked="0"/>
    </xf>
    <xf numFmtId="0" fontId="8" fillId="0" borderId="0"/>
    <xf numFmtId="0" fontId="9" fillId="0" borderId="0" applyAlignment="0">
      <alignment vertical="top" wrapText="1"/>
      <protection locked="0"/>
    </xf>
    <xf numFmtId="0" fontId="22" fillId="0" borderId="0"/>
    <xf numFmtId="0" fontId="2" fillId="0" borderId="0" applyAlignment="0">
      <alignment vertical="top" wrapText="1"/>
      <protection locked="0"/>
    </xf>
    <xf numFmtId="0" fontId="28" fillId="0" borderId="0"/>
    <xf numFmtId="0" fontId="38" fillId="0" borderId="0"/>
    <xf numFmtId="0" fontId="14" fillId="0" borderId="0"/>
    <xf numFmtId="0" fontId="39" fillId="0" borderId="0" applyAlignment="0">
      <alignment vertical="top"/>
      <protection locked="0"/>
    </xf>
  </cellStyleXfs>
  <cellXfs count="167">
    <xf numFmtId="0" fontId="0" fillId="0" borderId="0" xfId="0"/>
    <xf numFmtId="0" fontId="5" fillId="0" borderId="0" xfId="1" applyFont="1" applyFill="1" applyAlignment="1" applyProtection="1">
      <alignment horizontal="left"/>
    </xf>
    <xf numFmtId="0" fontId="4" fillId="0" borderId="0" xfId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left"/>
    </xf>
    <xf numFmtId="0" fontId="3" fillId="0" borderId="0" xfId="1" applyFont="1" applyFill="1" applyAlignment="1" applyProtection="1">
      <alignment horizontal="left" vertical="center"/>
    </xf>
    <xf numFmtId="0" fontId="3" fillId="0" borderId="0" xfId="1" applyFont="1" applyFill="1" applyAlignment="1" applyProtection="1">
      <alignment horizontal="left" vertical="center" wrapText="1"/>
    </xf>
    <xf numFmtId="0" fontId="6" fillId="0" borderId="0" xfId="1" applyFont="1" applyFill="1" applyAlignment="1" applyProtection="1">
      <alignment horizontal="center" vertical="center"/>
    </xf>
    <xf numFmtId="0" fontId="3" fillId="0" borderId="0" xfId="1" applyFont="1" applyFill="1" applyAlignment="1" applyProtection="1">
      <alignment horizontal="center" vertical="center"/>
    </xf>
    <xf numFmtId="164" fontId="3" fillId="0" borderId="0" xfId="1" applyNumberFormat="1" applyFont="1" applyFill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left" vertical="center"/>
    </xf>
    <xf numFmtId="4" fontId="6" fillId="0" borderId="0" xfId="1" applyNumberFormat="1" applyFont="1" applyFill="1" applyAlignment="1" applyProtection="1">
      <alignment horizontal="right"/>
    </xf>
    <xf numFmtId="0" fontId="4" fillId="0" borderId="0" xfId="1" applyFont="1" applyFill="1" applyAlignment="1" applyProtection="1">
      <alignment horizontal="center" vertical="center"/>
    </xf>
    <xf numFmtId="0" fontId="14" fillId="0" borderId="0" xfId="1" applyFont="1" applyFill="1" applyAlignment="1" applyProtection="1">
      <alignment horizontal="left"/>
    </xf>
    <xf numFmtId="4" fontId="17" fillId="0" borderId="4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left" vertical="center" wrapText="1"/>
    </xf>
    <xf numFmtId="164" fontId="4" fillId="0" borderId="0" xfId="1" applyNumberFormat="1" applyFont="1" applyFill="1" applyAlignment="1" applyProtection="1">
      <alignment horizontal="left" vertical="center"/>
    </xf>
    <xf numFmtId="0" fontId="12" fillId="0" borderId="1" xfId="1" applyFont="1" applyFill="1" applyBorder="1" applyAlignment="1" applyProtection="1">
      <alignment horizontal="center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left" wrapText="1"/>
    </xf>
    <xf numFmtId="0" fontId="21" fillId="0" borderId="0" xfId="1" applyFont="1" applyFill="1" applyBorder="1" applyAlignment="1" applyProtection="1">
      <alignment horizontal="center" vertical="center"/>
    </xf>
    <xf numFmtId="164" fontId="21" fillId="0" borderId="0" xfId="1" applyNumberFormat="1" applyFont="1" applyFill="1" applyBorder="1" applyAlignment="1" applyProtection="1">
      <alignment horizontal="right"/>
    </xf>
    <xf numFmtId="0" fontId="6" fillId="0" borderId="0" xfId="1" applyFont="1" applyFill="1" applyAlignment="1">
      <alignment horizontal="left" vertical="top"/>
      <protection locked="0"/>
    </xf>
    <xf numFmtId="0" fontId="7" fillId="0" borderId="0" xfId="1" applyFont="1" applyFill="1" applyAlignment="1">
      <alignment horizontal="left" vertical="center"/>
      <protection locked="0"/>
    </xf>
    <xf numFmtId="0" fontId="7" fillId="0" borderId="0" xfId="1" applyFont="1" applyFill="1" applyAlignment="1">
      <alignment horizontal="left" vertical="top"/>
      <protection locked="0"/>
    </xf>
    <xf numFmtId="0" fontId="5" fillId="0" borderId="0" xfId="1" applyFont="1" applyFill="1" applyAlignment="1">
      <alignment horizontal="left" vertical="top"/>
      <protection locked="0"/>
    </xf>
    <xf numFmtId="0" fontId="16" fillId="0" borderId="0" xfId="0" applyFont="1" applyFill="1" applyAlignment="1">
      <alignment horizontal="justify" vertical="center"/>
    </xf>
    <xf numFmtId="166" fontId="15" fillId="0" borderId="0" xfId="0" applyNumberFormat="1" applyFont="1" applyFill="1" applyAlignment="1">
      <alignment horizontal="right"/>
    </xf>
    <xf numFmtId="0" fontId="14" fillId="0" borderId="0" xfId="1" applyFont="1" applyFill="1" applyAlignment="1" applyProtection="1">
      <alignment horizontal="center" vertical="center"/>
    </xf>
    <xf numFmtId="0" fontId="3" fillId="0" borderId="0" xfId="1" applyFont="1" applyFill="1" applyAlignment="1" applyProtection="1">
      <alignment horizontal="left"/>
    </xf>
    <xf numFmtId="0" fontId="3" fillId="0" borderId="0" xfId="1" applyFont="1" applyFill="1" applyAlignment="1" applyProtection="1"/>
    <xf numFmtId="0" fontId="3" fillId="0" borderId="0" xfId="1" applyFont="1" applyFill="1" applyAlignment="1" applyProtection="1">
      <alignment wrapText="1"/>
    </xf>
    <xf numFmtId="37" fontId="14" fillId="0" borderId="0" xfId="1" applyNumberFormat="1" applyFont="1" applyFill="1" applyAlignment="1" applyProtection="1">
      <alignment horizontal="right"/>
    </xf>
    <xf numFmtId="0" fontId="12" fillId="0" borderId="0" xfId="1" applyFont="1" applyFill="1" applyAlignment="1">
      <alignment horizontal="left" vertical="top"/>
      <protection locked="0"/>
    </xf>
    <xf numFmtId="0" fontId="6" fillId="0" borderId="0" xfId="1" applyFont="1" applyFill="1" applyAlignment="1">
      <alignment horizontal="center" vertical="center"/>
      <protection locked="0"/>
    </xf>
    <xf numFmtId="4" fontId="6" fillId="0" borderId="0" xfId="1" applyNumberFormat="1" applyFont="1" applyFill="1" applyAlignment="1">
      <alignment horizontal="right" vertical="top"/>
      <protection locked="0"/>
    </xf>
    <xf numFmtId="0" fontId="12" fillId="0" borderId="0" xfId="1" applyFont="1" applyFill="1" applyAlignment="1">
      <alignment horizontal="center" vertical="center"/>
      <protection locked="0"/>
    </xf>
    <xf numFmtId="0" fontId="24" fillId="0" borderId="0" xfId="1" applyFont="1" applyFill="1" applyAlignment="1">
      <alignment horizontal="left" vertical="top"/>
      <protection locked="0"/>
    </xf>
    <xf numFmtId="4" fontId="25" fillId="0" borderId="0" xfId="1" applyNumberFormat="1" applyFont="1" applyFill="1" applyBorder="1" applyAlignment="1" applyProtection="1">
      <alignment horizontal="right" vertical="center"/>
    </xf>
    <xf numFmtId="0" fontId="7" fillId="0" borderId="0" xfId="1" applyFont="1" applyFill="1" applyAlignment="1">
      <alignment horizontal="center" vertical="center"/>
      <protection locked="0"/>
    </xf>
    <xf numFmtId="0" fontId="1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horizontal="center" vertical="center"/>
    </xf>
    <xf numFmtId="166" fontId="7" fillId="0" borderId="0" xfId="0" applyNumberFormat="1" applyFont="1" applyFill="1" applyAlignment="1">
      <alignment horizontal="right" vertical="center"/>
    </xf>
    <xf numFmtId="0" fontId="26" fillId="0" borderId="0" xfId="1" applyFont="1" applyFill="1" applyAlignment="1">
      <alignment horizontal="center" vertical="center"/>
      <protection locked="0"/>
    </xf>
    <xf numFmtId="4" fontId="7" fillId="0" borderId="0" xfId="0" applyNumberFormat="1" applyFont="1" applyFill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18" fillId="0" borderId="0" xfId="0" applyFont="1" applyFill="1"/>
    <xf numFmtId="0" fontId="27" fillId="0" borderId="0" xfId="1" applyFont="1" applyFill="1" applyAlignment="1">
      <alignment horizontal="center" vertical="center"/>
      <protection locked="0"/>
    </xf>
    <xf numFmtId="164" fontId="7" fillId="0" borderId="0" xfId="0" applyNumberFormat="1" applyFont="1" applyFill="1" applyAlignment="1">
      <alignment horizontal="right" vertical="center"/>
    </xf>
    <xf numFmtId="166" fontId="7" fillId="0" borderId="0" xfId="1" applyNumberFormat="1" applyFont="1" applyFill="1" applyAlignment="1">
      <alignment horizontal="right" vertical="center"/>
      <protection locked="0"/>
    </xf>
    <xf numFmtId="166" fontId="16" fillId="0" borderId="0" xfId="0" applyNumberFormat="1" applyFont="1" applyFill="1" applyAlignment="1">
      <alignment horizontal="right" vertical="center"/>
    </xf>
    <xf numFmtId="164" fontId="7" fillId="0" borderId="0" xfId="1" applyNumberFormat="1" applyFont="1" applyFill="1" applyAlignment="1">
      <alignment horizontal="right" vertical="center"/>
      <protection locked="0"/>
    </xf>
    <xf numFmtId="164" fontId="33" fillId="0" borderId="0" xfId="1" applyNumberFormat="1" applyFont="1" applyFill="1" applyAlignment="1">
      <alignment horizontal="right" vertical="center"/>
      <protection locked="0"/>
    </xf>
    <xf numFmtId="0" fontId="12" fillId="0" borderId="0" xfId="1" applyFont="1" applyFill="1" applyAlignment="1">
      <alignment horizontal="left" vertical="center"/>
      <protection locked="0"/>
    </xf>
    <xf numFmtId="0" fontId="23" fillId="0" borderId="0" xfId="0" applyFont="1" applyFill="1" applyAlignment="1" applyProtection="1">
      <alignment horizontal="left"/>
    </xf>
    <xf numFmtId="0" fontId="6" fillId="0" borderId="0" xfId="1" applyFont="1" applyFill="1" applyAlignment="1" applyProtection="1">
      <alignment horizontal="center"/>
    </xf>
    <xf numFmtId="164" fontId="30" fillId="0" borderId="0" xfId="1" applyNumberFormat="1" applyFont="1" applyFill="1" applyAlignment="1" applyProtection="1">
      <alignment horizontal="right"/>
    </xf>
    <xf numFmtId="4" fontId="6" fillId="0" borderId="0" xfId="1" applyNumberFormat="1" applyFont="1" applyFill="1" applyAlignment="1" applyProtection="1">
      <alignment horizontal="left"/>
    </xf>
    <xf numFmtId="0" fontId="30" fillId="0" borderId="0" xfId="1" applyFont="1" applyFill="1" applyAlignment="1" applyProtection="1">
      <alignment horizontal="left" wrapText="1"/>
    </xf>
    <xf numFmtId="0" fontId="31" fillId="0" borderId="0" xfId="1" applyFont="1" applyFill="1" applyAlignment="1" applyProtection="1">
      <alignment horizontal="center" vertical="center"/>
    </xf>
    <xf numFmtId="0" fontId="31" fillId="0" borderId="6" xfId="1" applyFont="1" applyFill="1" applyBorder="1" applyAlignment="1" applyProtection="1">
      <alignment horizontal="left" wrapText="1"/>
    </xf>
    <xf numFmtId="0" fontId="31" fillId="0" borderId="6" xfId="1" applyFont="1" applyFill="1" applyBorder="1" applyAlignment="1" applyProtection="1">
      <alignment horizontal="center" vertical="center"/>
    </xf>
    <xf numFmtId="164" fontId="31" fillId="0" borderId="6" xfId="1" applyNumberFormat="1" applyFont="1" applyFill="1" applyBorder="1" applyAlignment="1" applyProtection="1">
      <alignment horizontal="right"/>
    </xf>
    <xf numFmtId="0" fontId="5" fillId="0" borderId="0" xfId="1" applyFont="1" applyFill="1" applyAlignment="1" applyProtection="1">
      <alignment horizontal="center"/>
    </xf>
    <xf numFmtId="4" fontId="5" fillId="0" borderId="0" xfId="1" applyNumberFormat="1" applyFont="1" applyFill="1" applyAlignment="1" applyProtection="1">
      <alignment horizontal="left"/>
    </xf>
    <xf numFmtId="4" fontId="3" fillId="0" borderId="7" xfId="1" applyNumberFormat="1" applyFont="1" applyFill="1" applyBorder="1" applyAlignment="1" applyProtection="1">
      <alignment horizontal="right" vertical="center"/>
    </xf>
    <xf numFmtId="4" fontId="4" fillId="0" borderId="7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center" vertical="center"/>
    </xf>
    <xf numFmtId="164" fontId="4" fillId="0" borderId="0" xfId="1" applyNumberFormat="1" applyFont="1" applyFill="1" applyBorder="1" applyAlignment="1" applyProtection="1">
      <alignment horizontal="left" vertical="center"/>
    </xf>
    <xf numFmtId="4" fontId="5" fillId="0" borderId="2" xfId="1" applyNumberFormat="1" applyFont="1" applyFill="1" applyBorder="1" applyAlignment="1" applyProtection="1">
      <alignment horizontal="right" vertical="center"/>
    </xf>
    <xf numFmtId="165" fontId="5" fillId="0" borderId="2" xfId="1" applyNumberFormat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/>
    </xf>
    <xf numFmtId="164" fontId="5" fillId="0" borderId="2" xfId="1" applyNumberFormat="1" applyFont="1" applyFill="1" applyBorder="1" applyAlignment="1" applyProtection="1">
      <alignment horizontal="right" vertical="center"/>
    </xf>
    <xf numFmtId="0" fontId="3" fillId="0" borderId="0" xfId="1" applyFont="1" applyFill="1" applyAlignment="1" applyProtection="1">
      <alignment horizontal="center" wrapText="1"/>
    </xf>
    <xf numFmtId="0" fontId="30" fillId="0" borderId="0" xfId="1" applyFont="1" applyFill="1" applyAlignment="1" applyProtection="1">
      <alignment horizontal="center" vertical="center"/>
    </xf>
    <xf numFmtId="164" fontId="31" fillId="0" borderId="0" xfId="1" applyNumberFormat="1" applyFont="1" applyFill="1" applyAlignment="1" applyProtection="1">
      <alignment horizontal="right"/>
    </xf>
    <xf numFmtId="0" fontId="29" fillId="0" borderId="2" xfId="0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left" vertical="center" wrapText="1"/>
    </xf>
    <xf numFmtId="4" fontId="3" fillId="0" borderId="2" xfId="1" applyNumberFormat="1" applyFont="1" applyFill="1" applyBorder="1" applyAlignment="1" applyProtection="1">
      <alignment horizontal="right" vertical="center"/>
    </xf>
    <xf numFmtId="0" fontId="6" fillId="0" borderId="0" xfId="1" applyFont="1" applyFill="1" applyAlignment="1">
      <alignment horizontal="left" vertical="center"/>
      <protection locked="0"/>
    </xf>
    <xf numFmtId="0" fontId="4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Alignment="1">
      <alignment horizontal="left"/>
      <protection locked="0"/>
    </xf>
    <xf numFmtId="0" fontId="31" fillId="0" borderId="0" xfId="1" applyFont="1" applyFill="1" applyBorder="1" applyAlignment="1" applyProtection="1">
      <alignment horizontal="center" vertical="center"/>
    </xf>
    <xf numFmtId="164" fontId="31" fillId="0" borderId="0" xfId="1" applyNumberFormat="1" applyFont="1" applyFill="1" applyBorder="1" applyAlignment="1" applyProtection="1">
      <alignment horizontal="right"/>
    </xf>
    <xf numFmtId="14" fontId="6" fillId="0" borderId="0" xfId="1" applyNumberFormat="1" applyFont="1" applyFill="1" applyAlignment="1" applyProtection="1">
      <alignment horizontal="right"/>
    </xf>
    <xf numFmtId="165" fontId="6" fillId="0" borderId="2" xfId="1" applyNumberFormat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/>
    </xf>
    <xf numFmtId="164" fontId="6" fillId="0" borderId="2" xfId="1" applyNumberFormat="1" applyFont="1" applyFill="1" applyBorder="1" applyAlignment="1" applyProtection="1">
      <alignment horizontal="right" vertical="center"/>
    </xf>
    <xf numFmtId="4" fontId="6" fillId="0" borderId="2" xfId="1" applyNumberFormat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32" fillId="0" borderId="0" xfId="1" applyFont="1" applyFill="1" applyBorder="1" applyAlignment="1" applyProtection="1">
      <alignment horizontal="left" vertical="center" wrapText="1"/>
    </xf>
    <xf numFmtId="0" fontId="30" fillId="0" borderId="0" xfId="1" applyFont="1" applyFill="1" applyBorder="1" applyAlignment="1" applyProtection="1">
      <alignment horizontal="center" vertical="center"/>
    </xf>
    <xf numFmtId="4" fontId="6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Alignment="1" applyProtection="1">
      <alignment horizontal="left" vertical="center"/>
    </xf>
    <xf numFmtId="0" fontId="31" fillId="0" borderId="6" xfId="1" applyFont="1" applyFill="1" applyBorder="1" applyAlignment="1" applyProtection="1">
      <alignment horizontal="left" vertical="center" wrapText="1"/>
    </xf>
    <xf numFmtId="164" fontId="31" fillId="0" borderId="6" xfId="1" applyNumberFormat="1" applyFont="1" applyFill="1" applyBorder="1" applyAlignment="1" applyProtection="1">
      <alignment horizontal="right" vertical="center"/>
    </xf>
    <xf numFmtId="4" fontId="6" fillId="0" borderId="0" xfId="1" applyNumberFormat="1" applyFont="1" applyFill="1" applyAlignment="1" applyProtection="1">
      <alignment horizontal="left" vertical="center"/>
    </xf>
    <xf numFmtId="0" fontId="30" fillId="0" borderId="0" xfId="1" applyFont="1" applyFill="1" applyAlignment="1" applyProtection="1">
      <alignment horizontal="left" vertical="center" wrapText="1"/>
    </xf>
    <xf numFmtId="164" fontId="30" fillId="0" borderId="0" xfId="1" applyNumberFormat="1" applyFont="1" applyFill="1" applyAlignment="1" applyProtection="1">
      <alignment horizontal="right" vertical="center"/>
    </xf>
    <xf numFmtId="0" fontId="30" fillId="0" borderId="0" xfId="1" applyFont="1" applyFill="1" applyAlignment="1" applyProtection="1">
      <alignment horizontal="left"/>
    </xf>
    <xf numFmtId="0" fontId="34" fillId="0" borderId="0" xfId="1" applyFont="1" applyFill="1" applyAlignment="1" applyProtection="1">
      <alignment horizontal="left"/>
    </xf>
    <xf numFmtId="0" fontId="32" fillId="0" borderId="0" xfId="1" applyFont="1" applyFill="1" applyAlignment="1" applyProtection="1">
      <alignment horizontal="left"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left" vertical="center" wrapText="1"/>
    </xf>
    <xf numFmtId="164" fontId="10" fillId="0" borderId="2" xfId="1" applyNumberFormat="1" applyFont="1" applyFill="1" applyBorder="1" applyAlignment="1" applyProtection="1">
      <alignment horizontal="right" vertical="center"/>
    </xf>
    <xf numFmtId="4" fontId="10" fillId="0" borderId="2" xfId="1" applyNumberFormat="1" applyFont="1" applyFill="1" applyBorder="1" applyAlignment="1" applyProtection="1">
      <alignment horizontal="right" vertical="center"/>
    </xf>
    <xf numFmtId="4" fontId="11" fillId="0" borderId="2" xfId="1" applyNumberFormat="1" applyFont="1" applyFill="1" applyBorder="1" applyAlignment="1" applyProtection="1">
      <alignment horizontal="right" vertical="center"/>
    </xf>
    <xf numFmtId="4" fontId="6" fillId="0" borderId="0" xfId="1" applyNumberFormat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left"/>
    </xf>
    <xf numFmtId="0" fontId="30" fillId="0" borderId="0" xfId="1" applyFont="1" applyFill="1" applyBorder="1" applyAlignment="1" applyProtection="1">
      <alignment horizontal="left" wrapText="1"/>
    </xf>
    <xf numFmtId="4" fontId="5" fillId="0" borderId="0" xfId="1" applyNumberFormat="1" applyFont="1" applyFill="1" applyBorder="1" applyAlignment="1" applyProtection="1">
      <alignment horizontal="left"/>
    </xf>
    <xf numFmtId="0" fontId="6" fillId="0" borderId="3" xfId="1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left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19" fillId="0" borderId="6" xfId="1" applyFont="1" applyFill="1" applyBorder="1" applyAlignment="1" applyProtection="1">
      <alignment horizontal="left" wrapText="1"/>
    </xf>
    <xf numFmtId="0" fontId="19" fillId="0" borderId="6" xfId="1" applyFont="1" applyFill="1" applyBorder="1" applyAlignment="1" applyProtection="1">
      <alignment horizontal="center" vertical="center"/>
    </xf>
    <xf numFmtId="0" fontId="6" fillId="0" borderId="10" xfId="1" applyFont="1" applyFill="1" applyBorder="1" applyAlignment="1" applyProtection="1">
      <alignment horizontal="left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20" fillId="0" borderId="8" xfId="1" applyFont="1" applyFill="1" applyBorder="1" applyAlignment="1" applyProtection="1">
      <alignment horizontal="left" vertical="center" wrapText="1"/>
    </xf>
    <xf numFmtId="0" fontId="20" fillId="0" borderId="10" xfId="1" applyFont="1" applyFill="1" applyBorder="1" applyAlignment="1" applyProtection="1">
      <alignment horizontal="left" vertical="center"/>
    </xf>
    <xf numFmtId="0" fontId="20" fillId="0" borderId="9" xfId="1" applyFont="1" applyFill="1" applyBorder="1" applyAlignment="1" applyProtection="1">
      <alignment horizontal="center" vertical="center" wrapText="1"/>
    </xf>
    <xf numFmtId="164" fontId="11" fillId="0" borderId="2" xfId="1" applyNumberFormat="1" applyFont="1" applyFill="1" applyBorder="1" applyAlignment="1" applyProtection="1">
      <alignment horizontal="right" vertical="center"/>
    </xf>
    <xf numFmtId="0" fontId="20" fillId="0" borderId="10" xfId="1" applyFont="1" applyFill="1" applyBorder="1" applyAlignment="1" applyProtection="1">
      <alignment horizontal="left" vertical="center" wrapText="1"/>
    </xf>
    <xf numFmtId="0" fontId="20" fillId="0" borderId="2" xfId="0" applyFont="1" applyFill="1" applyBorder="1" applyAlignment="1" applyProtection="1">
      <alignment horizontal="left" vertical="center" wrapText="1"/>
    </xf>
    <xf numFmtId="0" fontId="20" fillId="0" borderId="2" xfId="0" applyFont="1" applyFill="1" applyBorder="1" applyAlignment="1" applyProtection="1">
      <alignment horizontal="left" vertical="center"/>
    </xf>
    <xf numFmtId="0" fontId="29" fillId="0" borderId="2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center" vertical="center" wrapText="1"/>
    </xf>
    <xf numFmtId="0" fontId="34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horizontal="center" vertical="center" wrapText="1"/>
    </xf>
    <xf numFmtId="164" fontId="5" fillId="0" borderId="0" xfId="1" applyNumberFormat="1" applyFont="1" applyFill="1" applyBorder="1" applyAlignment="1" applyProtection="1">
      <alignment horizontal="right" vertical="center"/>
    </xf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>
      <alignment horizontal="left"/>
    </xf>
    <xf numFmtId="0" fontId="34" fillId="0" borderId="0" xfId="1" applyFont="1" applyFill="1" applyAlignment="1" applyProtection="1">
      <alignment horizontal="left" wrapText="1"/>
    </xf>
    <xf numFmtId="0" fontId="11" fillId="0" borderId="2" xfId="1" applyFont="1" applyFill="1" applyBorder="1" applyAlignment="1" applyProtection="1">
      <alignment horizontal="left" vertical="center"/>
    </xf>
    <xf numFmtId="0" fontId="6" fillId="0" borderId="10" xfId="1" applyFont="1" applyFill="1" applyBorder="1" applyAlignment="1" applyProtection="1">
      <alignment horizontal="center" vertical="center" wrapText="1"/>
    </xf>
    <xf numFmtId="164" fontId="6" fillId="0" borderId="11" xfId="1" applyNumberFormat="1" applyFont="1" applyFill="1" applyBorder="1" applyAlignment="1" applyProtection="1">
      <alignment horizontal="right" vertical="center"/>
    </xf>
    <xf numFmtId="0" fontId="19" fillId="0" borderId="0" xfId="1" applyFont="1" applyFill="1" applyAlignment="1" applyProtection="1">
      <alignment horizontal="center" vertical="center"/>
    </xf>
    <xf numFmtId="164" fontId="19" fillId="0" borderId="0" xfId="1" applyNumberFormat="1" applyFont="1" applyFill="1" applyAlignment="1" applyProtection="1">
      <alignment horizontal="right"/>
    </xf>
    <xf numFmtId="0" fontId="21" fillId="0" borderId="6" xfId="1" applyFont="1" applyFill="1" applyBorder="1" applyAlignment="1" applyProtection="1">
      <alignment horizontal="left" wrapText="1"/>
    </xf>
    <xf numFmtId="0" fontId="21" fillId="0" borderId="6" xfId="1" applyFont="1" applyFill="1" applyBorder="1" applyAlignment="1" applyProtection="1">
      <alignment horizontal="center" vertical="center"/>
    </xf>
    <xf numFmtId="164" fontId="21" fillId="0" borderId="6" xfId="1" applyNumberFormat="1" applyFont="1" applyFill="1" applyBorder="1" applyAlignment="1" applyProtection="1">
      <alignment horizontal="right"/>
    </xf>
    <xf numFmtId="0" fontId="37" fillId="0" borderId="0" xfId="1" applyFont="1" applyFill="1" applyBorder="1" applyAlignment="1" applyProtection="1">
      <alignment horizontal="left" vertical="center" wrapText="1"/>
    </xf>
    <xf numFmtId="1" fontId="10" fillId="0" borderId="2" xfId="1" applyNumberFormat="1" applyFont="1" applyFill="1" applyBorder="1" applyAlignment="1" applyProtection="1">
      <alignment horizontal="left" vertical="center" wrapText="1"/>
    </xf>
    <xf numFmtId="0" fontId="3" fillId="0" borderId="0" xfId="1" applyFont="1" applyFill="1" applyAlignment="1" applyProtection="1">
      <alignment horizontal="right" wrapText="1"/>
    </xf>
    <xf numFmtId="165" fontId="5" fillId="2" borderId="2" xfId="1" applyNumberFormat="1" applyFont="1" applyFill="1" applyBorder="1" applyAlignment="1" applyProtection="1">
      <alignment horizontal="center" vertical="center"/>
    </xf>
    <xf numFmtId="164" fontId="5" fillId="2" borderId="2" xfId="1" applyNumberFormat="1" applyFont="1" applyFill="1" applyBorder="1" applyAlignment="1" applyProtection="1">
      <alignment horizontal="right" vertical="center"/>
    </xf>
    <xf numFmtId="0" fontId="30" fillId="2" borderId="0" xfId="1" applyFont="1" applyFill="1" applyAlignment="1" applyProtection="1">
      <alignment horizontal="left" wrapText="1"/>
    </xf>
    <xf numFmtId="0" fontId="30" fillId="2" borderId="0" xfId="1" applyFont="1" applyFill="1" applyAlignment="1" applyProtection="1">
      <alignment horizontal="center" vertical="center"/>
    </xf>
    <xf numFmtId="164" fontId="30" fillId="2" borderId="0" xfId="1" applyNumberFormat="1" applyFont="1" applyFill="1" applyAlignment="1" applyProtection="1">
      <alignment horizontal="right"/>
    </xf>
    <xf numFmtId="0" fontId="31" fillId="2" borderId="6" xfId="1" applyFont="1" applyFill="1" applyBorder="1" applyAlignment="1" applyProtection="1">
      <alignment horizontal="left" wrapText="1"/>
    </xf>
    <xf numFmtId="0" fontId="31" fillId="2" borderId="6" xfId="1" applyFont="1" applyFill="1" applyBorder="1" applyAlignment="1" applyProtection="1">
      <alignment horizontal="center" vertical="center"/>
    </xf>
    <xf numFmtId="164" fontId="31" fillId="2" borderId="6" xfId="1" applyNumberFormat="1" applyFont="1" applyFill="1" applyBorder="1" applyAlignment="1" applyProtection="1">
      <alignment horizontal="right"/>
    </xf>
    <xf numFmtId="0" fontId="31" fillId="2" borderId="0" xfId="1" applyFont="1" applyFill="1" applyAlignment="1" applyProtection="1">
      <alignment horizontal="center" vertical="center"/>
    </xf>
    <xf numFmtId="164" fontId="31" fillId="2" borderId="0" xfId="1" applyNumberFormat="1" applyFont="1" applyFill="1" applyAlignment="1" applyProtection="1">
      <alignment horizontal="right"/>
    </xf>
    <xf numFmtId="0" fontId="20" fillId="2" borderId="2" xfId="0" applyFont="1" applyFill="1" applyBorder="1" applyAlignment="1" applyProtection="1">
      <alignment horizontal="center" vertical="center" wrapText="1"/>
    </xf>
    <xf numFmtId="164" fontId="11" fillId="2" borderId="2" xfId="1" applyNumberFormat="1" applyFont="1" applyFill="1" applyBorder="1" applyAlignment="1" applyProtection="1">
      <alignment horizontal="right" vertical="center"/>
    </xf>
    <xf numFmtId="4" fontId="11" fillId="2" borderId="2" xfId="1" applyNumberFormat="1" applyFont="1" applyFill="1" applyBorder="1" applyAlignment="1" applyProtection="1">
      <alignment horizontal="right" vertical="center"/>
    </xf>
    <xf numFmtId="0" fontId="20" fillId="2" borderId="2" xfId="0" applyFont="1" applyFill="1" applyBorder="1" applyAlignment="1" applyProtection="1">
      <alignment horizontal="left" vertical="center" wrapText="1"/>
    </xf>
    <xf numFmtId="0" fontId="13" fillId="0" borderId="0" xfId="1" applyFont="1" applyFill="1" applyAlignment="1" applyProtection="1">
      <alignment horizontal="center"/>
    </xf>
  </cellXfs>
  <cellStyles count="10">
    <cellStyle name="Normal_F-1214" xfId="2" xr:uid="{00000000-0005-0000-0000-000000000000}"/>
    <cellStyle name="Normálna" xfId="0" builtinId="0"/>
    <cellStyle name="Normálna 2" xfId="3" xr:uid="{00000000-0005-0000-0000-000001000000}"/>
    <cellStyle name="Normálna 3" xfId="1" xr:uid="{00000000-0005-0000-0000-000002000000}"/>
    <cellStyle name="Normálne 2" xfId="6" xr:uid="{00000000-0005-0000-0000-000004000000}"/>
    <cellStyle name="Normálne 2 2 2" xfId="5" xr:uid="{00000000-0005-0000-0000-000005000000}"/>
    <cellStyle name="Normálne 2 4" xfId="4" xr:uid="{00000000-0005-0000-0000-000006000000}"/>
    <cellStyle name="Normálne 3" xfId="9" xr:uid="{00000000-0005-0000-0000-000007000000}"/>
    <cellStyle name="normálne_M 09 0253_DCMVSR@Tajov_v 03_vzorce" xfId="8" xr:uid="{00000000-0005-0000-0000-000008000000}"/>
    <cellStyle name="normální_List1" xfId="7" xr:uid="{00000000-0005-0000-0000-000009000000}"/>
  </cellStyles>
  <dxfs count="0"/>
  <tableStyles count="0" defaultTableStyle="TableStyleMedium2" defaultPivotStyle="PivotStyleLight16"/>
  <colors>
    <mruColors>
      <color rgb="FF99FF66"/>
      <color rgb="FFFFFF66"/>
      <color rgb="FF0000FF"/>
      <color rgb="FFCCFF99"/>
      <color rgb="FFFFCCCC"/>
      <color rgb="FFCC99FF"/>
      <color rgb="FFFFFF99"/>
      <color rgb="FF66FFFF"/>
      <color rgb="FFFF0066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FF66"/>
    <pageSetUpPr fitToPage="1"/>
  </sheetPr>
  <dimension ref="A1:Q392"/>
  <sheetViews>
    <sheetView tabSelected="1" zoomScaleNormal="100" workbookViewId="0">
      <pane ySplit="7" topLeftCell="A221" activePane="bottomLeft" state="frozenSplit"/>
      <selection activeCell="H234" sqref="H234"/>
      <selection pane="bottomLeft" activeCell="S383" sqref="S383"/>
    </sheetView>
  </sheetViews>
  <sheetFormatPr defaultColWidth="9" defaultRowHeight="12" customHeight="1" outlineLevelCol="1" x14ac:dyDescent="0.25"/>
  <cols>
    <col min="1" max="1" width="6.140625" style="33" customWidth="1"/>
    <col min="2" max="2" width="5.7109375" style="33" customWidth="1"/>
    <col min="3" max="3" width="17.85546875" style="33" customWidth="1"/>
    <col min="4" max="4" width="42.7109375" style="33" customWidth="1"/>
    <col min="5" max="5" width="4.28515625" style="36" customWidth="1"/>
    <col min="6" max="7" width="10.42578125" style="33" customWidth="1"/>
    <col min="8" max="8" width="12.42578125" style="33" customWidth="1"/>
    <col min="9" max="9" width="10.28515625" style="23" customWidth="1"/>
    <col min="10" max="10" width="5.28515625" style="39" hidden="1" customWidth="1" outlineLevel="1"/>
    <col min="11" max="11" width="10.140625" style="50" hidden="1" customWidth="1" outlineLevel="1"/>
    <col min="12" max="12" width="9" style="24" customWidth="1" collapsed="1"/>
    <col min="13" max="13" width="10.140625" style="54" customWidth="1"/>
    <col min="14" max="14" width="9" style="54"/>
    <col min="15" max="256" width="9" style="33"/>
    <col min="257" max="257" width="6.140625" style="33" customWidth="1"/>
    <col min="258" max="258" width="5.7109375" style="33" customWidth="1"/>
    <col min="259" max="259" width="12.140625" style="33" customWidth="1"/>
    <col min="260" max="260" width="42.7109375" style="33" customWidth="1"/>
    <col min="261" max="261" width="4.28515625" style="33" customWidth="1"/>
    <col min="262" max="262" width="8.42578125" style="33" customWidth="1"/>
    <col min="263" max="263" width="10.42578125" style="33" customWidth="1"/>
    <col min="264" max="264" width="10.85546875" style="33" customWidth="1"/>
    <col min="265" max="512" width="9" style="33"/>
    <col min="513" max="513" width="6.140625" style="33" customWidth="1"/>
    <col min="514" max="514" width="5.7109375" style="33" customWidth="1"/>
    <col min="515" max="515" width="12.140625" style="33" customWidth="1"/>
    <col min="516" max="516" width="42.7109375" style="33" customWidth="1"/>
    <col min="517" max="517" width="4.28515625" style="33" customWidth="1"/>
    <col min="518" max="518" width="8.42578125" style="33" customWidth="1"/>
    <col min="519" max="519" width="10.42578125" style="33" customWidth="1"/>
    <col min="520" max="520" width="10.85546875" style="33" customWidth="1"/>
    <col min="521" max="768" width="9" style="33"/>
    <col min="769" max="769" width="6.140625" style="33" customWidth="1"/>
    <col min="770" max="770" width="5.7109375" style="33" customWidth="1"/>
    <col min="771" max="771" width="12.140625" style="33" customWidth="1"/>
    <col min="772" max="772" width="42.7109375" style="33" customWidth="1"/>
    <col min="773" max="773" width="4.28515625" style="33" customWidth="1"/>
    <col min="774" max="774" width="8.42578125" style="33" customWidth="1"/>
    <col min="775" max="775" width="10.42578125" style="33" customWidth="1"/>
    <col min="776" max="776" width="10.85546875" style="33" customWidth="1"/>
    <col min="777" max="1024" width="9" style="33"/>
    <col min="1025" max="1025" width="6.140625" style="33" customWidth="1"/>
    <col min="1026" max="1026" width="5.7109375" style="33" customWidth="1"/>
    <col min="1027" max="1027" width="12.140625" style="33" customWidth="1"/>
    <col min="1028" max="1028" width="42.7109375" style="33" customWidth="1"/>
    <col min="1029" max="1029" width="4.28515625" style="33" customWidth="1"/>
    <col min="1030" max="1030" width="8.42578125" style="33" customWidth="1"/>
    <col min="1031" max="1031" width="10.42578125" style="33" customWidth="1"/>
    <col min="1032" max="1032" width="10.85546875" style="33" customWidth="1"/>
    <col min="1033" max="1280" width="9" style="33"/>
    <col min="1281" max="1281" width="6.140625" style="33" customWidth="1"/>
    <col min="1282" max="1282" width="5.7109375" style="33" customWidth="1"/>
    <col min="1283" max="1283" width="12.140625" style="33" customWidth="1"/>
    <col min="1284" max="1284" width="42.7109375" style="33" customWidth="1"/>
    <col min="1285" max="1285" width="4.28515625" style="33" customWidth="1"/>
    <col min="1286" max="1286" width="8.42578125" style="33" customWidth="1"/>
    <col min="1287" max="1287" width="10.42578125" style="33" customWidth="1"/>
    <col min="1288" max="1288" width="10.85546875" style="33" customWidth="1"/>
    <col min="1289" max="1536" width="9" style="33"/>
    <col min="1537" max="1537" width="6.140625" style="33" customWidth="1"/>
    <col min="1538" max="1538" width="5.7109375" style="33" customWidth="1"/>
    <col min="1539" max="1539" width="12.140625" style="33" customWidth="1"/>
    <col min="1540" max="1540" width="42.7109375" style="33" customWidth="1"/>
    <col min="1541" max="1541" width="4.28515625" style="33" customWidth="1"/>
    <col min="1542" max="1542" width="8.42578125" style="33" customWidth="1"/>
    <col min="1543" max="1543" width="10.42578125" style="33" customWidth="1"/>
    <col min="1544" max="1544" width="10.85546875" style="33" customWidth="1"/>
    <col min="1545" max="1792" width="9" style="33"/>
    <col min="1793" max="1793" width="6.140625" style="33" customWidth="1"/>
    <col min="1794" max="1794" width="5.7109375" style="33" customWidth="1"/>
    <col min="1795" max="1795" width="12.140625" style="33" customWidth="1"/>
    <col min="1796" max="1796" width="42.7109375" style="33" customWidth="1"/>
    <col min="1797" max="1797" width="4.28515625" style="33" customWidth="1"/>
    <col min="1798" max="1798" width="8.42578125" style="33" customWidth="1"/>
    <col min="1799" max="1799" width="10.42578125" style="33" customWidth="1"/>
    <col min="1800" max="1800" width="10.85546875" style="33" customWidth="1"/>
    <col min="1801" max="2048" width="9" style="33"/>
    <col min="2049" max="2049" width="6.140625" style="33" customWidth="1"/>
    <col min="2050" max="2050" width="5.7109375" style="33" customWidth="1"/>
    <col min="2051" max="2051" width="12.140625" style="33" customWidth="1"/>
    <col min="2052" max="2052" width="42.7109375" style="33" customWidth="1"/>
    <col min="2053" max="2053" width="4.28515625" style="33" customWidth="1"/>
    <col min="2054" max="2054" width="8.42578125" style="33" customWidth="1"/>
    <col min="2055" max="2055" width="10.42578125" style="33" customWidth="1"/>
    <col min="2056" max="2056" width="10.85546875" style="33" customWidth="1"/>
    <col min="2057" max="2304" width="9" style="33"/>
    <col min="2305" max="2305" width="6.140625" style="33" customWidth="1"/>
    <col min="2306" max="2306" width="5.7109375" style="33" customWidth="1"/>
    <col min="2307" max="2307" width="12.140625" style="33" customWidth="1"/>
    <col min="2308" max="2308" width="42.7109375" style="33" customWidth="1"/>
    <col min="2309" max="2309" width="4.28515625" style="33" customWidth="1"/>
    <col min="2310" max="2310" width="8.42578125" style="33" customWidth="1"/>
    <col min="2311" max="2311" width="10.42578125" style="33" customWidth="1"/>
    <col min="2312" max="2312" width="10.85546875" style="33" customWidth="1"/>
    <col min="2313" max="2560" width="9" style="33"/>
    <col min="2561" max="2561" width="6.140625" style="33" customWidth="1"/>
    <col min="2562" max="2562" width="5.7109375" style="33" customWidth="1"/>
    <col min="2563" max="2563" width="12.140625" style="33" customWidth="1"/>
    <col min="2564" max="2564" width="42.7109375" style="33" customWidth="1"/>
    <col min="2565" max="2565" width="4.28515625" style="33" customWidth="1"/>
    <col min="2566" max="2566" width="8.42578125" style="33" customWidth="1"/>
    <col min="2567" max="2567" width="10.42578125" style="33" customWidth="1"/>
    <col min="2568" max="2568" width="10.85546875" style="33" customWidth="1"/>
    <col min="2569" max="2816" width="9" style="33"/>
    <col min="2817" max="2817" width="6.140625" style="33" customWidth="1"/>
    <col min="2818" max="2818" width="5.7109375" style="33" customWidth="1"/>
    <col min="2819" max="2819" width="12.140625" style="33" customWidth="1"/>
    <col min="2820" max="2820" width="42.7109375" style="33" customWidth="1"/>
    <col min="2821" max="2821" width="4.28515625" style="33" customWidth="1"/>
    <col min="2822" max="2822" width="8.42578125" style="33" customWidth="1"/>
    <col min="2823" max="2823" width="10.42578125" style="33" customWidth="1"/>
    <col min="2824" max="2824" width="10.85546875" style="33" customWidth="1"/>
    <col min="2825" max="3072" width="9" style="33"/>
    <col min="3073" max="3073" width="6.140625" style="33" customWidth="1"/>
    <col min="3074" max="3074" width="5.7109375" style="33" customWidth="1"/>
    <col min="3075" max="3075" width="12.140625" style="33" customWidth="1"/>
    <col min="3076" max="3076" width="42.7109375" style="33" customWidth="1"/>
    <col min="3077" max="3077" width="4.28515625" style="33" customWidth="1"/>
    <col min="3078" max="3078" width="8.42578125" style="33" customWidth="1"/>
    <col min="3079" max="3079" width="10.42578125" style="33" customWidth="1"/>
    <col min="3080" max="3080" width="10.85546875" style="33" customWidth="1"/>
    <col min="3081" max="3328" width="9" style="33"/>
    <col min="3329" max="3329" width="6.140625" style="33" customWidth="1"/>
    <col min="3330" max="3330" width="5.7109375" style="33" customWidth="1"/>
    <col min="3331" max="3331" width="12.140625" style="33" customWidth="1"/>
    <col min="3332" max="3332" width="42.7109375" style="33" customWidth="1"/>
    <col min="3333" max="3333" width="4.28515625" style="33" customWidth="1"/>
    <col min="3334" max="3334" width="8.42578125" style="33" customWidth="1"/>
    <col min="3335" max="3335" width="10.42578125" style="33" customWidth="1"/>
    <col min="3336" max="3336" width="10.85546875" style="33" customWidth="1"/>
    <col min="3337" max="3584" width="9" style="33"/>
    <col min="3585" max="3585" width="6.140625" style="33" customWidth="1"/>
    <col min="3586" max="3586" width="5.7109375" style="33" customWidth="1"/>
    <col min="3587" max="3587" width="12.140625" style="33" customWidth="1"/>
    <col min="3588" max="3588" width="42.7109375" style="33" customWidth="1"/>
    <col min="3589" max="3589" width="4.28515625" style="33" customWidth="1"/>
    <col min="3590" max="3590" width="8.42578125" style="33" customWidth="1"/>
    <col min="3591" max="3591" width="10.42578125" style="33" customWidth="1"/>
    <col min="3592" max="3592" width="10.85546875" style="33" customWidth="1"/>
    <col min="3593" max="3840" width="9" style="33"/>
    <col min="3841" max="3841" width="6.140625" style="33" customWidth="1"/>
    <col min="3842" max="3842" width="5.7109375" style="33" customWidth="1"/>
    <col min="3843" max="3843" width="12.140625" style="33" customWidth="1"/>
    <col min="3844" max="3844" width="42.7109375" style="33" customWidth="1"/>
    <col min="3845" max="3845" width="4.28515625" style="33" customWidth="1"/>
    <col min="3846" max="3846" width="8.42578125" style="33" customWidth="1"/>
    <col min="3847" max="3847" width="10.42578125" style="33" customWidth="1"/>
    <col min="3848" max="3848" width="10.85546875" style="33" customWidth="1"/>
    <col min="3849" max="4096" width="9" style="33"/>
    <col min="4097" max="4097" width="6.140625" style="33" customWidth="1"/>
    <col min="4098" max="4098" width="5.7109375" style="33" customWidth="1"/>
    <col min="4099" max="4099" width="12.140625" style="33" customWidth="1"/>
    <col min="4100" max="4100" width="42.7109375" style="33" customWidth="1"/>
    <col min="4101" max="4101" width="4.28515625" style="33" customWidth="1"/>
    <col min="4102" max="4102" width="8.42578125" style="33" customWidth="1"/>
    <col min="4103" max="4103" width="10.42578125" style="33" customWidth="1"/>
    <col min="4104" max="4104" width="10.85546875" style="33" customWidth="1"/>
    <col min="4105" max="4352" width="9" style="33"/>
    <col min="4353" max="4353" width="6.140625" style="33" customWidth="1"/>
    <col min="4354" max="4354" width="5.7109375" style="33" customWidth="1"/>
    <col min="4355" max="4355" width="12.140625" style="33" customWidth="1"/>
    <col min="4356" max="4356" width="42.7109375" style="33" customWidth="1"/>
    <col min="4357" max="4357" width="4.28515625" style="33" customWidth="1"/>
    <col min="4358" max="4358" width="8.42578125" style="33" customWidth="1"/>
    <col min="4359" max="4359" width="10.42578125" style="33" customWidth="1"/>
    <col min="4360" max="4360" width="10.85546875" style="33" customWidth="1"/>
    <col min="4361" max="4608" width="9" style="33"/>
    <col min="4609" max="4609" width="6.140625" style="33" customWidth="1"/>
    <col min="4610" max="4610" width="5.7109375" style="33" customWidth="1"/>
    <col min="4611" max="4611" width="12.140625" style="33" customWidth="1"/>
    <col min="4612" max="4612" width="42.7109375" style="33" customWidth="1"/>
    <col min="4613" max="4613" width="4.28515625" style="33" customWidth="1"/>
    <col min="4614" max="4614" width="8.42578125" style="33" customWidth="1"/>
    <col min="4615" max="4615" width="10.42578125" style="33" customWidth="1"/>
    <col min="4616" max="4616" width="10.85546875" style="33" customWidth="1"/>
    <col min="4617" max="4864" width="9" style="33"/>
    <col min="4865" max="4865" width="6.140625" style="33" customWidth="1"/>
    <col min="4866" max="4866" width="5.7109375" style="33" customWidth="1"/>
    <col min="4867" max="4867" width="12.140625" style="33" customWidth="1"/>
    <col min="4868" max="4868" width="42.7109375" style="33" customWidth="1"/>
    <col min="4869" max="4869" width="4.28515625" style="33" customWidth="1"/>
    <col min="4870" max="4870" width="8.42578125" style="33" customWidth="1"/>
    <col min="4871" max="4871" width="10.42578125" style="33" customWidth="1"/>
    <col min="4872" max="4872" width="10.85546875" style="33" customWidth="1"/>
    <col min="4873" max="5120" width="9" style="33"/>
    <col min="5121" max="5121" width="6.140625" style="33" customWidth="1"/>
    <col min="5122" max="5122" width="5.7109375" style="33" customWidth="1"/>
    <col min="5123" max="5123" width="12.140625" style="33" customWidth="1"/>
    <col min="5124" max="5124" width="42.7109375" style="33" customWidth="1"/>
    <col min="5125" max="5125" width="4.28515625" style="33" customWidth="1"/>
    <col min="5126" max="5126" width="8.42578125" style="33" customWidth="1"/>
    <col min="5127" max="5127" width="10.42578125" style="33" customWidth="1"/>
    <col min="5128" max="5128" width="10.85546875" style="33" customWidth="1"/>
    <col min="5129" max="5376" width="9" style="33"/>
    <col min="5377" max="5377" width="6.140625" style="33" customWidth="1"/>
    <col min="5378" max="5378" width="5.7109375" style="33" customWidth="1"/>
    <col min="5379" max="5379" width="12.140625" style="33" customWidth="1"/>
    <col min="5380" max="5380" width="42.7109375" style="33" customWidth="1"/>
    <col min="5381" max="5381" width="4.28515625" style="33" customWidth="1"/>
    <col min="5382" max="5382" width="8.42578125" style="33" customWidth="1"/>
    <col min="5383" max="5383" width="10.42578125" style="33" customWidth="1"/>
    <col min="5384" max="5384" width="10.85546875" style="33" customWidth="1"/>
    <col min="5385" max="5632" width="9" style="33"/>
    <col min="5633" max="5633" width="6.140625" style="33" customWidth="1"/>
    <col min="5634" max="5634" width="5.7109375" style="33" customWidth="1"/>
    <col min="5635" max="5635" width="12.140625" style="33" customWidth="1"/>
    <col min="5636" max="5636" width="42.7109375" style="33" customWidth="1"/>
    <col min="5637" max="5637" width="4.28515625" style="33" customWidth="1"/>
    <col min="5638" max="5638" width="8.42578125" style="33" customWidth="1"/>
    <col min="5639" max="5639" width="10.42578125" style="33" customWidth="1"/>
    <col min="5640" max="5640" width="10.85546875" style="33" customWidth="1"/>
    <col min="5641" max="5888" width="9" style="33"/>
    <col min="5889" max="5889" width="6.140625" style="33" customWidth="1"/>
    <col min="5890" max="5890" width="5.7109375" style="33" customWidth="1"/>
    <col min="5891" max="5891" width="12.140625" style="33" customWidth="1"/>
    <col min="5892" max="5892" width="42.7109375" style="33" customWidth="1"/>
    <col min="5893" max="5893" width="4.28515625" style="33" customWidth="1"/>
    <col min="5894" max="5894" width="8.42578125" style="33" customWidth="1"/>
    <col min="5895" max="5895" width="10.42578125" style="33" customWidth="1"/>
    <col min="5896" max="5896" width="10.85546875" style="33" customWidth="1"/>
    <col min="5897" max="6144" width="9" style="33"/>
    <col min="6145" max="6145" width="6.140625" style="33" customWidth="1"/>
    <col min="6146" max="6146" width="5.7109375" style="33" customWidth="1"/>
    <col min="6147" max="6147" width="12.140625" style="33" customWidth="1"/>
    <col min="6148" max="6148" width="42.7109375" style="33" customWidth="1"/>
    <col min="6149" max="6149" width="4.28515625" style="33" customWidth="1"/>
    <col min="6150" max="6150" width="8.42578125" style="33" customWidth="1"/>
    <col min="6151" max="6151" width="10.42578125" style="33" customWidth="1"/>
    <col min="6152" max="6152" width="10.85546875" style="33" customWidth="1"/>
    <col min="6153" max="6400" width="9" style="33"/>
    <col min="6401" max="6401" width="6.140625" style="33" customWidth="1"/>
    <col min="6402" max="6402" width="5.7109375" style="33" customWidth="1"/>
    <col min="6403" max="6403" width="12.140625" style="33" customWidth="1"/>
    <col min="6404" max="6404" width="42.7109375" style="33" customWidth="1"/>
    <col min="6405" max="6405" width="4.28515625" style="33" customWidth="1"/>
    <col min="6406" max="6406" width="8.42578125" style="33" customWidth="1"/>
    <col min="6407" max="6407" width="10.42578125" style="33" customWidth="1"/>
    <col min="6408" max="6408" width="10.85546875" style="33" customWidth="1"/>
    <col min="6409" max="6656" width="9" style="33"/>
    <col min="6657" max="6657" width="6.140625" style="33" customWidth="1"/>
    <col min="6658" max="6658" width="5.7109375" style="33" customWidth="1"/>
    <col min="6659" max="6659" width="12.140625" style="33" customWidth="1"/>
    <col min="6660" max="6660" width="42.7109375" style="33" customWidth="1"/>
    <col min="6661" max="6661" width="4.28515625" style="33" customWidth="1"/>
    <col min="6662" max="6662" width="8.42578125" style="33" customWidth="1"/>
    <col min="6663" max="6663" width="10.42578125" style="33" customWidth="1"/>
    <col min="6664" max="6664" width="10.85546875" style="33" customWidth="1"/>
    <col min="6665" max="6912" width="9" style="33"/>
    <col min="6913" max="6913" width="6.140625" style="33" customWidth="1"/>
    <col min="6914" max="6914" width="5.7109375" style="33" customWidth="1"/>
    <col min="6915" max="6915" width="12.140625" style="33" customWidth="1"/>
    <col min="6916" max="6916" width="42.7109375" style="33" customWidth="1"/>
    <col min="6917" max="6917" width="4.28515625" style="33" customWidth="1"/>
    <col min="6918" max="6918" width="8.42578125" style="33" customWidth="1"/>
    <col min="6919" max="6919" width="10.42578125" style="33" customWidth="1"/>
    <col min="6920" max="6920" width="10.85546875" style="33" customWidth="1"/>
    <col min="6921" max="7168" width="9" style="33"/>
    <col min="7169" max="7169" width="6.140625" style="33" customWidth="1"/>
    <col min="7170" max="7170" width="5.7109375" style="33" customWidth="1"/>
    <col min="7171" max="7171" width="12.140625" style="33" customWidth="1"/>
    <col min="7172" max="7172" width="42.7109375" style="33" customWidth="1"/>
    <col min="7173" max="7173" width="4.28515625" style="33" customWidth="1"/>
    <col min="7174" max="7174" width="8.42578125" style="33" customWidth="1"/>
    <col min="7175" max="7175" width="10.42578125" style="33" customWidth="1"/>
    <col min="7176" max="7176" width="10.85546875" style="33" customWidth="1"/>
    <col min="7177" max="7424" width="9" style="33"/>
    <col min="7425" max="7425" width="6.140625" style="33" customWidth="1"/>
    <col min="7426" max="7426" width="5.7109375" style="33" customWidth="1"/>
    <col min="7427" max="7427" width="12.140625" style="33" customWidth="1"/>
    <col min="7428" max="7428" width="42.7109375" style="33" customWidth="1"/>
    <col min="7429" max="7429" width="4.28515625" style="33" customWidth="1"/>
    <col min="7430" max="7430" width="8.42578125" style="33" customWidth="1"/>
    <col min="7431" max="7431" width="10.42578125" style="33" customWidth="1"/>
    <col min="7432" max="7432" width="10.85546875" style="33" customWidth="1"/>
    <col min="7433" max="7680" width="9" style="33"/>
    <col min="7681" max="7681" width="6.140625" style="33" customWidth="1"/>
    <col min="7682" max="7682" width="5.7109375" style="33" customWidth="1"/>
    <col min="7683" max="7683" width="12.140625" style="33" customWidth="1"/>
    <col min="7684" max="7684" width="42.7109375" style="33" customWidth="1"/>
    <col min="7685" max="7685" width="4.28515625" style="33" customWidth="1"/>
    <col min="7686" max="7686" width="8.42578125" style="33" customWidth="1"/>
    <col min="7687" max="7687" width="10.42578125" style="33" customWidth="1"/>
    <col min="7688" max="7688" width="10.85546875" style="33" customWidth="1"/>
    <col min="7689" max="7936" width="9" style="33"/>
    <col min="7937" max="7937" width="6.140625" style="33" customWidth="1"/>
    <col min="7938" max="7938" width="5.7109375" style="33" customWidth="1"/>
    <col min="7939" max="7939" width="12.140625" style="33" customWidth="1"/>
    <col min="7940" max="7940" width="42.7109375" style="33" customWidth="1"/>
    <col min="7941" max="7941" width="4.28515625" style="33" customWidth="1"/>
    <col min="7942" max="7942" width="8.42578125" style="33" customWidth="1"/>
    <col min="7943" max="7943" width="10.42578125" style="33" customWidth="1"/>
    <col min="7944" max="7944" width="10.85546875" style="33" customWidth="1"/>
    <col min="7945" max="8192" width="9" style="33"/>
    <col min="8193" max="8193" width="6.140625" style="33" customWidth="1"/>
    <col min="8194" max="8194" width="5.7109375" style="33" customWidth="1"/>
    <col min="8195" max="8195" width="12.140625" style="33" customWidth="1"/>
    <col min="8196" max="8196" width="42.7109375" style="33" customWidth="1"/>
    <col min="8197" max="8197" width="4.28515625" style="33" customWidth="1"/>
    <col min="8198" max="8198" width="8.42578125" style="33" customWidth="1"/>
    <col min="8199" max="8199" width="10.42578125" style="33" customWidth="1"/>
    <col min="8200" max="8200" width="10.85546875" style="33" customWidth="1"/>
    <col min="8201" max="8448" width="9" style="33"/>
    <col min="8449" max="8449" width="6.140625" style="33" customWidth="1"/>
    <col min="8450" max="8450" width="5.7109375" style="33" customWidth="1"/>
    <col min="8451" max="8451" width="12.140625" style="33" customWidth="1"/>
    <col min="8452" max="8452" width="42.7109375" style="33" customWidth="1"/>
    <col min="8453" max="8453" width="4.28515625" style="33" customWidth="1"/>
    <col min="8454" max="8454" width="8.42578125" style="33" customWidth="1"/>
    <col min="8455" max="8455" width="10.42578125" style="33" customWidth="1"/>
    <col min="8456" max="8456" width="10.85546875" style="33" customWidth="1"/>
    <col min="8457" max="8704" width="9" style="33"/>
    <col min="8705" max="8705" width="6.140625" style="33" customWidth="1"/>
    <col min="8706" max="8706" width="5.7109375" style="33" customWidth="1"/>
    <col min="8707" max="8707" width="12.140625" style="33" customWidth="1"/>
    <col min="8708" max="8708" width="42.7109375" style="33" customWidth="1"/>
    <col min="8709" max="8709" width="4.28515625" style="33" customWidth="1"/>
    <col min="8710" max="8710" width="8.42578125" style="33" customWidth="1"/>
    <col min="8711" max="8711" width="10.42578125" style="33" customWidth="1"/>
    <col min="8712" max="8712" width="10.85546875" style="33" customWidth="1"/>
    <col min="8713" max="8960" width="9" style="33"/>
    <col min="8961" max="8961" width="6.140625" style="33" customWidth="1"/>
    <col min="8962" max="8962" width="5.7109375" style="33" customWidth="1"/>
    <col min="8963" max="8963" width="12.140625" style="33" customWidth="1"/>
    <col min="8964" max="8964" width="42.7109375" style="33" customWidth="1"/>
    <col min="8965" max="8965" width="4.28515625" style="33" customWidth="1"/>
    <col min="8966" max="8966" width="8.42578125" style="33" customWidth="1"/>
    <col min="8967" max="8967" width="10.42578125" style="33" customWidth="1"/>
    <col min="8968" max="8968" width="10.85546875" style="33" customWidth="1"/>
    <col min="8969" max="9216" width="9" style="33"/>
    <col min="9217" max="9217" width="6.140625" style="33" customWidth="1"/>
    <col min="9218" max="9218" width="5.7109375" style="33" customWidth="1"/>
    <col min="9219" max="9219" width="12.140625" style="33" customWidth="1"/>
    <col min="9220" max="9220" width="42.7109375" style="33" customWidth="1"/>
    <col min="9221" max="9221" width="4.28515625" style="33" customWidth="1"/>
    <col min="9222" max="9222" width="8.42578125" style="33" customWidth="1"/>
    <col min="9223" max="9223" width="10.42578125" style="33" customWidth="1"/>
    <col min="9224" max="9224" width="10.85546875" style="33" customWidth="1"/>
    <col min="9225" max="9472" width="9" style="33"/>
    <col min="9473" max="9473" width="6.140625" style="33" customWidth="1"/>
    <col min="9474" max="9474" width="5.7109375" style="33" customWidth="1"/>
    <col min="9475" max="9475" width="12.140625" style="33" customWidth="1"/>
    <col min="9476" max="9476" width="42.7109375" style="33" customWidth="1"/>
    <col min="9477" max="9477" width="4.28515625" style="33" customWidth="1"/>
    <col min="9478" max="9478" width="8.42578125" style="33" customWidth="1"/>
    <col min="9479" max="9479" width="10.42578125" style="33" customWidth="1"/>
    <col min="9480" max="9480" width="10.85546875" style="33" customWidth="1"/>
    <col min="9481" max="9728" width="9" style="33"/>
    <col min="9729" max="9729" width="6.140625" style="33" customWidth="1"/>
    <col min="9730" max="9730" width="5.7109375" style="33" customWidth="1"/>
    <col min="9731" max="9731" width="12.140625" style="33" customWidth="1"/>
    <col min="9732" max="9732" width="42.7109375" style="33" customWidth="1"/>
    <col min="9733" max="9733" width="4.28515625" style="33" customWidth="1"/>
    <col min="9734" max="9734" width="8.42578125" style="33" customWidth="1"/>
    <col min="9735" max="9735" width="10.42578125" style="33" customWidth="1"/>
    <col min="9736" max="9736" width="10.85546875" style="33" customWidth="1"/>
    <col min="9737" max="9984" width="9" style="33"/>
    <col min="9985" max="9985" width="6.140625" style="33" customWidth="1"/>
    <col min="9986" max="9986" width="5.7109375" style="33" customWidth="1"/>
    <col min="9987" max="9987" width="12.140625" style="33" customWidth="1"/>
    <col min="9988" max="9988" width="42.7109375" style="33" customWidth="1"/>
    <col min="9989" max="9989" width="4.28515625" style="33" customWidth="1"/>
    <col min="9990" max="9990" width="8.42578125" style="33" customWidth="1"/>
    <col min="9991" max="9991" width="10.42578125" style="33" customWidth="1"/>
    <col min="9992" max="9992" width="10.85546875" style="33" customWidth="1"/>
    <col min="9993" max="10240" width="9" style="33"/>
    <col min="10241" max="10241" width="6.140625" style="33" customWidth="1"/>
    <col min="10242" max="10242" width="5.7109375" style="33" customWidth="1"/>
    <col min="10243" max="10243" width="12.140625" style="33" customWidth="1"/>
    <col min="10244" max="10244" width="42.7109375" style="33" customWidth="1"/>
    <col min="10245" max="10245" width="4.28515625" style="33" customWidth="1"/>
    <col min="10246" max="10246" width="8.42578125" style="33" customWidth="1"/>
    <col min="10247" max="10247" width="10.42578125" style="33" customWidth="1"/>
    <col min="10248" max="10248" width="10.85546875" style="33" customWidth="1"/>
    <col min="10249" max="10496" width="9" style="33"/>
    <col min="10497" max="10497" width="6.140625" style="33" customWidth="1"/>
    <col min="10498" max="10498" width="5.7109375" style="33" customWidth="1"/>
    <col min="10499" max="10499" width="12.140625" style="33" customWidth="1"/>
    <col min="10500" max="10500" width="42.7109375" style="33" customWidth="1"/>
    <col min="10501" max="10501" width="4.28515625" style="33" customWidth="1"/>
    <col min="10502" max="10502" width="8.42578125" style="33" customWidth="1"/>
    <col min="10503" max="10503" width="10.42578125" style="33" customWidth="1"/>
    <col min="10504" max="10504" width="10.85546875" style="33" customWidth="1"/>
    <col min="10505" max="10752" width="9" style="33"/>
    <col min="10753" max="10753" width="6.140625" style="33" customWidth="1"/>
    <col min="10754" max="10754" width="5.7109375" style="33" customWidth="1"/>
    <col min="10755" max="10755" width="12.140625" style="33" customWidth="1"/>
    <col min="10756" max="10756" width="42.7109375" style="33" customWidth="1"/>
    <col min="10757" max="10757" width="4.28515625" style="33" customWidth="1"/>
    <col min="10758" max="10758" width="8.42578125" style="33" customWidth="1"/>
    <col min="10759" max="10759" width="10.42578125" style="33" customWidth="1"/>
    <col min="10760" max="10760" width="10.85546875" style="33" customWidth="1"/>
    <col min="10761" max="11008" width="9" style="33"/>
    <col min="11009" max="11009" width="6.140625" style="33" customWidth="1"/>
    <col min="11010" max="11010" width="5.7109375" style="33" customWidth="1"/>
    <col min="11011" max="11011" width="12.140625" style="33" customWidth="1"/>
    <col min="11012" max="11012" width="42.7109375" style="33" customWidth="1"/>
    <col min="11013" max="11013" width="4.28515625" style="33" customWidth="1"/>
    <col min="11014" max="11014" width="8.42578125" style="33" customWidth="1"/>
    <col min="11015" max="11015" width="10.42578125" style="33" customWidth="1"/>
    <col min="11016" max="11016" width="10.85546875" style="33" customWidth="1"/>
    <col min="11017" max="11264" width="9" style="33"/>
    <col min="11265" max="11265" width="6.140625" style="33" customWidth="1"/>
    <col min="11266" max="11266" width="5.7109375" style="33" customWidth="1"/>
    <col min="11267" max="11267" width="12.140625" style="33" customWidth="1"/>
    <col min="11268" max="11268" width="42.7109375" style="33" customWidth="1"/>
    <col min="11269" max="11269" width="4.28515625" style="33" customWidth="1"/>
    <col min="11270" max="11270" width="8.42578125" style="33" customWidth="1"/>
    <col min="11271" max="11271" width="10.42578125" style="33" customWidth="1"/>
    <col min="11272" max="11272" width="10.85546875" style="33" customWidth="1"/>
    <col min="11273" max="11520" width="9" style="33"/>
    <col min="11521" max="11521" width="6.140625" style="33" customWidth="1"/>
    <col min="11522" max="11522" width="5.7109375" style="33" customWidth="1"/>
    <col min="11523" max="11523" width="12.140625" style="33" customWidth="1"/>
    <col min="11524" max="11524" width="42.7109375" style="33" customWidth="1"/>
    <col min="11525" max="11525" width="4.28515625" style="33" customWidth="1"/>
    <col min="11526" max="11526" width="8.42578125" style="33" customWidth="1"/>
    <col min="11527" max="11527" width="10.42578125" style="33" customWidth="1"/>
    <col min="11528" max="11528" width="10.85546875" style="33" customWidth="1"/>
    <col min="11529" max="11776" width="9" style="33"/>
    <col min="11777" max="11777" width="6.140625" style="33" customWidth="1"/>
    <col min="11778" max="11778" width="5.7109375" style="33" customWidth="1"/>
    <col min="11779" max="11779" width="12.140625" style="33" customWidth="1"/>
    <col min="11780" max="11780" width="42.7109375" style="33" customWidth="1"/>
    <col min="11781" max="11781" width="4.28515625" style="33" customWidth="1"/>
    <col min="11782" max="11782" width="8.42578125" style="33" customWidth="1"/>
    <col min="11783" max="11783" width="10.42578125" style="33" customWidth="1"/>
    <col min="11784" max="11784" width="10.85546875" style="33" customWidth="1"/>
    <col min="11785" max="12032" width="9" style="33"/>
    <col min="12033" max="12033" width="6.140625" style="33" customWidth="1"/>
    <col min="12034" max="12034" width="5.7109375" style="33" customWidth="1"/>
    <col min="12035" max="12035" width="12.140625" style="33" customWidth="1"/>
    <col min="12036" max="12036" width="42.7109375" style="33" customWidth="1"/>
    <col min="12037" max="12037" width="4.28515625" style="33" customWidth="1"/>
    <col min="12038" max="12038" width="8.42578125" style="33" customWidth="1"/>
    <col min="12039" max="12039" width="10.42578125" style="33" customWidth="1"/>
    <col min="12040" max="12040" width="10.85546875" style="33" customWidth="1"/>
    <col min="12041" max="12288" width="9" style="33"/>
    <col min="12289" max="12289" width="6.140625" style="33" customWidth="1"/>
    <col min="12290" max="12290" width="5.7109375" style="33" customWidth="1"/>
    <col min="12291" max="12291" width="12.140625" style="33" customWidth="1"/>
    <col min="12292" max="12292" width="42.7109375" style="33" customWidth="1"/>
    <col min="12293" max="12293" width="4.28515625" style="33" customWidth="1"/>
    <col min="12294" max="12294" width="8.42578125" style="33" customWidth="1"/>
    <col min="12295" max="12295" width="10.42578125" style="33" customWidth="1"/>
    <col min="12296" max="12296" width="10.85546875" style="33" customWidth="1"/>
    <col min="12297" max="12544" width="9" style="33"/>
    <col min="12545" max="12545" width="6.140625" style="33" customWidth="1"/>
    <col min="12546" max="12546" width="5.7109375" style="33" customWidth="1"/>
    <col min="12547" max="12547" width="12.140625" style="33" customWidth="1"/>
    <col min="12548" max="12548" width="42.7109375" style="33" customWidth="1"/>
    <col min="12549" max="12549" width="4.28515625" style="33" customWidth="1"/>
    <col min="12550" max="12550" width="8.42578125" style="33" customWidth="1"/>
    <col min="12551" max="12551" width="10.42578125" style="33" customWidth="1"/>
    <col min="12552" max="12552" width="10.85546875" style="33" customWidth="1"/>
    <col min="12553" max="12800" width="9" style="33"/>
    <col min="12801" max="12801" width="6.140625" style="33" customWidth="1"/>
    <col min="12802" max="12802" width="5.7109375" style="33" customWidth="1"/>
    <col min="12803" max="12803" width="12.140625" style="33" customWidth="1"/>
    <col min="12804" max="12804" width="42.7109375" style="33" customWidth="1"/>
    <col min="12805" max="12805" width="4.28515625" style="33" customWidth="1"/>
    <col min="12806" max="12806" width="8.42578125" style="33" customWidth="1"/>
    <col min="12807" max="12807" width="10.42578125" style="33" customWidth="1"/>
    <col min="12808" max="12808" width="10.85546875" style="33" customWidth="1"/>
    <col min="12809" max="13056" width="9" style="33"/>
    <col min="13057" max="13057" width="6.140625" style="33" customWidth="1"/>
    <col min="13058" max="13058" width="5.7109375" style="33" customWidth="1"/>
    <col min="13059" max="13059" width="12.140625" style="33" customWidth="1"/>
    <col min="13060" max="13060" width="42.7109375" style="33" customWidth="1"/>
    <col min="13061" max="13061" width="4.28515625" style="33" customWidth="1"/>
    <col min="13062" max="13062" width="8.42578125" style="33" customWidth="1"/>
    <col min="13063" max="13063" width="10.42578125" style="33" customWidth="1"/>
    <col min="13064" max="13064" width="10.85546875" style="33" customWidth="1"/>
    <col min="13065" max="13312" width="9" style="33"/>
    <col min="13313" max="13313" width="6.140625" style="33" customWidth="1"/>
    <col min="13314" max="13314" width="5.7109375" style="33" customWidth="1"/>
    <col min="13315" max="13315" width="12.140625" style="33" customWidth="1"/>
    <col min="13316" max="13316" width="42.7109375" style="33" customWidth="1"/>
    <col min="13317" max="13317" width="4.28515625" style="33" customWidth="1"/>
    <col min="13318" max="13318" width="8.42578125" style="33" customWidth="1"/>
    <col min="13319" max="13319" width="10.42578125" style="33" customWidth="1"/>
    <col min="13320" max="13320" width="10.85546875" style="33" customWidth="1"/>
    <col min="13321" max="13568" width="9" style="33"/>
    <col min="13569" max="13569" width="6.140625" style="33" customWidth="1"/>
    <col min="13570" max="13570" width="5.7109375" style="33" customWidth="1"/>
    <col min="13571" max="13571" width="12.140625" style="33" customWidth="1"/>
    <col min="13572" max="13572" width="42.7109375" style="33" customWidth="1"/>
    <col min="13573" max="13573" width="4.28515625" style="33" customWidth="1"/>
    <col min="13574" max="13574" width="8.42578125" style="33" customWidth="1"/>
    <col min="13575" max="13575" width="10.42578125" style="33" customWidth="1"/>
    <col min="13576" max="13576" width="10.85546875" style="33" customWidth="1"/>
    <col min="13577" max="13824" width="9" style="33"/>
    <col min="13825" max="13825" width="6.140625" style="33" customWidth="1"/>
    <col min="13826" max="13826" width="5.7109375" style="33" customWidth="1"/>
    <col min="13827" max="13827" width="12.140625" style="33" customWidth="1"/>
    <col min="13828" max="13828" width="42.7109375" style="33" customWidth="1"/>
    <col min="13829" max="13829" width="4.28515625" style="33" customWidth="1"/>
    <col min="13830" max="13830" width="8.42578125" style="33" customWidth="1"/>
    <col min="13831" max="13831" width="10.42578125" style="33" customWidth="1"/>
    <col min="13832" max="13832" width="10.85546875" style="33" customWidth="1"/>
    <col min="13833" max="14080" width="9" style="33"/>
    <col min="14081" max="14081" width="6.140625" style="33" customWidth="1"/>
    <col min="14082" max="14082" width="5.7109375" style="33" customWidth="1"/>
    <col min="14083" max="14083" width="12.140625" style="33" customWidth="1"/>
    <col min="14084" max="14084" width="42.7109375" style="33" customWidth="1"/>
    <col min="14085" max="14085" width="4.28515625" style="33" customWidth="1"/>
    <col min="14086" max="14086" width="8.42578125" style="33" customWidth="1"/>
    <col min="14087" max="14087" width="10.42578125" style="33" customWidth="1"/>
    <col min="14088" max="14088" width="10.85546875" style="33" customWidth="1"/>
    <col min="14089" max="14336" width="9" style="33"/>
    <col min="14337" max="14337" width="6.140625" style="33" customWidth="1"/>
    <col min="14338" max="14338" width="5.7109375" style="33" customWidth="1"/>
    <col min="14339" max="14339" width="12.140625" style="33" customWidth="1"/>
    <col min="14340" max="14340" width="42.7109375" style="33" customWidth="1"/>
    <col min="14341" max="14341" width="4.28515625" style="33" customWidth="1"/>
    <col min="14342" max="14342" width="8.42578125" style="33" customWidth="1"/>
    <col min="14343" max="14343" width="10.42578125" style="33" customWidth="1"/>
    <col min="14344" max="14344" width="10.85546875" style="33" customWidth="1"/>
    <col min="14345" max="14592" width="9" style="33"/>
    <col min="14593" max="14593" width="6.140625" style="33" customWidth="1"/>
    <col min="14594" max="14594" width="5.7109375" style="33" customWidth="1"/>
    <col min="14595" max="14595" width="12.140625" style="33" customWidth="1"/>
    <col min="14596" max="14596" width="42.7109375" style="33" customWidth="1"/>
    <col min="14597" max="14597" width="4.28515625" style="33" customWidth="1"/>
    <col min="14598" max="14598" width="8.42578125" style="33" customWidth="1"/>
    <col min="14599" max="14599" width="10.42578125" style="33" customWidth="1"/>
    <col min="14600" max="14600" width="10.85546875" style="33" customWidth="1"/>
    <col min="14601" max="14848" width="9" style="33"/>
    <col min="14849" max="14849" width="6.140625" style="33" customWidth="1"/>
    <col min="14850" max="14850" width="5.7109375" style="33" customWidth="1"/>
    <col min="14851" max="14851" width="12.140625" style="33" customWidth="1"/>
    <col min="14852" max="14852" width="42.7109375" style="33" customWidth="1"/>
    <col min="14853" max="14853" width="4.28515625" style="33" customWidth="1"/>
    <col min="14854" max="14854" width="8.42578125" style="33" customWidth="1"/>
    <col min="14855" max="14855" width="10.42578125" style="33" customWidth="1"/>
    <col min="14856" max="14856" width="10.85546875" style="33" customWidth="1"/>
    <col min="14857" max="15104" width="9" style="33"/>
    <col min="15105" max="15105" width="6.140625" style="33" customWidth="1"/>
    <col min="15106" max="15106" width="5.7109375" style="33" customWidth="1"/>
    <col min="15107" max="15107" width="12.140625" style="33" customWidth="1"/>
    <col min="15108" max="15108" width="42.7109375" style="33" customWidth="1"/>
    <col min="15109" max="15109" width="4.28515625" style="33" customWidth="1"/>
    <col min="15110" max="15110" width="8.42578125" style="33" customWidth="1"/>
    <col min="15111" max="15111" width="10.42578125" style="33" customWidth="1"/>
    <col min="15112" max="15112" width="10.85546875" style="33" customWidth="1"/>
    <col min="15113" max="15360" width="9" style="33"/>
    <col min="15361" max="15361" width="6.140625" style="33" customWidth="1"/>
    <col min="15362" max="15362" width="5.7109375" style="33" customWidth="1"/>
    <col min="15363" max="15363" width="12.140625" style="33" customWidth="1"/>
    <col min="15364" max="15364" width="42.7109375" style="33" customWidth="1"/>
    <col min="15365" max="15365" width="4.28515625" style="33" customWidth="1"/>
    <col min="15366" max="15366" width="8.42578125" style="33" customWidth="1"/>
    <col min="15367" max="15367" width="10.42578125" style="33" customWidth="1"/>
    <col min="15368" max="15368" width="10.85546875" style="33" customWidth="1"/>
    <col min="15369" max="15616" width="9" style="33"/>
    <col min="15617" max="15617" width="6.140625" style="33" customWidth="1"/>
    <col min="15618" max="15618" width="5.7109375" style="33" customWidth="1"/>
    <col min="15619" max="15619" width="12.140625" style="33" customWidth="1"/>
    <col min="15620" max="15620" width="42.7109375" style="33" customWidth="1"/>
    <col min="15621" max="15621" width="4.28515625" style="33" customWidth="1"/>
    <col min="15622" max="15622" width="8.42578125" style="33" customWidth="1"/>
    <col min="15623" max="15623" width="10.42578125" style="33" customWidth="1"/>
    <col min="15624" max="15624" width="10.85546875" style="33" customWidth="1"/>
    <col min="15625" max="15872" width="9" style="33"/>
    <col min="15873" max="15873" width="6.140625" style="33" customWidth="1"/>
    <col min="15874" max="15874" width="5.7109375" style="33" customWidth="1"/>
    <col min="15875" max="15875" width="12.140625" style="33" customWidth="1"/>
    <col min="15876" max="15876" width="42.7109375" style="33" customWidth="1"/>
    <col min="15877" max="15877" width="4.28515625" style="33" customWidth="1"/>
    <col min="15878" max="15878" width="8.42578125" style="33" customWidth="1"/>
    <col min="15879" max="15879" width="10.42578125" style="33" customWidth="1"/>
    <col min="15880" max="15880" width="10.85546875" style="33" customWidth="1"/>
    <col min="15881" max="16128" width="9" style="33"/>
    <col min="16129" max="16129" width="6.140625" style="33" customWidth="1"/>
    <col min="16130" max="16130" width="5.7109375" style="33" customWidth="1"/>
    <col min="16131" max="16131" width="12.140625" style="33" customWidth="1"/>
    <col min="16132" max="16132" width="42.7109375" style="33" customWidth="1"/>
    <col min="16133" max="16133" width="4.28515625" style="33" customWidth="1"/>
    <col min="16134" max="16134" width="8.42578125" style="33" customWidth="1"/>
    <col min="16135" max="16135" width="10.42578125" style="33" customWidth="1"/>
    <col min="16136" max="16136" width="10.85546875" style="33" customWidth="1"/>
    <col min="16137" max="16384" width="9" style="33"/>
  </cols>
  <sheetData>
    <row r="1" spans="1:14" ht="20.25" customHeight="1" x14ac:dyDescent="0.25">
      <c r="A1" s="166" t="s">
        <v>355</v>
      </c>
      <c r="B1" s="166"/>
      <c r="C1" s="166"/>
      <c r="D1" s="166"/>
      <c r="E1" s="166"/>
      <c r="F1" s="166"/>
      <c r="G1" s="166"/>
      <c r="H1" s="166"/>
    </row>
    <row r="2" spans="1:14" s="22" customFormat="1" ht="18" customHeight="1" x14ac:dyDescent="0.25">
      <c r="A2" s="55" t="s">
        <v>76</v>
      </c>
      <c r="B2" s="29"/>
      <c r="C2" s="55" t="s">
        <v>358</v>
      </c>
      <c r="D2" s="31"/>
      <c r="E2" s="76"/>
      <c r="F2" s="3" t="s">
        <v>0</v>
      </c>
      <c r="G2" s="31"/>
      <c r="H2" s="31"/>
      <c r="I2" s="23"/>
      <c r="J2" s="39"/>
      <c r="K2" s="50"/>
      <c r="L2" s="24"/>
      <c r="M2" s="54"/>
      <c r="N2" s="54"/>
    </row>
    <row r="3" spans="1:14" s="22" customFormat="1" ht="12" customHeight="1" x14ac:dyDescent="0.2">
      <c r="A3" s="29" t="s">
        <v>65</v>
      </c>
      <c r="B3" s="29"/>
      <c r="C3" s="30" t="s">
        <v>353</v>
      </c>
      <c r="D3" s="31"/>
      <c r="E3" s="76"/>
      <c r="F3" s="3" t="s">
        <v>2</v>
      </c>
      <c r="G3" s="87">
        <v>44677</v>
      </c>
      <c r="H3" s="151" t="s">
        <v>150</v>
      </c>
      <c r="I3" s="23"/>
      <c r="J3" s="39"/>
      <c r="K3" s="50"/>
      <c r="L3" s="24"/>
      <c r="M3" s="54"/>
      <c r="N3" s="54"/>
    </row>
    <row r="4" spans="1:14" s="22" customFormat="1" ht="12" customHeight="1" x14ac:dyDescent="0.2">
      <c r="A4" s="29" t="s">
        <v>1</v>
      </c>
      <c r="B4" s="29"/>
      <c r="C4" s="29" t="s">
        <v>354</v>
      </c>
      <c r="D4" s="3"/>
      <c r="E4" s="6"/>
      <c r="H4" s="3"/>
      <c r="I4" s="23"/>
      <c r="J4" s="39"/>
      <c r="K4" s="50"/>
      <c r="L4" s="24"/>
      <c r="M4" s="54"/>
      <c r="N4" s="54"/>
    </row>
    <row r="5" spans="1:14" ht="6" customHeight="1" thickBot="1" x14ac:dyDescent="0.25">
      <c r="A5" s="12"/>
      <c r="B5" s="12"/>
      <c r="C5" s="12"/>
      <c r="D5" s="12"/>
      <c r="E5" s="28"/>
      <c r="F5" s="12"/>
      <c r="G5" s="12"/>
      <c r="H5" s="12"/>
    </row>
    <row r="6" spans="1:14" ht="24" customHeight="1" thickBot="1" x14ac:dyDescent="0.3">
      <c r="A6" s="16" t="s">
        <v>3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7" t="s">
        <v>9</v>
      </c>
      <c r="H6" s="16" t="s">
        <v>10</v>
      </c>
    </row>
    <row r="7" spans="1:14" ht="11.25" customHeight="1" x14ac:dyDescent="0.25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4" ht="6" customHeight="1" x14ac:dyDescent="0.2">
      <c r="A8" s="12"/>
      <c r="B8" s="12"/>
      <c r="C8" s="12"/>
      <c r="D8" s="12"/>
      <c r="E8" s="28"/>
      <c r="F8" s="12"/>
      <c r="G8" s="12"/>
      <c r="H8" s="32"/>
    </row>
    <row r="9" spans="1:14" ht="20.25" customHeight="1" x14ac:dyDescent="0.2">
      <c r="A9" s="12"/>
      <c r="B9" s="12"/>
      <c r="C9" s="9" t="s">
        <v>22</v>
      </c>
      <c r="D9" s="9" t="s">
        <v>11</v>
      </c>
      <c r="E9" s="6"/>
      <c r="F9" s="3"/>
      <c r="G9" s="10"/>
      <c r="H9" s="13">
        <f>SUM(H10,H37,H70,H97,H117,H130,H182,H209)</f>
        <v>0</v>
      </c>
      <c r="J9" s="44" t="s">
        <v>22</v>
      </c>
    </row>
    <row r="10" spans="1:14" s="22" customFormat="1" ht="21" customHeight="1" x14ac:dyDescent="0.25">
      <c r="A10" s="4"/>
      <c r="B10" s="4"/>
      <c r="C10" s="5">
        <v>1</v>
      </c>
      <c r="D10" s="5" t="s">
        <v>30</v>
      </c>
      <c r="E10" s="7"/>
      <c r="F10" s="8"/>
      <c r="G10" s="4"/>
      <c r="H10" s="81">
        <f>SUM(H11:H36)</f>
        <v>0</v>
      </c>
      <c r="I10" s="45"/>
      <c r="J10" s="42">
        <v>1</v>
      </c>
      <c r="K10" s="50"/>
      <c r="L10" s="24"/>
      <c r="M10" s="54"/>
      <c r="N10" s="54"/>
    </row>
    <row r="11" spans="1:14" s="82" customFormat="1" x14ac:dyDescent="0.25">
      <c r="A11" s="88">
        <v>1</v>
      </c>
      <c r="B11" s="89" t="s">
        <v>29</v>
      </c>
      <c r="C11" s="90">
        <v>1312011011</v>
      </c>
      <c r="D11" s="90" t="s">
        <v>51</v>
      </c>
      <c r="E11" s="89" t="s">
        <v>12</v>
      </c>
      <c r="F11" s="91">
        <f>F15</f>
        <v>57.879999999999995</v>
      </c>
      <c r="G11" s="92"/>
      <c r="H11" s="71">
        <f>ROUND(F11*G11,2)</f>
        <v>0</v>
      </c>
      <c r="I11" s="23"/>
      <c r="J11" s="42">
        <v>1</v>
      </c>
      <c r="K11" s="43"/>
      <c r="L11" s="23"/>
      <c r="M11" s="54"/>
    </row>
    <row r="12" spans="1:14" s="82" customFormat="1" x14ac:dyDescent="0.2">
      <c r="A12" s="93"/>
      <c r="B12" s="94"/>
      <c r="C12" s="94"/>
      <c r="D12" s="95" t="s">
        <v>178</v>
      </c>
      <c r="E12" s="96"/>
      <c r="F12" s="57">
        <f>ROUND(13.1*8.3*0.3,2)</f>
        <v>32.619999999999997</v>
      </c>
      <c r="G12" s="94"/>
      <c r="H12" s="97"/>
      <c r="I12" s="23"/>
      <c r="J12" s="39"/>
      <c r="K12" s="43"/>
      <c r="L12" s="23"/>
      <c r="M12" s="54"/>
    </row>
    <row r="13" spans="1:14" s="82" customFormat="1" x14ac:dyDescent="0.2">
      <c r="A13" s="93"/>
      <c r="B13" s="94"/>
      <c r="C13" s="94"/>
      <c r="D13" s="95" t="s">
        <v>179</v>
      </c>
      <c r="E13" s="96"/>
      <c r="F13" s="57">
        <f>ROUND((2*12.5+3*5.7)*0.6*1,2)</f>
        <v>25.26</v>
      </c>
      <c r="G13" s="94"/>
      <c r="H13" s="97"/>
      <c r="I13" s="23"/>
      <c r="J13" s="39"/>
      <c r="K13" s="43"/>
      <c r="L13" s="23"/>
      <c r="M13" s="54"/>
    </row>
    <row r="14" spans="1:14" s="82" customFormat="1" ht="22.5" x14ac:dyDescent="0.2">
      <c r="A14" s="93"/>
      <c r="B14" s="94"/>
      <c r="C14" s="94"/>
      <c r="D14" s="149" t="s">
        <v>319</v>
      </c>
      <c r="E14" s="96"/>
      <c r="F14" s="57"/>
      <c r="G14" s="94"/>
      <c r="H14" s="97"/>
      <c r="I14" s="23"/>
      <c r="J14" s="39"/>
      <c r="K14" s="43"/>
      <c r="L14" s="23"/>
      <c r="M14" s="54"/>
    </row>
    <row r="15" spans="1:14" s="82" customFormat="1" x14ac:dyDescent="0.25">
      <c r="A15" s="6"/>
      <c r="B15" s="98"/>
      <c r="C15" s="98"/>
      <c r="D15" s="99" t="s">
        <v>26</v>
      </c>
      <c r="E15" s="62"/>
      <c r="F15" s="100">
        <f>SUM(F12:F13)</f>
        <v>57.879999999999995</v>
      </c>
      <c r="G15" s="98"/>
      <c r="H15" s="101"/>
      <c r="I15" s="23"/>
      <c r="J15" s="39"/>
      <c r="K15" s="43"/>
      <c r="L15" s="23"/>
      <c r="M15" s="54"/>
    </row>
    <row r="16" spans="1:14" s="82" customFormat="1" ht="48" x14ac:dyDescent="0.25">
      <c r="A16" s="88">
        <f>A11+1</f>
        <v>2</v>
      </c>
      <c r="B16" s="89" t="s">
        <v>29</v>
      </c>
      <c r="C16" s="90">
        <v>162201102</v>
      </c>
      <c r="D16" s="90" t="s">
        <v>90</v>
      </c>
      <c r="E16" s="89" t="s">
        <v>12</v>
      </c>
      <c r="F16" s="91">
        <f>F18</f>
        <v>9.42</v>
      </c>
      <c r="G16" s="92"/>
      <c r="H16" s="71">
        <f>ROUND(F16*G16,2)</f>
        <v>0</v>
      </c>
      <c r="I16" s="23"/>
      <c r="J16" s="42">
        <v>1</v>
      </c>
      <c r="K16" s="43"/>
      <c r="L16" s="23"/>
      <c r="M16" s="54"/>
    </row>
    <row r="17" spans="1:13" s="82" customFormat="1" x14ac:dyDescent="0.25">
      <c r="A17" s="6"/>
      <c r="B17" s="98"/>
      <c r="C17" s="98"/>
      <c r="D17" s="102" t="s">
        <v>182</v>
      </c>
      <c r="E17" s="77"/>
      <c r="F17" s="103">
        <v>9.42</v>
      </c>
      <c r="G17" s="98"/>
      <c r="H17" s="101"/>
      <c r="I17" s="23"/>
      <c r="J17" s="39"/>
      <c r="K17" s="43"/>
      <c r="L17" s="23"/>
      <c r="M17" s="54"/>
    </row>
    <row r="18" spans="1:13" s="82" customFormat="1" x14ac:dyDescent="0.25">
      <c r="A18" s="6"/>
      <c r="B18" s="98"/>
      <c r="C18" s="98"/>
      <c r="D18" s="99" t="s">
        <v>26</v>
      </c>
      <c r="E18" s="62"/>
      <c r="F18" s="100">
        <f>SUM(F17:F17)</f>
        <v>9.42</v>
      </c>
      <c r="G18" s="98"/>
      <c r="H18" s="101"/>
      <c r="I18" s="23"/>
      <c r="J18" s="39"/>
      <c r="K18" s="43"/>
      <c r="L18" s="23"/>
      <c r="M18" s="54"/>
    </row>
    <row r="19" spans="1:13" s="82" customFormat="1" ht="36" x14ac:dyDescent="0.25">
      <c r="A19" s="88">
        <f>A16+1</f>
        <v>3</v>
      </c>
      <c r="B19" s="89" t="s">
        <v>29</v>
      </c>
      <c r="C19" s="90">
        <v>162501102</v>
      </c>
      <c r="D19" s="90" t="s">
        <v>91</v>
      </c>
      <c r="E19" s="89" t="s">
        <v>12</v>
      </c>
      <c r="F19" s="91">
        <f>F21</f>
        <v>48.46</v>
      </c>
      <c r="G19" s="92"/>
      <c r="H19" s="71">
        <f>ROUND(F19*G19,2)</f>
        <v>0</v>
      </c>
      <c r="I19" s="23"/>
      <c r="J19" s="42">
        <v>1</v>
      </c>
      <c r="K19" s="43"/>
      <c r="L19" s="23"/>
      <c r="M19" s="54"/>
    </row>
    <row r="20" spans="1:13" s="82" customFormat="1" x14ac:dyDescent="0.25">
      <c r="A20" s="6"/>
      <c r="B20" s="98"/>
      <c r="C20" s="98"/>
      <c r="D20" s="102" t="s">
        <v>183</v>
      </c>
      <c r="E20" s="77"/>
      <c r="F20" s="103">
        <f>57.88-9.42</f>
        <v>48.46</v>
      </c>
      <c r="G20" s="98"/>
      <c r="H20" s="101"/>
      <c r="I20" s="23"/>
      <c r="J20" s="39"/>
      <c r="K20" s="43"/>
      <c r="L20" s="23"/>
      <c r="M20" s="54"/>
    </row>
    <row r="21" spans="1:13" s="82" customFormat="1" x14ac:dyDescent="0.25">
      <c r="A21" s="6"/>
      <c r="B21" s="98"/>
      <c r="C21" s="98"/>
      <c r="D21" s="99" t="s">
        <v>26</v>
      </c>
      <c r="E21" s="62"/>
      <c r="F21" s="100">
        <f>SUM(F20:F20)</f>
        <v>48.46</v>
      </c>
      <c r="G21" s="98"/>
      <c r="H21" s="101"/>
      <c r="I21" s="23"/>
      <c r="J21" s="39"/>
      <c r="K21" s="43"/>
      <c r="L21" s="23"/>
      <c r="M21" s="54"/>
    </row>
    <row r="22" spans="1:13" s="82" customFormat="1" ht="36" x14ac:dyDescent="0.25">
      <c r="A22" s="88">
        <f>A19+1</f>
        <v>4</v>
      </c>
      <c r="B22" s="89" t="s">
        <v>29</v>
      </c>
      <c r="C22" s="90">
        <v>162501113</v>
      </c>
      <c r="D22" s="90" t="s">
        <v>92</v>
      </c>
      <c r="E22" s="89" t="s">
        <v>12</v>
      </c>
      <c r="F22" s="91">
        <f>F24</f>
        <v>581.52</v>
      </c>
      <c r="G22" s="92"/>
      <c r="H22" s="71">
        <f>ROUND(F22*G22,2)</f>
        <v>0</v>
      </c>
      <c r="I22" s="23"/>
      <c r="J22" s="42">
        <v>1</v>
      </c>
      <c r="K22" s="43"/>
      <c r="L22" s="23"/>
      <c r="M22" s="54"/>
    </row>
    <row r="23" spans="1:13" s="82" customFormat="1" x14ac:dyDescent="0.25">
      <c r="A23" s="6"/>
      <c r="B23" s="98"/>
      <c r="C23" s="98"/>
      <c r="D23" s="102" t="s">
        <v>184</v>
      </c>
      <c r="E23" s="77"/>
      <c r="F23" s="103">
        <f>48.46*12</f>
        <v>581.52</v>
      </c>
      <c r="G23" s="98"/>
      <c r="H23" s="101"/>
      <c r="I23" s="23"/>
      <c r="J23" s="39"/>
      <c r="K23" s="43"/>
      <c r="L23" s="23"/>
      <c r="M23" s="54"/>
    </row>
    <row r="24" spans="1:13" s="82" customFormat="1" x14ac:dyDescent="0.25">
      <c r="A24" s="6"/>
      <c r="B24" s="98"/>
      <c r="C24" s="98"/>
      <c r="D24" s="99" t="s">
        <v>26</v>
      </c>
      <c r="E24" s="62"/>
      <c r="F24" s="100">
        <f>SUM(F23:F23)</f>
        <v>581.52</v>
      </c>
      <c r="G24" s="98"/>
      <c r="H24" s="101"/>
      <c r="I24" s="23"/>
      <c r="J24" s="39"/>
      <c r="K24" s="43"/>
      <c r="L24" s="23"/>
      <c r="M24" s="54"/>
    </row>
    <row r="25" spans="1:13" s="82" customFormat="1" x14ac:dyDescent="0.25">
      <c r="A25" s="88">
        <f>A22+1</f>
        <v>5</v>
      </c>
      <c r="B25" s="89" t="s">
        <v>29</v>
      </c>
      <c r="C25" s="90">
        <v>171201201</v>
      </c>
      <c r="D25" s="90" t="s">
        <v>185</v>
      </c>
      <c r="E25" s="89" t="s">
        <v>12</v>
      </c>
      <c r="F25" s="91">
        <f>F27</f>
        <v>48.46</v>
      </c>
      <c r="G25" s="92"/>
      <c r="H25" s="71">
        <f>ROUND(F25*G25,2)</f>
        <v>0</v>
      </c>
      <c r="I25" s="23"/>
      <c r="J25" s="42">
        <v>1</v>
      </c>
      <c r="K25" s="43"/>
      <c r="L25" s="23"/>
      <c r="M25" s="54"/>
    </row>
    <row r="26" spans="1:13" s="82" customFormat="1" x14ac:dyDescent="0.25">
      <c r="A26" s="6"/>
      <c r="B26" s="98"/>
      <c r="C26" s="98"/>
      <c r="D26" s="102" t="s">
        <v>183</v>
      </c>
      <c r="E26" s="77"/>
      <c r="F26" s="103">
        <f>57.88-9.42</f>
        <v>48.46</v>
      </c>
      <c r="G26" s="98"/>
      <c r="H26" s="101"/>
      <c r="I26" s="23"/>
      <c r="J26" s="39"/>
      <c r="K26" s="43"/>
      <c r="L26" s="23"/>
      <c r="M26" s="54"/>
    </row>
    <row r="27" spans="1:13" s="82" customFormat="1" x14ac:dyDescent="0.25">
      <c r="A27" s="6"/>
      <c r="B27" s="98"/>
      <c r="C27" s="98"/>
      <c r="D27" s="99" t="s">
        <v>26</v>
      </c>
      <c r="E27" s="62"/>
      <c r="F27" s="100">
        <f>SUM(F26:F26)</f>
        <v>48.46</v>
      </c>
      <c r="G27" s="98"/>
      <c r="H27" s="101"/>
      <c r="I27" s="23"/>
      <c r="J27" s="39"/>
      <c r="K27" s="43"/>
      <c r="L27" s="23"/>
      <c r="M27" s="54"/>
    </row>
    <row r="28" spans="1:13" s="82" customFormat="1" ht="24" x14ac:dyDescent="0.25">
      <c r="A28" s="88">
        <f>A25+1</f>
        <v>6</v>
      </c>
      <c r="B28" s="89" t="s">
        <v>29</v>
      </c>
      <c r="C28" s="90" t="s">
        <v>31</v>
      </c>
      <c r="D28" s="90" t="s">
        <v>32</v>
      </c>
      <c r="E28" s="89" t="s">
        <v>15</v>
      </c>
      <c r="F28" s="91">
        <f>F30</f>
        <v>86.26</v>
      </c>
      <c r="G28" s="92"/>
      <c r="H28" s="71">
        <f>ROUND(F28*G28,2)</f>
        <v>0</v>
      </c>
      <c r="I28" s="23"/>
      <c r="J28" s="42">
        <v>1</v>
      </c>
      <c r="K28" s="43"/>
      <c r="L28" s="23"/>
      <c r="M28" s="54"/>
    </row>
    <row r="29" spans="1:13" s="82" customFormat="1" x14ac:dyDescent="0.25">
      <c r="A29" s="6"/>
      <c r="B29" s="98"/>
      <c r="C29" s="98"/>
      <c r="D29" s="102" t="s">
        <v>186</v>
      </c>
      <c r="E29" s="77"/>
      <c r="F29" s="103">
        <f>ROUND(48.46*1.78,2)</f>
        <v>86.26</v>
      </c>
      <c r="G29" s="98"/>
      <c r="H29" s="101"/>
      <c r="I29" s="23"/>
      <c r="J29" s="39"/>
      <c r="K29" s="43"/>
      <c r="L29" s="23"/>
      <c r="M29" s="54"/>
    </row>
    <row r="30" spans="1:13" s="82" customFormat="1" x14ac:dyDescent="0.25">
      <c r="A30" s="6"/>
      <c r="B30" s="98"/>
      <c r="C30" s="98"/>
      <c r="D30" s="99" t="s">
        <v>26</v>
      </c>
      <c r="E30" s="62"/>
      <c r="F30" s="100">
        <f>SUM(F29:F29)</f>
        <v>86.26</v>
      </c>
      <c r="G30" s="98"/>
      <c r="H30" s="101"/>
      <c r="I30" s="23"/>
      <c r="J30" s="39"/>
      <c r="K30" s="43"/>
      <c r="L30" s="23"/>
      <c r="M30" s="54"/>
    </row>
    <row r="31" spans="1:13" s="82" customFormat="1" ht="24" x14ac:dyDescent="0.25">
      <c r="A31" s="88">
        <f>A28+1</f>
        <v>7</v>
      </c>
      <c r="B31" s="89" t="s">
        <v>29</v>
      </c>
      <c r="C31" s="90">
        <v>174101001</v>
      </c>
      <c r="D31" s="90" t="s">
        <v>93</v>
      </c>
      <c r="E31" s="89" t="s">
        <v>12</v>
      </c>
      <c r="F31" s="91">
        <f>F33</f>
        <v>9.42</v>
      </c>
      <c r="G31" s="92"/>
      <c r="H31" s="71">
        <f>ROUND(F31*G31,2)</f>
        <v>0</v>
      </c>
      <c r="I31" s="23"/>
      <c r="J31" s="42">
        <v>1</v>
      </c>
      <c r="K31" s="43"/>
      <c r="L31" s="23"/>
      <c r="M31" s="54"/>
    </row>
    <row r="32" spans="1:13" s="82" customFormat="1" x14ac:dyDescent="0.2">
      <c r="A32" s="6"/>
      <c r="B32" s="98"/>
      <c r="C32" s="98"/>
      <c r="D32" s="59" t="s">
        <v>181</v>
      </c>
      <c r="E32" s="77"/>
      <c r="F32" s="57">
        <f>ROUND(6.1*(5.4+4.9)*0.15,2)</f>
        <v>9.42</v>
      </c>
      <c r="G32" s="98"/>
      <c r="H32" s="101"/>
      <c r="I32" s="23"/>
      <c r="J32" s="39"/>
      <c r="K32" s="43"/>
      <c r="L32" s="23"/>
      <c r="M32" s="54"/>
    </row>
    <row r="33" spans="1:14" s="82" customFormat="1" x14ac:dyDescent="0.25">
      <c r="A33" s="6"/>
      <c r="B33" s="98"/>
      <c r="C33" s="98"/>
      <c r="D33" s="99" t="s">
        <v>26</v>
      </c>
      <c r="E33" s="62"/>
      <c r="F33" s="100">
        <f>SUM(F32:F32)</f>
        <v>9.42</v>
      </c>
      <c r="G33" s="98"/>
      <c r="H33" s="101"/>
      <c r="I33" s="23"/>
      <c r="J33" s="39"/>
      <c r="K33" s="43"/>
      <c r="L33" s="23"/>
      <c r="M33" s="54"/>
    </row>
    <row r="34" spans="1:14" s="82" customFormat="1" x14ac:dyDescent="0.25">
      <c r="A34" s="88">
        <f>A31+1</f>
        <v>8</v>
      </c>
      <c r="B34" s="89" t="s">
        <v>29</v>
      </c>
      <c r="C34" s="90" t="s">
        <v>74</v>
      </c>
      <c r="D34" s="90" t="s">
        <v>94</v>
      </c>
      <c r="E34" s="89" t="s">
        <v>13</v>
      </c>
      <c r="F34" s="91">
        <f>F36</f>
        <v>108.73</v>
      </c>
      <c r="G34" s="92"/>
      <c r="H34" s="71">
        <f>ROUND(F34*G34,2)</f>
        <v>0</v>
      </c>
      <c r="I34" s="23"/>
      <c r="J34" s="42">
        <v>1</v>
      </c>
      <c r="K34" s="43"/>
      <c r="L34" s="23"/>
      <c r="M34" s="54"/>
    </row>
    <row r="35" spans="1:14" s="82" customFormat="1" x14ac:dyDescent="0.25">
      <c r="A35" s="6"/>
      <c r="B35" s="98"/>
      <c r="C35" s="98"/>
      <c r="D35" s="102" t="s">
        <v>180</v>
      </c>
      <c r="E35" s="77"/>
      <c r="F35" s="103">
        <f>ROUND(13.1*8.3,2)</f>
        <v>108.73</v>
      </c>
      <c r="G35" s="98"/>
      <c r="H35" s="101"/>
      <c r="I35" s="23"/>
      <c r="J35" s="39"/>
      <c r="K35" s="43"/>
      <c r="L35" s="23"/>
      <c r="M35" s="54"/>
    </row>
    <row r="36" spans="1:14" s="82" customFormat="1" x14ac:dyDescent="0.25">
      <c r="A36" s="6"/>
      <c r="B36" s="98"/>
      <c r="C36" s="98"/>
      <c r="D36" s="99" t="s">
        <v>26</v>
      </c>
      <c r="E36" s="62"/>
      <c r="F36" s="100">
        <f>SUM(F35:F35)</f>
        <v>108.73</v>
      </c>
      <c r="G36" s="98"/>
      <c r="H36" s="101"/>
      <c r="I36" s="23"/>
      <c r="J36" s="39"/>
      <c r="K36" s="43"/>
      <c r="L36" s="23"/>
      <c r="M36" s="54"/>
    </row>
    <row r="37" spans="1:14" s="22" customFormat="1" ht="21" customHeight="1" x14ac:dyDescent="0.25">
      <c r="A37" s="4"/>
      <c r="B37" s="4"/>
      <c r="C37" s="5">
        <v>2</v>
      </c>
      <c r="D37" s="5" t="s">
        <v>16</v>
      </c>
      <c r="E37" s="7"/>
      <c r="F37" s="8"/>
      <c r="G37" s="4"/>
      <c r="H37" s="66">
        <f>SUM(H38:H69)</f>
        <v>0</v>
      </c>
      <c r="I37" s="45"/>
      <c r="J37" s="42">
        <v>2</v>
      </c>
      <c r="K37" s="50"/>
      <c r="L37" s="24"/>
      <c r="M37" s="54"/>
      <c r="N37" s="54"/>
    </row>
    <row r="38" spans="1:14" s="22" customFormat="1" ht="24" x14ac:dyDescent="0.25">
      <c r="A38" s="88">
        <f>A34+1</f>
        <v>9</v>
      </c>
      <c r="B38" s="89" t="s">
        <v>29</v>
      </c>
      <c r="C38" s="90">
        <v>271533001</v>
      </c>
      <c r="D38" s="90" t="s">
        <v>187</v>
      </c>
      <c r="E38" s="89" t="s">
        <v>12</v>
      </c>
      <c r="F38" s="91">
        <f>SUM(F40)</f>
        <v>8.02</v>
      </c>
      <c r="G38" s="92"/>
      <c r="H38" s="71">
        <f>ROUND(F38*G38,2)</f>
        <v>0</v>
      </c>
      <c r="I38" s="23"/>
      <c r="J38" s="42">
        <v>2</v>
      </c>
      <c r="K38" s="43">
        <f>ROUND(F38*1.85,3)</f>
        <v>14.837</v>
      </c>
      <c r="L38" s="24"/>
      <c r="M38" s="54"/>
      <c r="N38" s="54"/>
    </row>
    <row r="39" spans="1:14" s="22" customFormat="1" x14ac:dyDescent="0.2">
      <c r="A39" s="56"/>
      <c r="B39" s="3"/>
      <c r="C39" s="3"/>
      <c r="D39" s="59" t="s">
        <v>188</v>
      </c>
      <c r="E39" s="77"/>
      <c r="F39" s="57">
        <f>ROUND(6.4*(5.7+5.2)*0.25-6.1*(5.4+4.9)*0.15,2)</f>
        <v>8.02</v>
      </c>
      <c r="G39" s="3"/>
      <c r="H39" s="58"/>
      <c r="I39" s="23"/>
      <c r="J39" s="39"/>
      <c r="K39" s="43"/>
      <c r="L39" s="24"/>
      <c r="M39" s="54"/>
      <c r="N39" s="54"/>
    </row>
    <row r="40" spans="1:14" s="22" customFormat="1" x14ac:dyDescent="0.2">
      <c r="A40" s="56"/>
      <c r="B40" s="3"/>
      <c r="C40" s="3"/>
      <c r="D40" s="61" t="s">
        <v>26</v>
      </c>
      <c r="E40" s="62"/>
      <c r="F40" s="63">
        <f>SUM(F39:F39)</f>
        <v>8.02</v>
      </c>
      <c r="G40" s="3"/>
      <c r="H40" s="58"/>
      <c r="I40" s="23"/>
      <c r="J40" s="39"/>
      <c r="K40" s="43"/>
      <c r="L40" s="24"/>
      <c r="M40" s="54"/>
      <c r="N40" s="54"/>
    </row>
    <row r="41" spans="1:14" s="22" customFormat="1" ht="24" x14ac:dyDescent="0.25">
      <c r="A41" s="88">
        <f>A38+1</f>
        <v>10</v>
      </c>
      <c r="B41" s="89" t="s">
        <v>29</v>
      </c>
      <c r="C41" s="90">
        <v>273321411</v>
      </c>
      <c r="D41" s="90" t="s">
        <v>89</v>
      </c>
      <c r="E41" s="89" t="s">
        <v>12</v>
      </c>
      <c r="F41" s="91">
        <f>SUM(F43)</f>
        <v>8.26</v>
      </c>
      <c r="G41" s="92"/>
      <c r="H41" s="71">
        <f>ROUND(F41*G41,2)</f>
        <v>0</v>
      </c>
      <c r="I41" s="23"/>
      <c r="J41" s="42">
        <v>2</v>
      </c>
      <c r="K41" s="43">
        <f>ROUND(F41*2.4,3)</f>
        <v>19.824000000000002</v>
      </c>
      <c r="L41" s="24"/>
      <c r="M41" s="54"/>
      <c r="N41" s="54"/>
    </row>
    <row r="42" spans="1:14" s="22" customFormat="1" x14ac:dyDescent="0.2">
      <c r="A42" s="56"/>
      <c r="B42" s="3"/>
      <c r="C42" s="3"/>
      <c r="D42" s="59" t="s">
        <v>175</v>
      </c>
      <c r="E42" s="77"/>
      <c r="F42" s="57">
        <f>ROUND(11.8*7*0.1,2)</f>
        <v>8.26</v>
      </c>
      <c r="G42" s="3"/>
      <c r="H42" s="58"/>
      <c r="I42" s="23"/>
      <c r="J42" s="39"/>
      <c r="K42" s="43"/>
      <c r="L42" s="24"/>
      <c r="M42" s="54"/>
      <c r="N42" s="54"/>
    </row>
    <row r="43" spans="1:14" s="22" customFormat="1" x14ac:dyDescent="0.2">
      <c r="A43" s="56"/>
      <c r="B43" s="3"/>
      <c r="C43" s="3"/>
      <c r="D43" s="61" t="s">
        <v>26</v>
      </c>
      <c r="E43" s="62"/>
      <c r="F43" s="63">
        <f>SUM(F42:F42)</f>
        <v>8.26</v>
      </c>
      <c r="G43" s="3"/>
      <c r="H43" s="58"/>
      <c r="I43" s="23"/>
      <c r="J43" s="39"/>
      <c r="K43" s="43"/>
      <c r="L43" s="24"/>
      <c r="M43" s="54"/>
      <c r="N43" s="54"/>
    </row>
    <row r="44" spans="1:14" s="22" customFormat="1" x14ac:dyDescent="0.25">
      <c r="A44" s="88">
        <f>A41+1</f>
        <v>11</v>
      </c>
      <c r="B44" s="89" t="s">
        <v>29</v>
      </c>
      <c r="C44" s="90">
        <v>273351215</v>
      </c>
      <c r="D44" s="90" t="s">
        <v>85</v>
      </c>
      <c r="E44" s="89" t="s">
        <v>13</v>
      </c>
      <c r="F44" s="91">
        <f>SUM(F46)</f>
        <v>3.76</v>
      </c>
      <c r="G44" s="92"/>
      <c r="H44" s="71">
        <f>ROUND(F44*G44,2)</f>
        <v>0</v>
      </c>
      <c r="I44" s="23"/>
      <c r="J44" s="42">
        <v>2</v>
      </c>
      <c r="K44" s="43">
        <f>ROUND(F44*0.005,3)</f>
        <v>1.9E-2</v>
      </c>
      <c r="L44" s="24"/>
      <c r="M44" s="54"/>
      <c r="N44" s="54"/>
    </row>
    <row r="45" spans="1:14" s="22" customFormat="1" x14ac:dyDescent="0.2">
      <c r="A45" s="56"/>
      <c r="B45" s="3"/>
      <c r="C45" s="3"/>
      <c r="D45" s="104" t="s">
        <v>176</v>
      </c>
      <c r="E45" s="77"/>
      <c r="F45" s="57">
        <f>ROUND(2*(11.8+7)*0.1,2)</f>
        <v>3.76</v>
      </c>
      <c r="G45" s="3"/>
      <c r="H45" s="58"/>
      <c r="I45" s="23"/>
      <c r="J45" s="39"/>
      <c r="K45" s="43"/>
      <c r="L45" s="24"/>
      <c r="M45" s="54"/>
      <c r="N45" s="54"/>
    </row>
    <row r="46" spans="1:14" s="22" customFormat="1" x14ac:dyDescent="0.2">
      <c r="A46" s="56"/>
      <c r="B46" s="3"/>
      <c r="C46" s="3"/>
      <c r="D46" s="61" t="s">
        <v>26</v>
      </c>
      <c r="E46" s="62"/>
      <c r="F46" s="63">
        <f>SUM(F45:F45)</f>
        <v>3.76</v>
      </c>
      <c r="G46" s="3"/>
      <c r="H46" s="58"/>
      <c r="I46" s="23"/>
      <c r="J46" s="39"/>
      <c r="K46" s="43"/>
      <c r="L46" s="24"/>
      <c r="M46" s="54"/>
      <c r="N46" s="54"/>
    </row>
    <row r="47" spans="1:14" s="22" customFormat="1" x14ac:dyDescent="0.25">
      <c r="A47" s="88">
        <f>A44+1</f>
        <v>12</v>
      </c>
      <c r="B47" s="89" t="s">
        <v>29</v>
      </c>
      <c r="C47" s="90">
        <v>273351216</v>
      </c>
      <c r="D47" s="90" t="s">
        <v>86</v>
      </c>
      <c r="E47" s="89" t="s">
        <v>13</v>
      </c>
      <c r="F47" s="91">
        <f>F44</f>
        <v>3.76</v>
      </c>
      <c r="G47" s="92"/>
      <c r="H47" s="71">
        <f>ROUND(F47*G47,2)</f>
        <v>0</v>
      </c>
      <c r="I47" s="23"/>
      <c r="J47" s="42">
        <v>2</v>
      </c>
      <c r="K47" s="43">
        <f>ROUND(F47*0.005,3)</f>
        <v>1.9E-2</v>
      </c>
      <c r="L47" s="24"/>
      <c r="M47" s="54"/>
      <c r="N47" s="54"/>
    </row>
    <row r="48" spans="1:14" s="22" customFormat="1" ht="24" x14ac:dyDescent="0.25">
      <c r="A48" s="88">
        <f>A47+1</f>
        <v>13</v>
      </c>
      <c r="B48" s="89" t="s">
        <v>29</v>
      </c>
      <c r="C48" s="90" t="s">
        <v>87</v>
      </c>
      <c r="D48" s="90" t="s">
        <v>88</v>
      </c>
      <c r="E48" s="89" t="s">
        <v>13</v>
      </c>
      <c r="F48" s="91">
        <f>SUM(F50)</f>
        <v>82.6</v>
      </c>
      <c r="G48" s="92"/>
      <c r="H48" s="71">
        <f>ROUND(F48*G48,2)</f>
        <v>0</v>
      </c>
      <c r="I48" s="23" t="s">
        <v>71</v>
      </c>
      <c r="J48" s="42">
        <v>2</v>
      </c>
      <c r="K48" s="43">
        <f>ROUND(7.9*1.05/1000*F48,3)</f>
        <v>0.68500000000000005</v>
      </c>
      <c r="L48" s="24"/>
      <c r="M48" s="54"/>
      <c r="N48" s="54"/>
    </row>
    <row r="49" spans="1:14" s="22" customFormat="1" x14ac:dyDescent="0.2">
      <c r="A49" s="56"/>
      <c r="B49" s="3"/>
      <c r="C49" s="3"/>
      <c r="D49" s="104" t="s">
        <v>177</v>
      </c>
      <c r="E49" s="77"/>
      <c r="F49" s="57">
        <f>ROUND(11.8*7,2)</f>
        <v>82.6</v>
      </c>
      <c r="G49" s="3"/>
      <c r="H49" s="58"/>
      <c r="I49" s="23"/>
      <c r="J49" s="39"/>
      <c r="K49" s="43"/>
      <c r="L49" s="24"/>
      <c r="M49" s="54"/>
      <c r="N49" s="54"/>
    </row>
    <row r="50" spans="1:14" s="22" customFormat="1" x14ac:dyDescent="0.2">
      <c r="A50" s="56"/>
      <c r="B50" s="3"/>
      <c r="C50" s="3"/>
      <c r="D50" s="61" t="s">
        <v>26</v>
      </c>
      <c r="E50" s="62"/>
      <c r="F50" s="63">
        <f>SUM(F49:F49)</f>
        <v>82.6</v>
      </c>
      <c r="G50" s="3"/>
      <c r="H50" s="58"/>
      <c r="I50" s="23"/>
      <c r="J50" s="39"/>
      <c r="K50" s="43"/>
      <c r="L50" s="24"/>
      <c r="M50" s="54"/>
      <c r="N50" s="54"/>
    </row>
    <row r="51" spans="1:14" s="22" customFormat="1" ht="24" x14ac:dyDescent="0.25">
      <c r="A51" s="88">
        <f>A48+1</f>
        <v>14</v>
      </c>
      <c r="B51" s="89" t="s">
        <v>29</v>
      </c>
      <c r="C51" s="90">
        <v>274321311</v>
      </c>
      <c r="D51" s="90" t="s">
        <v>174</v>
      </c>
      <c r="E51" s="89" t="s">
        <v>12</v>
      </c>
      <c r="F51" s="91">
        <f>SUM(F53)</f>
        <v>15.3</v>
      </c>
      <c r="G51" s="92"/>
      <c r="H51" s="71">
        <f>ROUND(F51*G51,2)</f>
        <v>0</v>
      </c>
      <c r="I51" s="23"/>
      <c r="J51" s="42">
        <v>2</v>
      </c>
      <c r="K51" s="43">
        <f>ROUND(F51*2.4,3)</f>
        <v>36.72</v>
      </c>
      <c r="L51" s="24"/>
      <c r="M51" s="54"/>
      <c r="N51" s="54"/>
    </row>
    <row r="52" spans="1:14" s="22" customFormat="1" x14ac:dyDescent="0.2">
      <c r="A52" s="56"/>
      <c r="B52" s="3"/>
      <c r="C52" s="3"/>
      <c r="D52" s="59" t="s">
        <v>171</v>
      </c>
      <c r="E52" s="77"/>
      <c r="F52" s="57">
        <f>ROUND(0.6*0.6*(2*12.1+3*6.1),2)</f>
        <v>15.3</v>
      </c>
      <c r="G52" s="3"/>
      <c r="H52" s="58"/>
      <c r="I52" s="23"/>
      <c r="J52" s="39"/>
      <c r="K52" s="43"/>
      <c r="L52" s="24"/>
      <c r="M52" s="54"/>
      <c r="N52" s="54"/>
    </row>
    <row r="53" spans="1:14" s="22" customFormat="1" x14ac:dyDescent="0.2">
      <c r="A53" s="56"/>
      <c r="B53" s="3"/>
      <c r="C53" s="3"/>
      <c r="D53" s="61" t="s">
        <v>26</v>
      </c>
      <c r="E53" s="62"/>
      <c r="F53" s="63">
        <f>SUM(F52:F52)</f>
        <v>15.3</v>
      </c>
      <c r="G53" s="3"/>
      <c r="H53" s="58"/>
      <c r="I53" s="23"/>
      <c r="J53" s="39"/>
      <c r="K53" s="43"/>
      <c r="L53" s="24"/>
      <c r="M53" s="54"/>
      <c r="N53" s="54"/>
    </row>
    <row r="54" spans="1:14" s="22" customFormat="1" ht="24" x14ac:dyDescent="0.25">
      <c r="A54" s="88">
        <f>A51+1</f>
        <v>15</v>
      </c>
      <c r="B54" s="89" t="s">
        <v>29</v>
      </c>
      <c r="C54" s="90" t="s">
        <v>67</v>
      </c>
      <c r="D54" s="90" t="s">
        <v>68</v>
      </c>
      <c r="E54" s="89" t="s">
        <v>13</v>
      </c>
      <c r="F54" s="91">
        <f>SUM(F56)</f>
        <v>51</v>
      </c>
      <c r="G54" s="92"/>
      <c r="H54" s="71">
        <f>ROUND(F54*G54,2)</f>
        <v>0</v>
      </c>
      <c r="I54" s="23"/>
      <c r="J54" s="42">
        <v>2</v>
      </c>
      <c r="K54" s="43">
        <f>ROUND(F54*0.005,3)</f>
        <v>0.255</v>
      </c>
      <c r="L54" s="24"/>
      <c r="M54" s="54"/>
      <c r="N54" s="54"/>
    </row>
    <row r="55" spans="1:14" s="22" customFormat="1" x14ac:dyDescent="0.2">
      <c r="A55" s="56"/>
      <c r="B55" s="3"/>
      <c r="C55" s="3"/>
      <c r="D55" s="59" t="s">
        <v>172</v>
      </c>
      <c r="E55" s="77"/>
      <c r="F55" s="57">
        <f>ROUND(2*0.6*(2*12.1+3*6.1),2)</f>
        <v>51</v>
      </c>
      <c r="G55" s="3"/>
      <c r="H55" s="58"/>
      <c r="I55" s="23"/>
      <c r="J55" s="39"/>
      <c r="K55" s="43"/>
      <c r="L55" s="24"/>
      <c r="M55" s="54"/>
      <c r="N55" s="54"/>
    </row>
    <row r="56" spans="1:14" s="22" customFormat="1" x14ac:dyDescent="0.2">
      <c r="A56" s="56"/>
      <c r="B56" s="3"/>
      <c r="C56" s="3"/>
      <c r="D56" s="61" t="s">
        <v>26</v>
      </c>
      <c r="E56" s="62"/>
      <c r="F56" s="63">
        <f>SUM(F55:F55)</f>
        <v>51</v>
      </c>
      <c r="G56" s="3"/>
      <c r="H56" s="58"/>
      <c r="I56" s="23"/>
      <c r="J56" s="39"/>
      <c r="K56" s="43"/>
      <c r="L56" s="24"/>
      <c r="M56" s="54"/>
      <c r="N56" s="54"/>
    </row>
    <row r="57" spans="1:14" s="22" customFormat="1" ht="24" x14ac:dyDescent="0.25">
      <c r="A57" s="88">
        <f>A54+1</f>
        <v>16</v>
      </c>
      <c r="B57" s="89" t="s">
        <v>29</v>
      </c>
      <c r="C57" s="90" t="s">
        <v>69</v>
      </c>
      <c r="D57" s="90" t="s">
        <v>70</v>
      </c>
      <c r="E57" s="89" t="s">
        <v>13</v>
      </c>
      <c r="F57" s="91">
        <f>F54</f>
        <v>51</v>
      </c>
      <c r="G57" s="92"/>
      <c r="H57" s="71">
        <f>ROUND(F57*G57,2)</f>
        <v>0</v>
      </c>
      <c r="I57" s="23"/>
      <c r="J57" s="42">
        <v>2</v>
      </c>
      <c r="K57" s="43">
        <f>ROUND(F57*0.005,3)</f>
        <v>0.255</v>
      </c>
      <c r="L57" s="24"/>
      <c r="M57" s="54"/>
      <c r="N57" s="54"/>
    </row>
    <row r="58" spans="1:14" s="22" customFormat="1" x14ac:dyDescent="0.25">
      <c r="A58" s="88">
        <f>A57+1</f>
        <v>17</v>
      </c>
      <c r="B58" s="89" t="s">
        <v>29</v>
      </c>
      <c r="C58" s="90" t="s">
        <v>83</v>
      </c>
      <c r="D58" s="90" t="s">
        <v>84</v>
      </c>
      <c r="E58" s="89" t="s">
        <v>15</v>
      </c>
      <c r="F58" s="91">
        <f>SUM(F60)</f>
        <v>1.07</v>
      </c>
      <c r="G58" s="92"/>
      <c r="H58" s="71">
        <f>ROUND(F58*G58,2)</f>
        <v>0</v>
      </c>
      <c r="I58" s="23" t="s">
        <v>71</v>
      </c>
      <c r="J58" s="42">
        <v>2</v>
      </c>
      <c r="K58" s="43">
        <f>F58</f>
        <v>1.07</v>
      </c>
      <c r="L58" s="24"/>
      <c r="M58" s="54"/>
      <c r="N58" s="54"/>
    </row>
    <row r="59" spans="1:14" s="22" customFormat="1" x14ac:dyDescent="0.2">
      <c r="A59" s="56"/>
      <c r="B59" s="3"/>
      <c r="C59" s="3"/>
      <c r="D59" s="104" t="s">
        <v>173</v>
      </c>
      <c r="E59" s="77"/>
      <c r="F59" s="57">
        <f>ROUND(15.3*70/1000,2)</f>
        <v>1.07</v>
      </c>
      <c r="G59" s="3"/>
      <c r="H59" s="58"/>
      <c r="I59" s="23"/>
      <c r="J59" s="39"/>
      <c r="K59" s="43"/>
      <c r="L59" s="24"/>
      <c r="M59" s="54"/>
      <c r="N59" s="54"/>
    </row>
    <row r="60" spans="1:14" s="22" customFormat="1" x14ac:dyDescent="0.2">
      <c r="A60" s="56"/>
      <c r="B60" s="3"/>
      <c r="C60" s="3"/>
      <c r="D60" s="61" t="s">
        <v>26</v>
      </c>
      <c r="E60" s="62"/>
      <c r="F60" s="63">
        <f>SUM(F59:F59)</f>
        <v>1.07</v>
      </c>
      <c r="G60" s="3"/>
      <c r="H60" s="58"/>
      <c r="I60" s="23"/>
      <c r="J60" s="39"/>
      <c r="K60" s="43"/>
      <c r="L60" s="24"/>
      <c r="M60" s="54"/>
      <c r="N60" s="54"/>
    </row>
    <row r="61" spans="1:14" s="22" customFormat="1" ht="24" x14ac:dyDescent="0.25">
      <c r="A61" s="88">
        <f>A58+1</f>
        <v>18</v>
      </c>
      <c r="B61" s="89" t="s">
        <v>29</v>
      </c>
      <c r="C61" s="90" t="s">
        <v>201</v>
      </c>
      <c r="D61" s="90" t="s">
        <v>200</v>
      </c>
      <c r="E61" s="89" t="s">
        <v>12</v>
      </c>
      <c r="F61" s="91">
        <f>SUM(F63)</f>
        <v>3.21</v>
      </c>
      <c r="G61" s="92"/>
      <c r="H61" s="71">
        <f>ROUND(F61*G61,2)</f>
        <v>0</v>
      </c>
      <c r="I61" s="23"/>
      <c r="J61" s="42">
        <v>2</v>
      </c>
      <c r="K61" s="43">
        <f>ROUND(F61*2.4,3)</f>
        <v>7.7039999999999997</v>
      </c>
      <c r="L61" s="24"/>
      <c r="M61" s="54"/>
      <c r="N61" s="54"/>
    </row>
    <row r="62" spans="1:14" s="22" customFormat="1" x14ac:dyDescent="0.2">
      <c r="A62" s="56"/>
      <c r="B62" s="3"/>
      <c r="C62" s="3"/>
      <c r="D62" s="59" t="s">
        <v>189</v>
      </c>
      <c r="E62" s="77"/>
      <c r="F62" s="57">
        <f>ROUND(0.3*0.25*(2*11.8+3*6.4),2)</f>
        <v>3.21</v>
      </c>
      <c r="G62" s="3"/>
      <c r="H62" s="58"/>
      <c r="I62" s="23"/>
      <c r="J62" s="39"/>
      <c r="K62" s="43"/>
      <c r="L62" s="24"/>
      <c r="M62" s="54"/>
      <c r="N62" s="54"/>
    </row>
    <row r="63" spans="1:14" s="22" customFormat="1" x14ac:dyDescent="0.2">
      <c r="A63" s="56"/>
      <c r="B63" s="3"/>
      <c r="C63" s="3"/>
      <c r="D63" s="61" t="s">
        <v>26</v>
      </c>
      <c r="E63" s="62"/>
      <c r="F63" s="63">
        <f>SUM(F62:F62)</f>
        <v>3.21</v>
      </c>
      <c r="G63" s="3"/>
      <c r="H63" s="58"/>
      <c r="I63" s="23"/>
      <c r="J63" s="39"/>
      <c r="K63" s="43"/>
      <c r="L63" s="24"/>
      <c r="M63" s="54"/>
      <c r="N63" s="54"/>
    </row>
    <row r="64" spans="1:14" s="22" customFormat="1" ht="24" x14ac:dyDescent="0.25">
      <c r="A64" s="88">
        <f>A61+1</f>
        <v>19</v>
      </c>
      <c r="B64" s="89" t="s">
        <v>29</v>
      </c>
      <c r="C64" s="90" t="s">
        <v>334</v>
      </c>
      <c r="D64" s="90" t="s">
        <v>320</v>
      </c>
      <c r="E64" s="89" t="s">
        <v>19</v>
      </c>
      <c r="F64" s="91">
        <f>SUM(F69)</f>
        <v>8</v>
      </c>
      <c r="G64" s="92"/>
      <c r="H64" s="71">
        <f>ROUND(F64*G64,2)</f>
        <v>0</v>
      </c>
      <c r="I64" s="23"/>
      <c r="J64" s="42">
        <v>2</v>
      </c>
      <c r="K64" s="43"/>
      <c r="L64" s="24"/>
      <c r="M64" s="54"/>
      <c r="N64" s="54"/>
    </row>
    <row r="65" spans="1:14" s="22" customFormat="1" x14ac:dyDescent="0.2">
      <c r="A65" s="56"/>
      <c r="B65" s="3"/>
      <c r="C65" s="3"/>
      <c r="D65" s="59" t="s">
        <v>322</v>
      </c>
      <c r="E65" s="77"/>
      <c r="F65" s="57">
        <v>1</v>
      </c>
      <c r="G65" s="3"/>
      <c r="H65" s="58"/>
      <c r="I65" s="23"/>
      <c r="J65" s="39"/>
      <c r="K65" s="43"/>
      <c r="L65" s="24"/>
      <c r="M65" s="54"/>
      <c r="N65" s="54"/>
    </row>
    <row r="66" spans="1:14" s="22" customFormat="1" x14ac:dyDescent="0.2">
      <c r="A66" s="56"/>
      <c r="B66" s="3"/>
      <c r="C66" s="3"/>
      <c r="D66" s="59" t="s">
        <v>321</v>
      </c>
      <c r="E66" s="77"/>
      <c r="F66" s="57">
        <v>1</v>
      </c>
      <c r="G66" s="3"/>
      <c r="H66" s="58"/>
      <c r="I66" s="23"/>
      <c r="J66" s="39"/>
      <c r="K66" s="43"/>
      <c r="L66" s="24"/>
      <c r="M66" s="54"/>
      <c r="N66" s="54"/>
    </row>
    <row r="67" spans="1:14" s="22" customFormat="1" x14ac:dyDescent="0.2">
      <c r="A67" s="56"/>
      <c r="B67" s="3"/>
      <c r="C67" s="3"/>
      <c r="D67" s="59" t="s">
        <v>323</v>
      </c>
      <c r="E67" s="77"/>
      <c r="F67" s="57">
        <v>5</v>
      </c>
      <c r="G67" s="3"/>
      <c r="H67" s="58"/>
      <c r="I67" s="23"/>
      <c r="J67" s="39"/>
      <c r="K67" s="43"/>
      <c r="L67" s="24"/>
      <c r="M67" s="54"/>
      <c r="N67" s="54"/>
    </row>
    <row r="68" spans="1:14" s="22" customFormat="1" x14ac:dyDescent="0.2">
      <c r="A68" s="56"/>
      <c r="B68" s="3"/>
      <c r="C68" s="3"/>
      <c r="D68" s="59" t="s">
        <v>324</v>
      </c>
      <c r="E68" s="77"/>
      <c r="F68" s="57">
        <v>1</v>
      </c>
      <c r="G68" s="3"/>
      <c r="H68" s="58"/>
      <c r="I68" s="23"/>
      <c r="J68" s="39"/>
      <c r="K68" s="43"/>
      <c r="L68" s="24"/>
      <c r="M68" s="54"/>
      <c r="N68" s="54"/>
    </row>
    <row r="69" spans="1:14" s="22" customFormat="1" x14ac:dyDescent="0.2">
      <c r="A69" s="56"/>
      <c r="B69" s="3"/>
      <c r="C69" s="3"/>
      <c r="D69" s="61" t="s">
        <v>26</v>
      </c>
      <c r="E69" s="62"/>
      <c r="F69" s="63">
        <f>SUM(F65:F68)</f>
        <v>8</v>
      </c>
      <c r="G69" s="3"/>
      <c r="H69" s="58"/>
      <c r="I69" s="23"/>
      <c r="J69" s="39"/>
      <c r="K69" s="43"/>
      <c r="L69" s="24"/>
      <c r="M69" s="54"/>
      <c r="N69" s="54"/>
    </row>
    <row r="70" spans="1:14" s="22" customFormat="1" ht="21" customHeight="1" x14ac:dyDescent="0.25">
      <c r="A70" s="4"/>
      <c r="B70" s="4"/>
      <c r="C70" s="5">
        <v>3</v>
      </c>
      <c r="D70" s="5" t="s">
        <v>17</v>
      </c>
      <c r="E70" s="7"/>
      <c r="F70" s="8"/>
      <c r="G70" s="4"/>
      <c r="H70" s="66">
        <f>SUM(H71:H96)</f>
        <v>0</v>
      </c>
      <c r="I70" s="45"/>
      <c r="J70" s="42">
        <v>3</v>
      </c>
      <c r="K70" s="50"/>
      <c r="L70" s="24"/>
      <c r="M70" s="54"/>
      <c r="N70" s="54"/>
    </row>
    <row r="71" spans="1:14" s="22" customFormat="1" x14ac:dyDescent="0.25">
      <c r="A71" s="88">
        <f>A64+1</f>
        <v>20</v>
      </c>
      <c r="B71" s="89" t="s">
        <v>29</v>
      </c>
      <c r="C71" s="90">
        <v>312273116</v>
      </c>
      <c r="D71" s="90" t="s">
        <v>202</v>
      </c>
      <c r="E71" s="89" t="s">
        <v>12</v>
      </c>
      <c r="F71" s="91">
        <f>SUM(F75)</f>
        <v>34.179999999999993</v>
      </c>
      <c r="G71" s="92"/>
      <c r="H71" s="71">
        <f>ROUND(F71*G71,2)</f>
        <v>0</v>
      </c>
      <c r="I71" s="41"/>
      <c r="J71" s="42">
        <v>3</v>
      </c>
      <c r="K71" s="43">
        <f>ROUND(F71*1.87196,3)</f>
        <v>63.984000000000002</v>
      </c>
      <c r="L71" s="24"/>
      <c r="M71" s="54"/>
      <c r="N71" s="54"/>
    </row>
    <row r="72" spans="1:14" s="22" customFormat="1" x14ac:dyDescent="0.2">
      <c r="A72" s="56"/>
      <c r="B72" s="3"/>
      <c r="C72" s="3"/>
      <c r="D72" s="105" t="s">
        <v>203</v>
      </c>
      <c r="E72" s="77"/>
      <c r="F72" s="57"/>
      <c r="G72" s="3"/>
      <c r="H72" s="58"/>
      <c r="I72" s="23"/>
      <c r="J72" s="39"/>
      <c r="K72" s="43"/>
      <c r="L72" s="24"/>
      <c r="M72" s="54"/>
      <c r="N72" s="54"/>
    </row>
    <row r="73" spans="1:14" s="22" customFormat="1" x14ac:dyDescent="0.2">
      <c r="A73" s="56"/>
      <c r="B73" s="3"/>
      <c r="C73" s="3"/>
      <c r="D73" s="59" t="s">
        <v>204</v>
      </c>
      <c r="E73" s="77"/>
      <c r="F73" s="57">
        <f>ROUND((2*(11.8+7)*3.25+4.445*3)*0.3,2)</f>
        <v>40.659999999999997</v>
      </c>
      <c r="G73" s="3"/>
      <c r="H73" s="58"/>
      <c r="I73" s="23"/>
      <c r="J73" s="39"/>
      <c r="K73" s="43"/>
      <c r="L73" s="24"/>
      <c r="M73" s="54"/>
      <c r="N73" s="54"/>
    </row>
    <row r="74" spans="1:14" s="22" customFormat="1" ht="33.75" x14ac:dyDescent="0.2">
      <c r="A74" s="56"/>
      <c r="B74" s="3"/>
      <c r="C74" s="3"/>
      <c r="D74" s="59" t="s">
        <v>242</v>
      </c>
      <c r="E74" s="77"/>
      <c r="F74" s="57">
        <f>ROUND(-(2*2.4*1.1+1.8*2.4+2*1.8*1.5+2.4*0.75+4*1.2*0.75+0.6*2)*0.3,2)</f>
        <v>-6.48</v>
      </c>
      <c r="G74" s="3"/>
      <c r="H74" s="58"/>
      <c r="I74" s="23"/>
      <c r="J74" s="39"/>
      <c r="K74" s="43"/>
      <c r="L74" s="24"/>
      <c r="M74" s="54"/>
      <c r="N74" s="54"/>
    </row>
    <row r="75" spans="1:14" s="22" customFormat="1" x14ac:dyDescent="0.2">
      <c r="A75" s="56"/>
      <c r="B75" s="3"/>
      <c r="C75" s="3"/>
      <c r="D75" s="61" t="s">
        <v>26</v>
      </c>
      <c r="E75" s="62"/>
      <c r="F75" s="63">
        <f>SUM(F72:F74)</f>
        <v>34.179999999999993</v>
      </c>
      <c r="G75" s="3"/>
      <c r="H75" s="58"/>
      <c r="I75" s="23"/>
      <c r="J75" s="39"/>
      <c r="K75" s="43"/>
      <c r="L75" s="24"/>
      <c r="M75" s="54"/>
      <c r="N75" s="54"/>
    </row>
    <row r="76" spans="1:14" s="22" customFormat="1" x14ac:dyDescent="0.25">
      <c r="A76" s="88">
        <f>A71+1</f>
        <v>21</v>
      </c>
      <c r="B76" s="89" t="s">
        <v>29</v>
      </c>
      <c r="C76" s="90">
        <v>317165102</v>
      </c>
      <c r="D76" s="90" t="s">
        <v>207</v>
      </c>
      <c r="E76" s="89" t="s">
        <v>19</v>
      </c>
      <c r="F76" s="91">
        <f>F78</f>
        <v>5</v>
      </c>
      <c r="G76" s="92"/>
      <c r="H76" s="71">
        <f>ROUND(F76*G76,2)</f>
        <v>0</v>
      </c>
      <c r="I76" s="41"/>
      <c r="J76" s="42">
        <v>3</v>
      </c>
      <c r="K76" s="43">
        <f>ROUND(F76*0.125*0.25*1.25*0.75,3)</f>
        <v>0.14599999999999999</v>
      </c>
      <c r="L76" s="24"/>
      <c r="M76" s="54"/>
      <c r="N76" s="54"/>
    </row>
    <row r="77" spans="1:14" s="22" customFormat="1" x14ac:dyDescent="0.2">
      <c r="A77" s="56"/>
      <c r="B77" s="3"/>
      <c r="C77" s="3"/>
      <c r="D77" s="104" t="s">
        <v>208</v>
      </c>
      <c r="E77" s="77"/>
      <c r="F77" s="57">
        <v>5</v>
      </c>
      <c r="G77" s="3"/>
      <c r="H77" s="58"/>
      <c r="I77" s="23"/>
      <c r="J77" s="39"/>
      <c r="K77" s="43"/>
      <c r="L77" s="24"/>
      <c r="M77" s="54"/>
      <c r="N77" s="54"/>
    </row>
    <row r="78" spans="1:14" s="22" customFormat="1" x14ac:dyDescent="0.2">
      <c r="A78" s="56"/>
      <c r="B78" s="3"/>
      <c r="C78" s="3"/>
      <c r="D78" s="61" t="s">
        <v>26</v>
      </c>
      <c r="E78" s="62"/>
      <c r="F78" s="63">
        <f>SUM(F77:F77)</f>
        <v>5</v>
      </c>
      <c r="G78" s="3"/>
      <c r="H78" s="58"/>
      <c r="I78" s="23"/>
      <c r="J78" s="39"/>
      <c r="K78" s="43"/>
      <c r="L78" s="24"/>
      <c r="M78" s="54"/>
      <c r="N78" s="54"/>
    </row>
    <row r="79" spans="1:14" s="22" customFormat="1" x14ac:dyDescent="0.25">
      <c r="A79" s="88">
        <f>A76+1</f>
        <v>22</v>
      </c>
      <c r="B79" s="89" t="s">
        <v>29</v>
      </c>
      <c r="C79" s="90">
        <v>317165221</v>
      </c>
      <c r="D79" s="90" t="s">
        <v>214</v>
      </c>
      <c r="E79" s="89" t="s">
        <v>19</v>
      </c>
      <c r="F79" s="91">
        <f>SUM(F80)</f>
        <v>1</v>
      </c>
      <c r="G79" s="92"/>
      <c r="H79" s="71">
        <f>ROUND(F79*G79,2)</f>
        <v>0</v>
      </c>
      <c r="I79" s="41"/>
      <c r="J79" s="42">
        <v>3</v>
      </c>
      <c r="K79" s="43">
        <f>ROUND(F79*0.125*0.3*1.25*0.75,3)</f>
        <v>3.5000000000000003E-2</v>
      </c>
      <c r="L79" s="24"/>
      <c r="M79" s="54"/>
      <c r="N79" s="54"/>
    </row>
    <row r="80" spans="1:14" s="22" customFormat="1" x14ac:dyDescent="0.2">
      <c r="A80" s="56"/>
      <c r="B80" s="3"/>
      <c r="C80" s="3"/>
      <c r="D80" s="104" t="s">
        <v>209</v>
      </c>
      <c r="E80" s="77"/>
      <c r="F80" s="57">
        <v>1</v>
      </c>
      <c r="G80" s="3"/>
      <c r="H80" s="58"/>
      <c r="I80" s="23"/>
      <c r="J80" s="39"/>
      <c r="K80" s="43"/>
      <c r="L80" s="24"/>
      <c r="M80" s="54"/>
      <c r="N80" s="54"/>
    </row>
    <row r="81" spans="1:14" s="22" customFormat="1" x14ac:dyDescent="0.2">
      <c r="A81" s="56"/>
      <c r="B81" s="3"/>
      <c r="C81" s="3"/>
      <c r="D81" s="61" t="s">
        <v>26</v>
      </c>
      <c r="E81" s="62"/>
      <c r="F81" s="63">
        <f>SUM(F80:F80)</f>
        <v>1</v>
      </c>
      <c r="G81" s="3"/>
      <c r="H81" s="58"/>
      <c r="I81" s="23"/>
      <c r="J81" s="39"/>
      <c r="K81" s="43"/>
      <c r="L81" s="24"/>
      <c r="M81" s="54"/>
      <c r="N81" s="54"/>
    </row>
    <row r="82" spans="1:14" s="22" customFormat="1" x14ac:dyDescent="0.25">
      <c r="A82" s="88">
        <f>A79+1</f>
        <v>23</v>
      </c>
      <c r="B82" s="89" t="s">
        <v>29</v>
      </c>
      <c r="C82" s="90">
        <v>317165222</v>
      </c>
      <c r="D82" s="90" t="s">
        <v>215</v>
      </c>
      <c r="E82" s="89" t="s">
        <v>19</v>
      </c>
      <c r="F82" s="91">
        <f>SUM(F83)</f>
        <v>2</v>
      </c>
      <c r="G82" s="92"/>
      <c r="H82" s="71">
        <f>ROUND(F82*G82,2)</f>
        <v>0</v>
      </c>
      <c r="I82" s="41"/>
      <c r="J82" s="42">
        <v>3</v>
      </c>
      <c r="K82" s="43">
        <f>ROUND(F82*0.125*0.3*1.5*0.75,3)</f>
        <v>8.4000000000000005E-2</v>
      </c>
      <c r="L82" s="24"/>
      <c r="M82" s="54"/>
      <c r="N82" s="54"/>
    </row>
    <row r="83" spans="1:14" s="22" customFormat="1" x14ac:dyDescent="0.2">
      <c r="A83" s="56"/>
      <c r="B83" s="3"/>
      <c r="C83" s="3"/>
      <c r="D83" s="104" t="s">
        <v>210</v>
      </c>
      <c r="E83" s="77"/>
      <c r="F83" s="57">
        <v>2</v>
      </c>
      <c r="G83" s="3"/>
      <c r="H83" s="58"/>
      <c r="I83" s="23"/>
      <c r="J83" s="39"/>
      <c r="K83" s="43"/>
      <c r="L83" s="24"/>
      <c r="M83" s="54"/>
      <c r="N83" s="54"/>
    </row>
    <row r="84" spans="1:14" s="22" customFormat="1" x14ac:dyDescent="0.2">
      <c r="A84" s="56"/>
      <c r="B84" s="3"/>
      <c r="C84" s="3"/>
      <c r="D84" s="61" t="s">
        <v>26</v>
      </c>
      <c r="E84" s="62"/>
      <c r="F84" s="63">
        <f>SUM(F83:F83)</f>
        <v>2</v>
      </c>
      <c r="G84" s="3"/>
      <c r="H84" s="58"/>
      <c r="I84" s="23"/>
      <c r="J84" s="39"/>
      <c r="K84" s="43"/>
      <c r="L84" s="24"/>
      <c r="M84" s="54"/>
      <c r="N84" s="54"/>
    </row>
    <row r="85" spans="1:14" s="22" customFormat="1" x14ac:dyDescent="0.25">
      <c r="A85" s="88">
        <f>A82+1</f>
        <v>24</v>
      </c>
      <c r="B85" s="89" t="s">
        <v>29</v>
      </c>
      <c r="C85" s="90">
        <v>317165223</v>
      </c>
      <c r="D85" s="90" t="s">
        <v>216</v>
      </c>
      <c r="E85" s="89" t="s">
        <v>19</v>
      </c>
      <c r="F85" s="91">
        <f>SUM(F86)</f>
        <v>4</v>
      </c>
      <c r="G85" s="92"/>
      <c r="H85" s="71">
        <f>ROUND(F85*G85,2)</f>
        <v>0</v>
      </c>
      <c r="I85" s="41"/>
      <c r="J85" s="42">
        <v>3</v>
      </c>
      <c r="K85" s="43">
        <f>ROUND(F85*0.125*0.3*1.75*0.75,3)</f>
        <v>0.19700000000000001</v>
      </c>
      <c r="L85" s="24"/>
      <c r="M85" s="54"/>
      <c r="N85" s="54"/>
    </row>
    <row r="86" spans="1:14" s="22" customFormat="1" x14ac:dyDescent="0.2">
      <c r="A86" s="56"/>
      <c r="B86" s="3"/>
      <c r="C86" s="3"/>
      <c r="D86" s="104" t="s">
        <v>211</v>
      </c>
      <c r="E86" s="77"/>
      <c r="F86" s="57">
        <v>4</v>
      </c>
      <c r="G86" s="3"/>
      <c r="H86" s="58"/>
      <c r="I86" s="23"/>
      <c r="J86" s="39"/>
      <c r="K86" s="43"/>
      <c r="L86" s="24"/>
      <c r="M86" s="54"/>
      <c r="N86" s="54"/>
    </row>
    <row r="87" spans="1:14" s="22" customFormat="1" x14ac:dyDescent="0.2">
      <c r="A87" s="56"/>
      <c r="B87" s="3"/>
      <c r="C87" s="3"/>
      <c r="D87" s="61" t="s">
        <v>26</v>
      </c>
      <c r="E87" s="62"/>
      <c r="F87" s="63">
        <f>SUM(F86:F86)</f>
        <v>4</v>
      </c>
      <c r="G87" s="3"/>
      <c r="H87" s="58"/>
      <c r="I87" s="23"/>
      <c r="J87" s="39"/>
      <c r="K87" s="43"/>
      <c r="L87" s="24"/>
      <c r="M87" s="54"/>
      <c r="N87" s="54"/>
    </row>
    <row r="88" spans="1:14" s="22" customFormat="1" x14ac:dyDescent="0.25">
      <c r="A88" s="88">
        <f>A85+1</f>
        <v>25</v>
      </c>
      <c r="B88" s="89" t="s">
        <v>29</v>
      </c>
      <c r="C88" s="90">
        <v>317165225</v>
      </c>
      <c r="D88" s="90" t="s">
        <v>217</v>
      </c>
      <c r="E88" s="89" t="s">
        <v>19</v>
      </c>
      <c r="F88" s="91">
        <f>SUM(F89)</f>
        <v>3</v>
      </c>
      <c r="G88" s="92"/>
      <c r="H88" s="71">
        <f>ROUND(F88*G88,2)</f>
        <v>0</v>
      </c>
      <c r="I88" s="41"/>
      <c r="J88" s="42">
        <v>3</v>
      </c>
      <c r="K88" s="43">
        <f>ROUND(F88*0.125*0.3*2.25*0.75,3)</f>
        <v>0.19</v>
      </c>
      <c r="L88" s="24"/>
      <c r="M88" s="54"/>
      <c r="N88" s="54"/>
    </row>
    <row r="89" spans="1:14" s="22" customFormat="1" x14ac:dyDescent="0.2">
      <c r="A89" s="56"/>
      <c r="B89" s="3"/>
      <c r="C89" s="3"/>
      <c r="D89" s="104" t="s">
        <v>212</v>
      </c>
      <c r="E89" s="77"/>
      <c r="F89" s="57">
        <v>3</v>
      </c>
      <c r="G89" s="3"/>
      <c r="H89" s="58"/>
      <c r="I89" s="23"/>
      <c r="J89" s="39"/>
      <c r="K89" s="43"/>
      <c r="L89" s="24"/>
      <c r="M89" s="54"/>
      <c r="N89" s="54"/>
    </row>
    <row r="90" spans="1:14" s="22" customFormat="1" x14ac:dyDescent="0.2">
      <c r="A90" s="56"/>
      <c r="B90" s="3"/>
      <c r="C90" s="3"/>
      <c r="D90" s="61" t="s">
        <v>26</v>
      </c>
      <c r="E90" s="62"/>
      <c r="F90" s="63">
        <f>SUM(F89:F89)</f>
        <v>3</v>
      </c>
      <c r="G90" s="3"/>
      <c r="H90" s="58"/>
      <c r="I90" s="23"/>
      <c r="J90" s="39"/>
      <c r="K90" s="43"/>
      <c r="L90" s="24"/>
      <c r="M90" s="54"/>
      <c r="N90" s="54"/>
    </row>
    <row r="91" spans="1:14" s="22" customFormat="1" x14ac:dyDescent="0.25">
      <c r="A91" s="88">
        <f>A88+1</f>
        <v>26</v>
      </c>
      <c r="B91" s="89" t="s">
        <v>29</v>
      </c>
      <c r="C91" s="90">
        <v>317165129</v>
      </c>
      <c r="D91" s="90" t="s">
        <v>218</v>
      </c>
      <c r="E91" s="89" t="s">
        <v>19</v>
      </c>
      <c r="F91" s="91">
        <f>SUM(F92)</f>
        <v>2</v>
      </c>
      <c r="G91" s="92"/>
      <c r="H91" s="71">
        <f>ROUND(F91*G91,2)</f>
        <v>0</v>
      </c>
      <c r="I91" s="41"/>
      <c r="J91" s="42">
        <v>3</v>
      </c>
      <c r="K91" s="43">
        <f>ROUND(F91*0.125*0.15*3*0.75,3)</f>
        <v>8.4000000000000005E-2</v>
      </c>
      <c r="L91" s="24"/>
      <c r="M91" s="54"/>
      <c r="N91" s="54"/>
    </row>
    <row r="92" spans="1:14" s="22" customFormat="1" x14ac:dyDescent="0.2">
      <c r="A92" s="56"/>
      <c r="B92" s="3"/>
      <c r="C92" s="3"/>
      <c r="D92" s="104" t="s">
        <v>213</v>
      </c>
      <c r="E92" s="77"/>
      <c r="F92" s="57">
        <v>2</v>
      </c>
      <c r="G92" s="3"/>
      <c r="H92" s="58"/>
      <c r="I92" s="23"/>
      <c r="J92" s="39"/>
      <c r="K92" s="43"/>
      <c r="L92" s="24"/>
      <c r="M92" s="54"/>
      <c r="N92" s="54"/>
    </row>
    <row r="93" spans="1:14" s="22" customFormat="1" x14ac:dyDescent="0.2">
      <c r="A93" s="56"/>
      <c r="B93" s="3"/>
      <c r="C93" s="3"/>
      <c r="D93" s="61" t="s">
        <v>26</v>
      </c>
      <c r="E93" s="62"/>
      <c r="F93" s="63">
        <f>SUM(F92:F92)</f>
        <v>2</v>
      </c>
      <c r="G93" s="3"/>
      <c r="H93" s="58"/>
      <c r="I93" s="23"/>
      <c r="J93" s="39"/>
      <c r="K93" s="43"/>
      <c r="L93" s="24"/>
      <c r="M93" s="54"/>
      <c r="N93" s="54"/>
    </row>
    <row r="94" spans="1:14" s="22" customFormat="1" x14ac:dyDescent="0.25">
      <c r="A94" s="88">
        <f>A91+1</f>
        <v>27</v>
      </c>
      <c r="B94" s="89" t="s">
        <v>29</v>
      </c>
      <c r="C94" s="90">
        <v>342272103</v>
      </c>
      <c r="D94" s="90" t="s">
        <v>205</v>
      </c>
      <c r="E94" s="89" t="s">
        <v>13</v>
      </c>
      <c r="F94" s="91">
        <f>SUM(F96)</f>
        <v>76.040000000000006</v>
      </c>
      <c r="G94" s="92"/>
      <c r="H94" s="71">
        <f>ROUND(F94*G94,2)</f>
        <v>0</v>
      </c>
      <c r="I94" s="41"/>
      <c r="J94" s="42">
        <v>3</v>
      </c>
      <c r="K94" s="43">
        <f>ROUND(F94*1.6*0.15,3)</f>
        <v>18.25</v>
      </c>
      <c r="L94" s="24"/>
      <c r="M94" s="54"/>
      <c r="N94" s="54"/>
    </row>
    <row r="95" spans="1:14" s="22" customFormat="1" ht="22.5" x14ac:dyDescent="0.2">
      <c r="A95" s="56"/>
      <c r="B95" s="3"/>
      <c r="C95" s="3"/>
      <c r="D95" s="59" t="s">
        <v>206</v>
      </c>
      <c r="E95" s="77"/>
      <c r="F95" s="57">
        <f>ROUND((6.4+1.8+7.3+2*1.83+1.4+2.92+4)*3-(0.8*2+4*0.6*2),2)</f>
        <v>76.040000000000006</v>
      </c>
      <c r="G95" s="3"/>
      <c r="H95" s="58"/>
      <c r="I95" s="23"/>
      <c r="J95" s="39"/>
      <c r="K95" s="43"/>
      <c r="L95" s="24"/>
      <c r="M95" s="54"/>
      <c r="N95" s="54"/>
    </row>
    <row r="96" spans="1:14" s="22" customFormat="1" x14ac:dyDescent="0.2">
      <c r="A96" s="56"/>
      <c r="B96" s="3"/>
      <c r="C96" s="3"/>
      <c r="D96" s="61" t="s">
        <v>26</v>
      </c>
      <c r="E96" s="62"/>
      <c r="F96" s="63">
        <f>SUM(F95:F95)</f>
        <v>76.040000000000006</v>
      </c>
      <c r="G96" s="3"/>
      <c r="H96" s="58"/>
      <c r="I96" s="23"/>
      <c r="J96" s="39"/>
      <c r="K96" s="43"/>
      <c r="L96" s="24"/>
      <c r="M96" s="54"/>
      <c r="N96" s="54"/>
    </row>
    <row r="97" spans="1:14" s="22" customFormat="1" ht="21" customHeight="1" x14ac:dyDescent="0.25">
      <c r="A97" s="4"/>
      <c r="B97" s="4"/>
      <c r="C97" s="5">
        <v>4</v>
      </c>
      <c r="D97" s="5" t="s">
        <v>18</v>
      </c>
      <c r="E97" s="7"/>
      <c r="F97" s="8"/>
      <c r="G97" s="4"/>
      <c r="H97" s="66">
        <f>SUM(H98:H116)</f>
        <v>0</v>
      </c>
      <c r="I97" s="45"/>
      <c r="J97" s="42">
        <v>4</v>
      </c>
      <c r="K97" s="50"/>
      <c r="L97" s="24"/>
      <c r="M97" s="54"/>
      <c r="N97" s="54"/>
    </row>
    <row r="98" spans="1:14" s="22" customFormat="1" ht="36" x14ac:dyDescent="0.25">
      <c r="A98" s="88">
        <f>A94+1</f>
        <v>28</v>
      </c>
      <c r="B98" s="89" t="s">
        <v>29</v>
      </c>
      <c r="C98" s="90">
        <v>411162820</v>
      </c>
      <c r="D98" s="90" t="s">
        <v>237</v>
      </c>
      <c r="E98" s="89" t="s">
        <v>13</v>
      </c>
      <c r="F98" s="91">
        <f>F100</f>
        <v>71.7</v>
      </c>
      <c r="G98" s="92"/>
      <c r="H98" s="71">
        <f>ROUND(F98*G98,2)</f>
        <v>0</v>
      </c>
      <c r="I98" s="41"/>
      <c r="J98" s="42">
        <v>4</v>
      </c>
      <c r="K98" s="43">
        <f>ROUND(F98*0.25*2.4,3)</f>
        <v>43.02</v>
      </c>
      <c r="L98" s="24"/>
      <c r="M98" s="54"/>
      <c r="N98" s="54"/>
    </row>
    <row r="99" spans="1:14" s="22" customFormat="1" x14ac:dyDescent="0.2">
      <c r="A99" s="56"/>
      <c r="B99" s="3"/>
      <c r="C99" s="3"/>
      <c r="D99" s="59" t="s">
        <v>239</v>
      </c>
      <c r="E99" s="77"/>
      <c r="F99" s="57">
        <f>ROUND(11.2*6.4,1)</f>
        <v>71.7</v>
      </c>
      <c r="G99" s="3"/>
      <c r="H99" s="58"/>
      <c r="I99" s="23"/>
      <c r="J99" s="39"/>
      <c r="K99" s="43"/>
      <c r="L99" s="24"/>
      <c r="M99" s="54"/>
      <c r="N99" s="54"/>
    </row>
    <row r="100" spans="1:14" s="22" customFormat="1" x14ac:dyDescent="0.2">
      <c r="A100" s="56"/>
      <c r="B100" s="3"/>
      <c r="C100" s="3"/>
      <c r="D100" s="61" t="s">
        <v>26</v>
      </c>
      <c r="E100" s="62"/>
      <c r="F100" s="63">
        <f>SUM(F99:F99)</f>
        <v>71.7</v>
      </c>
      <c r="G100" s="3"/>
      <c r="H100" s="58"/>
      <c r="I100" s="23"/>
      <c r="J100" s="39"/>
      <c r="K100" s="43"/>
      <c r="L100" s="24"/>
      <c r="M100" s="54"/>
      <c r="N100" s="54"/>
    </row>
    <row r="101" spans="1:14" s="22" customFormat="1" ht="24" x14ac:dyDescent="0.25">
      <c r="A101" s="88">
        <f>A98+1</f>
        <v>29</v>
      </c>
      <c r="B101" s="89" t="s">
        <v>29</v>
      </c>
      <c r="C101" s="90" t="s">
        <v>72</v>
      </c>
      <c r="D101" s="90" t="s">
        <v>266</v>
      </c>
      <c r="E101" s="89" t="s">
        <v>15</v>
      </c>
      <c r="F101" s="91">
        <f>SUM(F103)</f>
        <v>0.45400000000000001</v>
      </c>
      <c r="G101" s="92"/>
      <c r="H101" s="71">
        <f>ROUND(F101*G101,2)</f>
        <v>0</v>
      </c>
      <c r="I101" s="23"/>
      <c r="J101" s="42">
        <v>4</v>
      </c>
      <c r="K101" s="43">
        <f>F101</f>
        <v>0.45400000000000001</v>
      </c>
      <c r="L101" s="24"/>
      <c r="M101" s="54"/>
      <c r="N101" s="54"/>
    </row>
    <row r="102" spans="1:14" s="22" customFormat="1" x14ac:dyDescent="0.2">
      <c r="A102" s="56"/>
      <c r="B102" s="3"/>
      <c r="C102" s="3"/>
      <c r="D102" s="104" t="s">
        <v>269</v>
      </c>
      <c r="E102" s="77"/>
      <c r="F102" s="57">
        <f>454/1000</f>
        <v>0.45400000000000001</v>
      </c>
      <c r="G102" s="3"/>
      <c r="H102" s="58"/>
      <c r="I102" s="23"/>
      <c r="J102" s="39"/>
      <c r="K102" s="43"/>
      <c r="L102" s="24"/>
      <c r="M102" s="54"/>
      <c r="N102" s="54"/>
    </row>
    <row r="103" spans="1:14" s="22" customFormat="1" x14ac:dyDescent="0.2">
      <c r="A103" s="56"/>
      <c r="B103" s="3"/>
      <c r="C103" s="3"/>
      <c r="D103" s="61" t="s">
        <v>26</v>
      </c>
      <c r="E103" s="62"/>
      <c r="F103" s="63">
        <f>SUM(F102:F102)</f>
        <v>0.45400000000000001</v>
      </c>
      <c r="G103" s="3"/>
      <c r="H103" s="58"/>
      <c r="I103" s="23"/>
      <c r="J103" s="39"/>
      <c r="K103" s="43"/>
      <c r="L103" s="24"/>
      <c r="M103" s="54"/>
      <c r="N103" s="54"/>
    </row>
    <row r="104" spans="1:14" s="22" customFormat="1" ht="36" x14ac:dyDescent="0.25">
      <c r="A104" s="88">
        <f>A101+1</f>
        <v>30</v>
      </c>
      <c r="B104" s="89" t="s">
        <v>29</v>
      </c>
      <c r="C104" s="90" t="s">
        <v>267</v>
      </c>
      <c r="D104" s="90" t="s">
        <v>268</v>
      </c>
      <c r="E104" s="89" t="s">
        <v>15</v>
      </c>
      <c r="F104" s="91">
        <f>SUM(F106)</f>
        <v>0.53100000000000003</v>
      </c>
      <c r="G104" s="92"/>
      <c r="H104" s="71">
        <f>ROUND(F104*G104,2)</f>
        <v>0</v>
      </c>
      <c r="I104" s="23"/>
      <c r="J104" s="42">
        <v>4</v>
      </c>
      <c r="K104" s="43">
        <f>F104</f>
        <v>0.53100000000000003</v>
      </c>
      <c r="L104" s="24"/>
      <c r="M104" s="54"/>
      <c r="N104" s="54"/>
    </row>
    <row r="105" spans="1:14" s="22" customFormat="1" x14ac:dyDescent="0.2">
      <c r="A105" s="56"/>
      <c r="B105" s="3"/>
      <c r="C105" s="3"/>
      <c r="D105" s="104" t="s">
        <v>270</v>
      </c>
      <c r="E105" s="77"/>
      <c r="F105" s="57">
        <f>531/1000</f>
        <v>0.53100000000000003</v>
      </c>
      <c r="G105" s="3"/>
      <c r="H105" s="58"/>
      <c r="I105" s="23"/>
      <c r="J105" s="39"/>
      <c r="K105" s="43"/>
      <c r="L105" s="24"/>
      <c r="M105" s="54"/>
      <c r="N105" s="54"/>
    </row>
    <row r="106" spans="1:14" s="22" customFormat="1" x14ac:dyDescent="0.2">
      <c r="A106" s="56"/>
      <c r="B106" s="3"/>
      <c r="C106" s="3"/>
      <c r="D106" s="61" t="s">
        <v>26</v>
      </c>
      <c r="E106" s="62"/>
      <c r="F106" s="63">
        <f>SUM(F105:F105)</f>
        <v>0.53100000000000003</v>
      </c>
      <c r="G106" s="3"/>
      <c r="H106" s="58"/>
      <c r="I106" s="23"/>
      <c r="J106" s="39"/>
      <c r="K106" s="43"/>
      <c r="L106" s="24"/>
      <c r="M106" s="54"/>
      <c r="N106" s="54"/>
    </row>
    <row r="107" spans="1:14" s="22" customFormat="1" ht="24" x14ac:dyDescent="0.25">
      <c r="A107" s="88">
        <f>A104+1</f>
        <v>31</v>
      </c>
      <c r="B107" s="89" t="s">
        <v>29</v>
      </c>
      <c r="C107" s="90" t="s">
        <v>95</v>
      </c>
      <c r="D107" s="90" t="s">
        <v>97</v>
      </c>
      <c r="E107" s="89" t="s">
        <v>12</v>
      </c>
      <c r="F107" s="91">
        <f>F109</f>
        <v>5.46</v>
      </c>
      <c r="G107" s="92"/>
      <c r="H107" s="71">
        <f>ROUND(F107*G107,2)</f>
        <v>0</v>
      </c>
      <c r="I107" s="41"/>
      <c r="J107" s="42">
        <v>4</v>
      </c>
      <c r="K107" s="43">
        <f>ROUND(F107*2.4,3)</f>
        <v>13.103999999999999</v>
      </c>
      <c r="L107" s="24"/>
      <c r="M107" s="54"/>
      <c r="N107" s="54"/>
    </row>
    <row r="108" spans="1:14" s="22" customFormat="1" x14ac:dyDescent="0.2">
      <c r="A108" s="56"/>
      <c r="B108" s="3"/>
      <c r="C108" s="3"/>
      <c r="D108" s="59" t="s">
        <v>238</v>
      </c>
      <c r="E108" s="77"/>
      <c r="F108" s="57">
        <f>ROUND(2*2*(11.8+6.4)*0.3*0.25,2)</f>
        <v>5.46</v>
      </c>
      <c r="G108" s="3"/>
      <c r="H108" s="58"/>
      <c r="I108" s="23"/>
      <c r="J108" s="39"/>
      <c r="K108" s="43"/>
      <c r="L108" s="24"/>
      <c r="M108" s="54"/>
      <c r="N108" s="54"/>
    </row>
    <row r="109" spans="1:14" s="22" customFormat="1" x14ac:dyDescent="0.2">
      <c r="A109" s="56"/>
      <c r="B109" s="3"/>
      <c r="C109" s="3"/>
      <c r="D109" s="61" t="s">
        <v>26</v>
      </c>
      <c r="E109" s="62"/>
      <c r="F109" s="63">
        <f>SUM(F108:F108)</f>
        <v>5.46</v>
      </c>
      <c r="G109" s="3"/>
      <c r="H109" s="58"/>
      <c r="I109" s="23"/>
      <c r="J109" s="39"/>
      <c r="K109" s="43"/>
      <c r="L109" s="24"/>
      <c r="M109" s="54"/>
      <c r="N109" s="54"/>
    </row>
    <row r="110" spans="1:14" s="22" customFormat="1" ht="24" x14ac:dyDescent="0.25">
      <c r="A110" s="88">
        <f>A107+1</f>
        <v>32</v>
      </c>
      <c r="B110" s="89" t="s">
        <v>29</v>
      </c>
      <c r="C110" s="90" t="s">
        <v>33</v>
      </c>
      <c r="D110" s="90" t="s">
        <v>98</v>
      </c>
      <c r="E110" s="89" t="s">
        <v>13</v>
      </c>
      <c r="F110" s="91">
        <f>F112</f>
        <v>36.4</v>
      </c>
      <c r="G110" s="92"/>
      <c r="H110" s="71">
        <f>ROUND(F110*G110,2)</f>
        <v>0</v>
      </c>
      <c r="I110" s="41"/>
      <c r="J110" s="42">
        <v>4</v>
      </c>
      <c r="K110" s="43">
        <f>ROUND(F110*0.012,3)</f>
        <v>0.437</v>
      </c>
      <c r="L110" s="24"/>
      <c r="M110" s="54"/>
      <c r="N110" s="54"/>
    </row>
    <row r="111" spans="1:14" s="22" customFormat="1" x14ac:dyDescent="0.2">
      <c r="A111" s="56"/>
      <c r="B111" s="3"/>
      <c r="C111" s="3"/>
      <c r="D111" s="59" t="s">
        <v>241</v>
      </c>
      <c r="E111" s="77"/>
      <c r="F111" s="57">
        <f>ROUND(2*2*2*(11.8+6.4)*0.25,2)</f>
        <v>36.4</v>
      </c>
      <c r="G111" s="3"/>
      <c r="H111" s="58"/>
      <c r="I111" s="23"/>
      <c r="J111" s="39"/>
      <c r="K111" s="43"/>
      <c r="L111" s="24"/>
      <c r="M111" s="54"/>
      <c r="N111" s="54"/>
    </row>
    <row r="112" spans="1:14" s="22" customFormat="1" x14ac:dyDescent="0.2">
      <c r="A112" s="56"/>
      <c r="B112" s="3"/>
      <c r="C112" s="3"/>
      <c r="D112" s="61" t="s">
        <v>26</v>
      </c>
      <c r="E112" s="62"/>
      <c r="F112" s="63">
        <f>SUM(F111:F111)</f>
        <v>36.4</v>
      </c>
      <c r="G112" s="3"/>
      <c r="H112" s="58"/>
      <c r="I112" s="23"/>
      <c r="J112" s="39"/>
      <c r="K112" s="43"/>
      <c r="L112" s="24"/>
      <c r="M112" s="54"/>
      <c r="N112" s="54"/>
    </row>
    <row r="113" spans="1:14" s="22" customFormat="1" ht="24" x14ac:dyDescent="0.25">
      <c r="A113" s="88">
        <f>A110+1</f>
        <v>33</v>
      </c>
      <c r="B113" s="89" t="s">
        <v>29</v>
      </c>
      <c r="C113" s="90" t="s">
        <v>34</v>
      </c>
      <c r="D113" s="90" t="s">
        <v>99</v>
      </c>
      <c r="E113" s="89" t="s">
        <v>13</v>
      </c>
      <c r="F113" s="91">
        <f>F110</f>
        <v>36.4</v>
      </c>
      <c r="G113" s="92"/>
      <c r="H113" s="71">
        <f>ROUND(F113*G113,2)</f>
        <v>0</v>
      </c>
      <c r="I113" s="41"/>
      <c r="J113" s="42">
        <v>4</v>
      </c>
      <c r="K113" s="43">
        <f>ROUND(F113*0.012,3)</f>
        <v>0.437</v>
      </c>
      <c r="L113" s="24"/>
      <c r="M113" s="54"/>
      <c r="N113" s="54"/>
    </row>
    <row r="114" spans="1:14" s="22" customFormat="1" ht="24" x14ac:dyDescent="0.25">
      <c r="A114" s="88">
        <f>A113+1</f>
        <v>34</v>
      </c>
      <c r="B114" s="89" t="s">
        <v>29</v>
      </c>
      <c r="C114" s="90" t="s">
        <v>73</v>
      </c>
      <c r="D114" s="90" t="s">
        <v>96</v>
      </c>
      <c r="E114" s="89" t="s">
        <v>15</v>
      </c>
      <c r="F114" s="91">
        <f>SUM(F116)</f>
        <v>0.44</v>
      </c>
      <c r="G114" s="92"/>
      <c r="H114" s="71">
        <f>ROUND(F114*G114,2)</f>
        <v>0</v>
      </c>
      <c r="I114" s="23" t="s">
        <v>71</v>
      </c>
      <c r="J114" s="42">
        <v>4</v>
      </c>
      <c r="K114" s="43">
        <f>F114</f>
        <v>0.44</v>
      </c>
      <c r="L114" s="24"/>
      <c r="M114" s="54"/>
      <c r="N114" s="54"/>
    </row>
    <row r="115" spans="1:14" s="22" customFormat="1" x14ac:dyDescent="0.2">
      <c r="A115" s="56"/>
      <c r="B115" s="3"/>
      <c r="C115" s="3"/>
      <c r="D115" s="104" t="s">
        <v>240</v>
      </c>
      <c r="E115" s="77"/>
      <c r="F115" s="57">
        <f>ROUND(5.46*80/1000,2)</f>
        <v>0.44</v>
      </c>
      <c r="G115" s="3"/>
      <c r="H115" s="58"/>
      <c r="I115" s="23"/>
      <c r="J115" s="39"/>
      <c r="K115" s="43"/>
      <c r="L115" s="24"/>
      <c r="M115" s="54"/>
      <c r="N115" s="54"/>
    </row>
    <row r="116" spans="1:14" s="22" customFormat="1" x14ac:dyDescent="0.2">
      <c r="A116" s="56"/>
      <c r="B116" s="3"/>
      <c r="C116" s="3"/>
      <c r="D116" s="61" t="s">
        <v>26</v>
      </c>
      <c r="E116" s="62"/>
      <c r="F116" s="63">
        <f>SUM(F115:F115)</f>
        <v>0.44</v>
      </c>
      <c r="G116" s="3"/>
      <c r="H116" s="58"/>
      <c r="I116" s="23"/>
      <c r="J116" s="39"/>
      <c r="K116" s="43"/>
      <c r="L116" s="24"/>
      <c r="M116" s="54"/>
      <c r="N116" s="54"/>
    </row>
    <row r="117" spans="1:14" s="22" customFormat="1" ht="21" customHeight="1" x14ac:dyDescent="0.25">
      <c r="A117" s="4"/>
      <c r="B117" s="4"/>
      <c r="C117" s="5">
        <v>5</v>
      </c>
      <c r="D117" s="5" t="s">
        <v>52</v>
      </c>
      <c r="E117" s="7"/>
      <c r="F117" s="8"/>
      <c r="G117" s="4"/>
      <c r="H117" s="66">
        <f>SUM(H118:H127)</f>
        <v>0</v>
      </c>
      <c r="I117" s="45"/>
      <c r="J117" s="42">
        <v>6</v>
      </c>
      <c r="K117" s="50"/>
      <c r="L117" s="24"/>
      <c r="M117" s="54"/>
      <c r="N117" s="54"/>
    </row>
    <row r="118" spans="1:14" s="22" customFormat="1" ht="24" x14ac:dyDescent="0.25">
      <c r="A118" s="88">
        <f>A114+1</f>
        <v>35</v>
      </c>
      <c r="B118" s="89" t="s">
        <v>29</v>
      </c>
      <c r="C118" s="90" t="s">
        <v>335</v>
      </c>
      <c r="D118" s="90" t="s">
        <v>223</v>
      </c>
      <c r="E118" s="89" t="s">
        <v>13</v>
      </c>
      <c r="F118" s="91">
        <f>F120</f>
        <v>10.63</v>
      </c>
      <c r="G118" s="92"/>
      <c r="H118" s="71">
        <f>ROUND(F118*G118,2)</f>
        <v>0</v>
      </c>
      <c r="I118" s="23"/>
      <c r="J118" s="42">
        <v>6</v>
      </c>
      <c r="K118" s="43">
        <f>ROUND(F118*0.1*1.8,3)</f>
        <v>1.913</v>
      </c>
      <c r="L118" s="24"/>
      <c r="M118" s="54"/>
      <c r="N118" s="54"/>
    </row>
    <row r="119" spans="1:14" s="22" customFormat="1" x14ac:dyDescent="0.2">
      <c r="A119" s="56"/>
      <c r="B119" s="3"/>
      <c r="C119" s="3"/>
      <c r="D119" s="59" t="s">
        <v>222</v>
      </c>
      <c r="E119" s="77"/>
      <c r="F119" s="57">
        <f>ROUND(0.5*(7.15+13.1+1),2)</f>
        <v>10.63</v>
      </c>
      <c r="G119" s="3"/>
      <c r="H119" s="58"/>
      <c r="I119" s="23"/>
      <c r="J119" s="39"/>
      <c r="K119" s="43"/>
      <c r="L119" s="24"/>
      <c r="M119" s="54"/>
      <c r="N119" s="54"/>
    </row>
    <row r="120" spans="1:14" s="22" customFormat="1" x14ac:dyDescent="0.2">
      <c r="A120" s="56"/>
      <c r="B120" s="3"/>
      <c r="C120" s="3"/>
      <c r="D120" s="61" t="s">
        <v>26</v>
      </c>
      <c r="E120" s="62"/>
      <c r="F120" s="63">
        <f>SUM(F119:F119)</f>
        <v>10.63</v>
      </c>
      <c r="G120" s="3"/>
      <c r="H120" s="58"/>
      <c r="I120" s="23"/>
      <c r="J120" s="39"/>
      <c r="K120" s="43"/>
      <c r="L120" s="24"/>
      <c r="M120" s="54"/>
      <c r="N120" s="54"/>
    </row>
    <row r="121" spans="1:14" s="22" customFormat="1" ht="36" x14ac:dyDescent="0.25">
      <c r="A121" s="88">
        <f>A118+1</f>
        <v>36</v>
      </c>
      <c r="B121" s="89" t="s">
        <v>29</v>
      </c>
      <c r="C121" s="90">
        <v>564251111</v>
      </c>
      <c r="D121" s="90" t="s">
        <v>221</v>
      </c>
      <c r="E121" s="89" t="s">
        <v>13</v>
      </c>
      <c r="F121" s="91">
        <f>F123</f>
        <v>10.63</v>
      </c>
      <c r="G121" s="92"/>
      <c r="H121" s="71">
        <f>ROUND(F121*G121,2)</f>
        <v>0</v>
      </c>
      <c r="I121" s="23"/>
      <c r="J121" s="42">
        <v>6</v>
      </c>
      <c r="K121" s="43">
        <f>ROUND(F121*0.15*1.8,3)</f>
        <v>2.87</v>
      </c>
      <c r="L121" s="24"/>
      <c r="M121" s="54"/>
      <c r="N121" s="54"/>
    </row>
    <row r="122" spans="1:14" s="22" customFormat="1" x14ac:dyDescent="0.2">
      <c r="A122" s="56"/>
      <c r="B122" s="3"/>
      <c r="C122" s="3"/>
      <c r="D122" s="59" t="s">
        <v>222</v>
      </c>
      <c r="E122" s="77"/>
      <c r="F122" s="57">
        <f>ROUND(0.5*(7.15+13.1+1),2)</f>
        <v>10.63</v>
      </c>
      <c r="G122" s="3"/>
      <c r="H122" s="58"/>
      <c r="I122" s="23"/>
      <c r="J122" s="39"/>
      <c r="K122" s="43"/>
      <c r="L122" s="24"/>
      <c r="M122" s="54"/>
      <c r="N122" s="54"/>
    </row>
    <row r="123" spans="1:14" s="22" customFormat="1" x14ac:dyDescent="0.2">
      <c r="A123" s="56"/>
      <c r="B123" s="3"/>
      <c r="C123" s="3"/>
      <c r="D123" s="61" t="s">
        <v>26</v>
      </c>
      <c r="E123" s="62"/>
      <c r="F123" s="63">
        <f>SUM(F122:F122)</f>
        <v>10.63</v>
      </c>
      <c r="G123" s="3"/>
      <c r="H123" s="58"/>
      <c r="I123" s="23"/>
      <c r="J123" s="39"/>
      <c r="K123" s="43"/>
      <c r="L123" s="24"/>
      <c r="M123" s="54"/>
      <c r="N123" s="54"/>
    </row>
    <row r="124" spans="1:14" s="22" customFormat="1" ht="36" x14ac:dyDescent="0.25">
      <c r="A124" s="88">
        <f>A121+1</f>
        <v>37</v>
      </c>
      <c r="B124" s="89" t="s">
        <v>29</v>
      </c>
      <c r="C124" s="90">
        <v>916561112</v>
      </c>
      <c r="D124" s="90" t="s">
        <v>119</v>
      </c>
      <c r="E124" s="89" t="s">
        <v>14</v>
      </c>
      <c r="F124" s="91">
        <f>F126</f>
        <v>22.3</v>
      </c>
      <c r="G124" s="92"/>
      <c r="H124" s="71">
        <f>ROUND(F124*G124,2)</f>
        <v>0</v>
      </c>
      <c r="I124" s="23"/>
      <c r="J124" s="42">
        <v>6</v>
      </c>
      <c r="K124" s="43"/>
      <c r="L124" s="24"/>
      <c r="M124" s="54"/>
      <c r="N124" s="54"/>
    </row>
    <row r="125" spans="1:14" s="22" customFormat="1" x14ac:dyDescent="0.2">
      <c r="A125" s="56"/>
      <c r="B125" s="3"/>
      <c r="C125" s="3"/>
      <c r="D125" s="106" t="s">
        <v>219</v>
      </c>
      <c r="E125" s="77"/>
      <c r="F125" s="57">
        <f>0.55+7.65+13.1+1</f>
        <v>22.3</v>
      </c>
      <c r="G125" s="3"/>
      <c r="H125" s="58"/>
      <c r="I125" s="23"/>
      <c r="J125" s="39"/>
      <c r="K125" s="43"/>
      <c r="L125" s="24"/>
      <c r="M125" s="54"/>
      <c r="N125" s="54"/>
    </row>
    <row r="126" spans="1:14" s="22" customFormat="1" x14ac:dyDescent="0.2">
      <c r="A126" s="56"/>
      <c r="B126" s="3"/>
      <c r="C126" s="3"/>
      <c r="D126" s="61" t="s">
        <v>26</v>
      </c>
      <c r="E126" s="62"/>
      <c r="F126" s="63">
        <f>SUM(F125:F125)</f>
        <v>22.3</v>
      </c>
      <c r="G126" s="3"/>
      <c r="H126" s="58"/>
      <c r="I126" s="23"/>
      <c r="J126" s="39"/>
      <c r="K126" s="43"/>
      <c r="L126" s="24"/>
      <c r="M126" s="54"/>
      <c r="N126" s="54"/>
    </row>
    <row r="127" spans="1:14" s="22" customFormat="1" x14ac:dyDescent="0.25">
      <c r="A127" s="88">
        <f>A124+1</f>
        <v>38</v>
      </c>
      <c r="B127" s="107" t="s">
        <v>82</v>
      </c>
      <c r="C127" s="150">
        <v>592170001801</v>
      </c>
      <c r="D127" s="108" t="s">
        <v>120</v>
      </c>
      <c r="E127" s="107" t="s">
        <v>14</v>
      </c>
      <c r="F127" s="109">
        <f>F129</f>
        <v>23.42</v>
      </c>
      <c r="G127" s="110"/>
      <c r="H127" s="111">
        <f>ROUND(F127*G127,2)</f>
        <v>0</v>
      </c>
      <c r="I127" s="23"/>
      <c r="J127" s="42">
        <v>6</v>
      </c>
      <c r="K127" s="43"/>
      <c r="L127" s="24"/>
      <c r="M127" s="54"/>
      <c r="N127" s="54"/>
    </row>
    <row r="128" spans="1:14" s="22" customFormat="1" x14ac:dyDescent="0.2">
      <c r="A128" s="56"/>
      <c r="B128" s="3"/>
      <c r="C128" s="3"/>
      <c r="D128" s="106" t="s">
        <v>220</v>
      </c>
      <c r="E128" s="77"/>
      <c r="F128" s="57">
        <f>ROUND(22.3*1.05,2)</f>
        <v>23.42</v>
      </c>
      <c r="G128" s="3"/>
      <c r="H128" s="58"/>
      <c r="I128" s="23"/>
      <c r="J128" s="39"/>
      <c r="K128" s="43"/>
      <c r="L128" s="24"/>
      <c r="M128" s="54"/>
      <c r="N128" s="54"/>
    </row>
    <row r="129" spans="1:14" s="22" customFormat="1" x14ac:dyDescent="0.2">
      <c r="A129" s="56"/>
      <c r="B129" s="3"/>
      <c r="C129" s="3"/>
      <c r="D129" s="61" t="s">
        <v>26</v>
      </c>
      <c r="E129" s="62"/>
      <c r="F129" s="63">
        <f>SUM(F128:F128)</f>
        <v>23.42</v>
      </c>
      <c r="G129" s="3"/>
      <c r="H129" s="58"/>
      <c r="I129" s="23"/>
      <c r="J129" s="39"/>
      <c r="K129" s="43"/>
      <c r="L129" s="24"/>
      <c r="M129" s="54"/>
      <c r="N129" s="54"/>
    </row>
    <row r="130" spans="1:14" s="22" customFormat="1" ht="21" customHeight="1" x14ac:dyDescent="0.25">
      <c r="A130" s="4"/>
      <c r="B130" s="4"/>
      <c r="C130" s="5">
        <v>6</v>
      </c>
      <c r="D130" s="5" t="s">
        <v>21</v>
      </c>
      <c r="E130" s="7"/>
      <c r="F130" s="8"/>
      <c r="G130" s="4"/>
      <c r="H130" s="66">
        <f>SUM(H131:H181)</f>
        <v>0</v>
      </c>
      <c r="I130" s="45"/>
      <c r="J130" s="42">
        <v>6</v>
      </c>
      <c r="K130" s="50"/>
      <c r="L130" s="24"/>
      <c r="M130" s="54"/>
      <c r="N130" s="54"/>
    </row>
    <row r="131" spans="1:14" s="22" customFormat="1" ht="24" x14ac:dyDescent="0.25">
      <c r="A131" s="88">
        <f>A127+1</f>
        <v>39</v>
      </c>
      <c r="B131" s="89" t="s">
        <v>29</v>
      </c>
      <c r="C131" s="90">
        <v>611461115</v>
      </c>
      <c r="D131" s="90" t="s">
        <v>126</v>
      </c>
      <c r="E131" s="89" t="s">
        <v>13</v>
      </c>
      <c r="F131" s="91">
        <f>F133</f>
        <v>67.739999999999995</v>
      </c>
      <c r="G131" s="92"/>
      <c r="H131" s="71">
        <f>ROUND(F131*G131,2)</f>
        <v>0</v>
      </c>
      <c r="I131" s="23"/>
      <c r="J131" s="42">
        <v>6</v>
      </c>
      <c r="K131" s="43"/>
      <c r="L131" s="24"/>
      <c r="M131" s="54"/>
      <c r="N131" s="54"/>
    </row>
    <row r="132" spans="1:14" s="22" customFormat="1" x14ac:dyDescent="0.2">
      <c r="A132" s="56"/>
      <c r="B132" s="3"/>
      <c r="C132" s="3"/>
      <c r="D132" s="106" t="s">
        <v>127</v>
      </c>
      <c r="E132" s="77"/>
      <c r="F132" s="57">
        <f>F134</f>
        <v>67.739999999999995</v>
      </c>
      <c r="G132" s="3"/>
      <c r="H132" s="58"/>
      <c r="I132" s="23"/>
      <c r="J132" s="39"/>
      <c r="K132" s="43"/>
      <c r="L132" s="24"/>
      <c r="M132" s="54"/>
      <c r="N132" s="54"/>
    </row>
    <row r="133" spans="1:14" s="22" customFormat="1" x14ac:dyDescent="0.2">
      <c r="A133" s="56"/>
      <c r="B133" s="3"/>
      <c r="C133" s="3"/>
      <c r="D133" s="61" t="s">
        <v>26</v>
      </c>
      <c r="E133" s="62"/>
      <c r="F133" s="63">
        <f>SUM(F132:F132)</f>
        <v>67.739999999999995</v>
      </c>
      <c r="G133" s="3"/>
      <c r="H133" s="58"/>
      <c r="I133" s="23"/>
      <c r="J133" s="39"/>
      <c r="K133" s="43"/>
      <c r="L133" s="24"/>
      <c r="M133" s="54"/>
      <c r="N133" s="54"/>
    </row>
    <row r="134" spans="1:14" s="22" customFormat="1" ht="24" x14ac:dyDescent="0.25">
      <c r="A134" s="88">
        <f>A131+1</f>
        <v>40</v>
      </c>
      <c r="B134" s="89" t="s">
        <v>29</v>
      </c>
      <c r="C134" s="90">
        <v>611465213</v>
      </c>
      <c r="D134" s="90" t="s">
        <v>169</v>
      </c>
      <c r="E134" s="89" t="s">
        <v>13</v>
      </c>
      <c r="F134" s="91">
        <f>F136</f>
        <v>67.739999999999995</v>
      </c>
      <c r="G134" s="92"/>
      <c r="H134" s="71">
        <f>ROUND(F134*G134,2)</f>
        <v>0</v>
      </c>
      <c r="I134" s="23"/>
      <c r="J134" s="42">
        <v>6</v>
      </c>
      <c r="K134" s="43">
        <f>ROUND(F134*0.0147,3)</f>
        <v>0.996</v>
      </c>
      <c r="L134" s="24"/>
      <c r="M134" s="54"/>
      <c r="N134" s="54"/>
    </row>
    <row r="135" spans="1:14" s="22" customFormat="1" x14ac:dyDescent="0.2">
      <c r="A135" s="56"/>
      <c r="B135" s="3"/>
      <c r="C135" s="3"/>
      <c r="D135" s="59" t="s">
        <v>152</v>
      </c>
      <c r="E135" s="77"/>
      <c r="F135" s="57">
        <v>67.739999999999995</v>
      </c>
      <c r="G135" s="3"/>
      <c r="H135" s="58"/>
      <c r="I135" s="23"/>
      <c r="J135" s="39"/>
      <c r="K135" s="43"/>
      <c r="L135" s="24"/>
      <c r="M135" s="54"/>
      <c r="N135" s="54"/>
    </row>
    <row r="136" spans="1:14" s="22" customFormat="1" x14ac:dyDescent="0.2">
      <c r="A136" s="56"/>
      <c r="B136" s="3"/>
      <c r="C136" s="3"/>
      <c r="D136" s="61" t="s">
        <v>26</v>
      </c>
      <c r="E136" s="62"/>
      <c r="F136" s="63">
        <f>SUM(F135:F135)</f>
        <v>67.739999999999995</v>
      </c>
      <c r="G136" s="3"/>
      <c r="H136" s="58"/>
      <c r="I136" s="23"/>
      <c r="J136" s="39"/>
      <c r="K136" s="43"/>
      <c r="L136" s="24"/>
      <c r="M136" s="54"/>
      <c r="N136" s="54"/>
    </row>
    <row r="137" spans="1:14" s="22" customFormat="1" ht="24" x14ac:dyDescent="0.25">
      <c r="A137" s="88">
        <f>A134+1</f>
        <v>41</v>
      </c>
      <c r="B137" s="89" t="s">
        <v>29</v>
      </c>
      <c r="C137" s="90" t="s">
        <v>124</v>
      </c>
      <c r="D137" s="90" t="s">
        <v>125</v>
      </c>
      <c r="E137" s="89" t="s">
        <v>13</v>
      </c>
      <c r="F137" s="91">
        <f>F139</f>
        <v>258.45999999999998</v>
      </c>
      <c r="G137" s="92"/>
      <c r="H137" s="71">
        <f>ROUND(F137*G137,2)</f>
        <v>0</v>
      </c>
      <c r="I137" s="23"/>
      <c r="J137" s="42">
        <v>6</v>
      </c>
      <c r="K137" s="43"/>
      <c r="L137" s="24"/>
      <c r="M137" s="54"/>
      <c r="N137" s="54"/>
    </row>
    <row r="138" spans="1:14" s="22" customFormat="1" x14ac:dyDescent="0.2">
      <c r="A138" s="56"/>
      <c r="B138" s="3"/>
      <c r="C138" s="3"/>
      <c r="D138" s="106" t="s">
        <v>78</v>
      </c>
      <c r="E138" s="77"/>
      <c r="F138" s="57">
        <f>F140</f>
        <v>258.45999999999998</v>
      </c>
      <c r="G138" s="3"/>
      <c r="H138" s="58"/>
      <c r="I138" s="23"/>
      <c r="J138" s="39"/>
      <c r="K138" s="43"/>
      <c r="L138" s="24"/>
      <c r="M138" s="54"/>
      <c r="N138" s="54"/>
    </row>
    <row r="139" spans="1:14" s="22" customFormat="1" x14ac:dyDescent="0.2">
      <c r="A139" s="56"/>
      <c r="B139" s="3"/>
      <c r="C139" s="3"/>
      <c r="D139" s="61" t="s">
        <v>26</v>
      </c>
      <c r="E139" s="62"/>
      <c r="F139" s="63">
        <f>SUM(F138:F138)</f>
        <v>258.45999999999998</v>
      </c>
      <c r="G139" s="3"/>
      <c r="H139" s="58"/>
      <c r="I139" s="23"/>
      <c r="J139" s="39"/>
      <c r="K139" s="43"/>
      <c r="L139" s="24"/>
      <c r="M139" s="54"/>
      <c r="N139" s="54"/>
    </row>
    <row r="140" spans="1:14" s="22" customFormat="1" ht="36" x14ac:dyDescent="0.25">
      <c r="A140" s="88">
        <f>A137+1</f>
        <v>42</v>
      </c>
      <c r="B140" s="89" t="s">
        <v>29</v>
      </c>
      <c r="C140" s="90">
        <v>612465131</v>
      </c>
      <c r="D140" s="90" t="s">
        <v>128</v>
      </c>
      <c r="E140" s="89" t="s">
        <v>13</v>
      </c>
      <c r="F140" s="91">
        <f>F142</f>
        <v>258.45999999999998</v>
      </c>
      <c r="G140" s="92"/>
      <c r="H140" s="71">
        <f>ROUND(F140*G140,2)</f>
        <v>0</v>
      </c>
      <c r="I140" s="23"/>
      <c r="J140" s="42">
        <v>6</v>
      </c>
      <c r="K140" s="43">
        <f>ROUND(F140*0.0147,3)</f>
        <v>3.7989999999999999</v>
      </c>
      <c r="L140" s="24"/>
      <c r="M140" s="54"/>
      <c r="N140" s="54"/>
    </row>
    <row r="141" spans="1:14" s="22" customFormat="1" x14ac:dyDescent="0.2">
      <c r="A141" s="56"/>
      <c r="B141" s="3"/>
      <c r="C141" s="3"/>
      <c r="D141" s="59" t="s">
        <v>170</v>
      </c>
      <c r="E141" s="77"/>
      <c r="F141" s="57">
        <v>258.45999999999998</v>
      </c>
      <c r="G141" s="3"/>
      <c r="H141" s="58"/>
      <c r="I141" s="23"/>
      <c r="J141" s="39"/>
      <c r="K141" s="43"/>
      <c r="L141" s="24"/>
      <c r="M141" s="54"/>
      <c r="N141" s="54"/>
    </row>
    <row r="142" spans="1:14" s="22" customFormat="1" x14ac:dyDescent="0.2">
      <c r="A142" s="56"/>
      <c r="B142" s="3"/>
      <c r="C142" s="3"/>
      <c r="D142" s="61" t="s">
        <v>26</v>
      </c>
      <c r="E142" s="62"/>
      <c r="F142" s="63">
        <f>SUM(F141:F141)</f>
        <v>258.45999999999998</v>
      </c>
      <c r="G142" s="3"/>
      <c r="H142" s="58"/>
      <c r="I142" s="23"/>
      <c r="J142" s="39"/>
      <c r="K142" s="43"/>
      <c r="L142" s="24"/>
      <c r="M142" s="54"/>
      <c r="N142" s="54"/>
    </row>
    <row r="143" spans="1:14" s="22" customFormat="1" ht="36" x14ac:dyDescent="0.25">
      <c r="A143" s="88">
        <f>A140+1</f>
        <v>43</v>
      </c>
      <c r="B143" s="89" t="s">
        <v>29</v>
      </c>
      <c r="C143" s="90">
        <v>622462542</v>
      </c>
      <c r="D143" s="90" t="s">
        <v>122</v>
      </c>
      <c r="E143" s="89" t="s">
        <v>13</v>
      </c>
      <c r="F143" s="91">
        <f>F147</f>
        <v>104.1</v>
      </c>
      <c r="G143" s="92"/>
      <c r="H143" s="71">
        <f>ROUND(F143*G143,2)</f>
        <v>0</v>
      </c>
      <c r="I143" s="23"/>
      <c r="J143" s="42">
        <v>6</v>
      </c>
      <c r="K143" s="43"/>
      <c r="L143" s="24"/>
      <c r="M143" s="54"/>
      <c r="N143" s="54"/>
    </row>
    <row r="144" spans="1:14" s="22" customFormat="1" x14ac:dyDescent="0.2">
      <c r="A144" s="56"/>
      <c r="B144" s="3"/>
      <c r="C144" s="3"/>
      <c r="D144" s="140" t="s">
        <v>296</v>
      </c>
      <c r="E144" s="77"/>
      <c r="F144" s="57"/>
      <c r="G144" s="3"/>
      <c r="H144" s="58"/>
      <c r="I144" s="23"/>
      <c r="J144" s="39"/>
      <c r="K144" s="43"/>
      <c r="L144" s="24"/>
      <c r="M144" s="54"/>
    </row>
    <row r="145" spans="1:14" s="22" customFormat="1" ht="33.75" x14ac:dyDescent="0.2">
      <c r="A145" s="56"/>
      <c r="B145" s="3"/>
      <c r="C145" s="3"/>
      <c r="D145" s="106" t="s">
        <v>243</v>
      </c>
      <c r="E145" s="77"/>
      <c r="F145" s="57">
        <f>ROUND(2*(12+7.2)*3.5-(2*1.1*2.4+1.8*2.4+2*1.8*1.5+2.4*0.75+4*1.2*0.75),2)</f>
        <v>114</v>
      </c>
      <c r="G145" s="3"/>
      <c r="H145" s="58"/>
      <c r="I145" s="23"/>
      <c r="J145" s="39"/>
      <c r="K145" s="43"/>
      <c r="L145" s="24"/>
      <c r="M145" s="54"/>
      <c r="N145" s="54"/>
    </row>
    <row r="146" spans="1:14" s="22" customFormat="1" x14ac:dyDescent="0.2">
      <c r="A146" s="56"/>
      <c r="B146" s="3"/>
      <c r="C146" s="3"/>
      <c r="D146" s="106" t="s">
        <v>301</v>
      </c>
      <c r="E146" s="77"/>
      <c r="F146" s="57">
        <v>-9.9</v>
      </c>
      <c r="G146" s="3"/>
      <c r="H146" s="58"/>
      <c r="I146" s="23"/>
      <c r="J146" s="39"/>
      <c r="K146" s="43"/>
      <c r="L146" s="24"/>
      <c r="M146" s="54"/>
      <c r="N146" s="54"/>
    </row>
    <row r="147" spans="1:14" s="22" customFormat="1" x14ac:dyDescent="0.2">
      <c r="A147" s="56"/>
      <c r="B147" s="3"/>
      <c r="C147" s="3"/>
      <c r="D147" s="61" t="s">
        <v>26</v>
      </c>
      <c r="E147" s="62"/>
      <c r="F147" s="63">
        <f>SUM(F145:F146)</f>
        <v>104.1</v>
      </c>
      <c r="G147" s="3"/>
      <c r="H147" s="58"/>
      <c r="I147" s="23"/>
      <c r="J147" s="39"/>
      <c r="K147" s="43"/>
      <c r="L147" s="24"/>
      <c r="M147" s="54"/>
      <c r="N147" s="54"/>
    </row>
    <row r="148" spans="1:14" s="22" customFormat="1" ht="24" x14ac:dyDescent="0.25">
      <c r="A148" s="88">
        <f>A143+1</f>
        <v>44</v>
      </c>
      <c r="B148" s="89" t="s">
        <v>29</v>
      </c>
      <c r="C148" s="90">
        <v>622466115</v>
      </c>
      <c r="D148" s="90" t="s">
        <v>123</v>
      </c>
      <c r="E148" s="89" t="s">
        <v>13</v>
      </c>
      <c r="F148" s="91">
        <f>F151</f>
        <v>125.89999999999999</v>
      </c>
      <c r="G148" s="92"/>
      <c r="H148" s="71">
        <f>ROUND(F148*G148,2)</f>
        <v>0</v>
      </c>
      <c r="I148" s="23"/>
      <c r="J148" s="42">
        <v>6</v>
      </c>
      <c r="K148" s="43"/>
      <c r="L148" s="24"/>
      <c r="M148" s="54"/>
      <c r="N148" s="54"/>
    </row>
    <row r="149" spans="1:14" s="22" customFormat="1" x14ac:dyDescent="0.2">
      <c r="A149" s="56"/>
      <c r="B149" s="3"/>
      <c r="C149" s="3"/>
      <c r="D149" s="106" t="s">
        <v>297</v>
      </c>
      <c r="E149" s="77"/>
      <c r="F149" s="57">
        <f>F143</f>
        <v>104.1</v>
      </c>
      <c r="G149" s="3"/>
      <c r="H149" s="58"/>
      <c r="I149" s="23"/>
      <c r="J149" s="39"/>
      <c r="K149" s="43"/>
      <c r="L149" s="24"/>
      <c r="M149" s="54"/>
      <c r="N149" s="54"/>
    </row>
    <row r="150" spans="1:14" s="22" customFormat="1" x14ac:dyDescent="0.2">
      <c r="A150" s="56"/>
      <c r="B150" s="3"/>
      <c r="C150" s="3"/>
      <c r="D150" s="106" t="s">
        <v>298</v>
      </c>
      <c r="E150" s="77"/>
      <c r="F150" s="57">
        <f>F159</f>
        <v>21.8</v>
      </c>
      <c r="G150" s="3"/>
      <c r="H150" s="58"/>
      <c r="I150" s="23"/>
      <c r="J150" s="39"/>
      <c r="K150" s="43"/>
      <c r="L150" s="24"/>
      <c r="M150" s="54"/>
      <c r="N150" s="54"/>
    </row>
    <row r="151" spans="1:14" s="22" customFormat="1" x14ac:dyDescent="0.2">
      <c r="A151" s="56"/>
      <c r="B151" s="3"/>
      <c r="C151" s="3"/>
      <c r="D151" s="61" t="s">
        <v>26</v>
      </c>
      <c r="E151" s="62"/>
      <c r="F151" s="63">
        <f>SUM(F149:F150)</f>
        <v>125.89999999999999</v>
      </c>
      <c r="G151" s="3"/>
      <c r="H151" s="58"/>
      <c r="I151" s="23"/>
      <c r="J151" s="39"/>
      <c r="K151" s="43"/>
      <c r="L151" s="24"/>
      <c r="M151" s="54"/>
      <c r="N151" s="54"/>
    </row>
    <row r="152" spans="1:14" s="22" customFormat="1" ht="36" x14ac:dyDescent="0.25">
      <c r="A152" s="88">
        <f>A148+1</f>
        <v>45</v>
      </c>
      <c r="B152" s="89" t="s">
        <v>29</v>
      </c>
      <c r="C152" s="90" t="s">
        <v>336</v>
      </c>
      <c r="D152" s="90" t="s">
        <v>302</v>
      </c>
      <c r="E152" s="89" t="s">
        <v>13</v>
      </c>
      <c r="F152" s="91">
        <f>F154</f>
        <v>9.9</v>
      </c>
      <c r="G152" s="92"/>
      <c r="H152" s="71">
        <f>ROUND(F152*G152,2)</f>
        <v>0</v>
      </c>
      <c r="I152" s="23"/>
      <c r="J152" s="42">
        <v>6</v>
      </c>
      <c r="K152" s="43">
        <f>ROUND(F152*0.1*0.033,3)</f>
        <v>3.3000000000000002E-2</v>
      </c>
      <c r="L152" s="24"/>
      <c r="M152" s="54"/>
      <c r="N152" s="54"/>
    </row>
    <row r="153" spans="1:14" s="22" customFormat="1" x14ac:dyDescent="0.2">
      <c r="A153" s="56"/>
      <c r="B153" s="3"/>
      <c r="C153" s="3"/>
      <c r="D153" s="59" t="s">
        <v>300</v>
      </c>
      <c r="E153" s="77"/>
      <c r="F153" s="57">
        <f>ROUND(2.78*6.5-(2*1.1+1.8)*2.05,1)</f>
        <v>9.9</v>
      </c>
      <c r="G153" s="3"/>
      <c r="H153" s="58"/>
      <c r="I153" s="23"/>
      <c r="J153" s="39"/>
      <c r="K153" s="43"/>
      <c r="L153" s="24"/>
      <c r="M153" s="54"/>
      <c r="N153" s="54"/>
    </row>
    <row r="154" spans="1:14" s="22" customFormat="1" x14ac:dyDescent="0.2">
      <c r="A154" s="56"/>
      <c r="B154" s="3"/>
      <c r="C154" s="3"/>
      <c r="D154" s="61" t="s">
        <v>26</v>
      </c>
      <c r="E154" s="62"/>
      <c r="F154" s="63">
        <f>SUM(F153:F153)</f>
        <v>9.9</v>
      </c>
      <c r="G154" s="3"/>
      <c r="H154" s="58"/>
      <c r="I154" s="23"/>
      <c r="J154" s="39"/>
      <c r="K154" s="43"/>
      <c r="L154" s="24"/>
      <c r="M154" s="54"/>
      <c r="N154" s="54"/>
    </row>
    <row r="155" spans="1:14" s="22" customFormat="1" ht="24" x14ac:dyDescent="0.25">
      <c r="A155" s="88">
        <f>A152+1</f>
        <v>46</v>
      </c>
      <c r="B155" s="89" t="s">
        <v>29</v>
      </c>
      <c r="C155" s="90" t="s">
        <v>337</v>
      </c>
      <c r="D155" s="90" t="s">
        <v>199</v>
      </c>
      <c r="E155" s="89" t="s">
        <v>13</v>
      </c>
      <c r="F155" s="91">
        <f>F158</f>
        <v>104.1</v>
      </c>
      <c r="G155" s="92"/>
      <c r="H155" s="71">
        <f>ROUND(F155*G155,2)</f>
        <v>0</v>
      </c>
      <c r="I155" s="23"/>
      <c r="J155" s="42">
        <v>6</v>
      </c>
      <c r="K155" s="43">
        <f>ROUND(F155*0.1*0.033,3)</f>
        <v>0.34399999999999997</v>
      </c>
      <c r="L155" s="24"/>
      <c r="M155" s="54"/>
      <c r="N155" s="54"/>
    </row>
    <row r="156" spans="1:14" s="22" customFormat="1" ht="33.75" x14ac:dyDescent="0.2">
      <c r="A156" s="56"/>
      <c r="B156" s="3"/>
      <c r="C156" s="3"/>
      <c r="D156" s="106" t="s">
        <v>243</v>
      </c>
      <c r="E156" s="77"/>
      <c r="F156" s="57">
        <f>ROUND(2*(12+7.2)*3.5-(2*1.1*2.4+1.8*2.4+2*1.8*1.5+2.4*0.75+4*1.2*0.75),2)</f>
        <v>114</v>
      </c>
      <c r="G156" s="3"/>
      <c r="H156" s="58"/>
      <c r="I156" s="23"/>
      <c r="J156" s="39"/>
      <c r="K156" s="43"/>
      <c r="L156" s="24"/>
      <c r="M156" s="54"/>
      <c r="N156" s="54"/>
    </row>
    <row r="157" spans="1:14" s="22" customFormat="1" x14ac:dyDescent="0.2">
      <c r="A157" s="56"/>
      <c r="B157" s="3"/>
      <c r="C157" s="3"/>
      <c r="D157" s="106" t="s">
        <v>301</v>
      </c>
      <c r="E157" s="77"/>
      <c r="F157" s="57">
        <v>-9.9</v>
      </c>
      <c r="G157" s="3"/>
      <c r="H157" s="58"/>
      <c r="I157" s="23"/>
      <c r="J157" s="39"/>
      <c r="K157" s="43"/>
      <c r="L157" s="24"/>
      <c r="M157" s="54"/>
      <c r="N157" s="54"/>
    </row>
    <row r="158" spans="1:14" s="22" customFormat="1" x14ac:dyDescent="0.2">
      <c r="A158" s="56"/>
      <c r="B158" s="3"/>
      <c r="C158" s="3"/>
      <c r="D158" s="61" t="s">
        <v>26</v>
      </c>
      <c r="E158" s="62"/>
      <c r="F158" s="63">
        <f>SUM(F156:F157)</f>
        <v>104.1</v>
      </c>
      <c r="G158" s="3"/>
      <c r="H158" s="58"/>
      <c r="I158" s="23"/>
      <c r="J158" s="39"/>
      <c r="K158" s="43"/>
      <c r="L158" s="24"/>
      <c r="M158" s="54"/>
      <c r="N158" s="54"/>
    </row>
    <row r="159" spans="1:14" s="22" customFormat="1" x14ac:dyDescent="0.25">
      <c r="A159" s="88">
        <f>A155+1</f>
        <v>47</v>
      </c>
      <c r="B159" s="89" t="s">
        <v>29</v>
      </c>
      <c r="C159" s="90" t="s">
        <v>338</v>
      </c>
      <c r="D159" s="90" t="s">
        <v>294</v>
      </c>
      <c r="E159" s="89" t="s">
        <v>13</v>
      </c>
      <c r="F159" s="91">
        <f>F163</f>
        <v>21.8</v>
      </c>
      <c r="G159" s="92"/>
      <c r="H159" s="71">
        <f>ROUND(F159*G159,2)</f>
        <v>0</v>
      </c>
      <c r="I159" s="41"/>
      <c r="J159" s="42">
        <v>6</v>
      </c>
      <c r="K159" s="43">
        <f>ROUND(F159*0.017*2.2,3)</f>
        <v>0.81499999999999995</v>
      </c>
      <c r="L159" s="24"/>
      <c r="M159" s="54"/>
      <c r="N159" s="54"/>
    </row>
    <row r="160" spans="1:14" s="22" customFormat="1" x14ac:dyDescent="0.2">
      <c r="A160" s="56"/>
      <c r="B160" s="3"/>
      <c r="C160" s="3"/>
      <c r="D160" s="140" t="s">
        <v>295</v>
      </c>
      <c r="E160" s="77"/>
      <c r="F160" s="57"/>
      <c r="G160" s="3"/>
      <c r="H160" s="58"/>
      <c r="I160" s="23"/>
      <c r="J160" s="39"/>
      <c r="K160" s="43"/>
      <c r="L160" s="24"/>
      <c r="M160" s="54"/>
    </row>
    <row r="161" spans="1:17" s="22" customFormat="1" x14ac:dyDescent="0.2">
      <c r="A161" s="56"/>
      <c r="B161" s="3"/>
      <c r="C161" s="3"/>
      <c r="D161" s="59" t="s">
        <v>300</v>
      </c>
      <c r="E161" s="77"/>
      <c r="F161" s="57">
        <f>ROUND(2.78*6.5-(2*1.1+1.8)*2.05,1)</f>
        <v>9.9</v>
      </c>
      <c r="G161" s="3"/>
      <c r="H161" s="58"/>
      <c r="I161" s="23"/>
      <c r="J161" s="39"/>
      <c r="K161" s="43"/>
      <c r="L161" s="24"/>
      <c r="M161" s="54"/>
    </row>
    <row r="162" spans="1:17" s="22" customFormat="1" x14ac:dyDescent="0.2">
      <c r="A162" s="56"/>
      <c r="B162" s="3"/>
      <c r="C162" s="3"/>
      <c r="D162" s="59" t="s">
        <v>299</v>
      </c>
      <c r="E162" s="77"/>
      <c r="F162" s="57">
        <f>ROUND(2*(11.9+7.1)*0.35-(2*1.1+1.8)*0.35,2)</f>
        <v>11.9</v>
      </c>
      <c r="G162" s="3"/>
      <c r="H162" s="58"/>
      <c r="I162" s="23"/>
      <c r="J162" s="39"/>
      <c r="K162" s="43"/>
      <c r="L162" s="24"/>
      <c r="M162" s="54"/>
    </row>
    <row r="163" spans="1:17" s="22" customFormat="1" x14ac:dyDescent="0.2">
      <c r="A163" s="56"/>
      <c r="B163" s="3"/>
      <c r="C163" s="3"/>
      <c r="D163" s="61" t="s">
        <v>26</v>
      </c>
      <c r="E163" s="62"/>
      <c r="F163" s="63">
        <f>SUM(F161:F162)</f>
        <v>21.8</v>
      </c>
      <c r="G163" s="3"/>
      <c r="H163" s="58"/>
      <c r="I163" s="23"/>
      <c r="J163" s="39"/>
      <c r="K163" s="43"/>
      <c r="L163" s="24"/>
      <c r="M163" s="54"/>
    </row>
    <row r="164" spans="1:17" s="22" customFormat="1" ht="24" x14ac:dyDescent="0.25">
      <c r="A164" s="88">
        <f>A159+1</f>
        <v>48</v>
      </c>
      <c r="B164" s="89" t="s">
        <v>29</v>
      </c>
      <c r="C164" s="90">
        <v>631312611</v>
      </c>
      <c r="D164" s="90" t="s">
        <v>158</v>
      </c>
      <c r="E164" s="89" t="s">
        <v>12</v>
      </c>
      <c r="F164" s="91">
        <f>F167</f>
        <v>4.74</v>
      </c>
      <c r="G164" s="92"/>
      <c r="H164" s="71">
        <f>ROUND(F164*G164,2)</f>
        <v>0</v>
      </c>
      <c r="I164" s="41"/>
      <c r="J164" s="42">
        <v>6</v>
      </c>
      <c r="K164" s="43">
        <f>ROUND(F164*2.4,3)</f>
        <v>11.375999999999999</v>
      </c>
      <c r="L164" s="24"/>
      <c r="M164" s="54"/>
      <c r="N164" s="54"/>
    </row>
    <row r="165" spans="1:17" s="22" customFormat="1" x14ac:dyDescent="0.2">
      <c r="A165" s="56"/>
      <c r="B165" s="3"/>
      <c r="C165" s="3"/>
      <c r="D165" s="140" t="s">
        <v>66</v>
      </c>
      <c r="E165" s="77"/>
      <c r="F165" s="57"/>
      <c r="G165" s="3"/>
      <c r="H165" s="58"/>
      <c r="I165" s="23"/>
      <c r="J165" s="39"/>
      <c r="K165" s="43"/>
      <c r="L165" s="24"/>
      <c r="M165" s="54"/>
    </row>
    <row r="166" spans="1:17" s="22" customFormat="1" x14ac:dyDescent="0.2">
      <c r="A166" s="56"/>
      <c r="B166" s="3"/>
      <c r="C166" s="3"/>
      <c r="D166" s="59" t="s">
        <v>157</v>
      </c>
      <c r="E166" s="77"/>
      <c r="F166" s="57">
        <f>ROUND(67.74*0.07,2)</f>
        <v>4.74</v>
      </c>
      <c r="G166" s="3"/>
      <c r="H166" s="58"/>
      <c r="I166" s="23"/>
      <c r="J166" s="39"/>
      <c r="K166" s="43"/>
      <c r="L166" s="24"/>
      <c r="M166" s="54"/>
    </row>
    <row r="167" spans="1:17" s="22" customFormat="1" x14ac:dyDescent="0.2">
      <c r="A167" s="56"/>
      <c r="B167" s="3"/>
      <c r="C167" s="3"/>
      <c r="D167" s="61" t="s">
        <v>26</v>
      </c>
      <c r="E167" s="62"/>
      <c r="F167" s="63">
        <f>SUM(F165:F166)</f>
        <v>4.74</v>
      </c>
      <c r="G167" s="3"/>
      <c r="H167" s="58"/>
      <c r="I167" s="23"/>
      <c r="J167" s="39"/>
      <c r="K167" s="43"/>
      <c r="L167" s="24"/>
      <c r="M167" s="54"/>
    </row>
    <row r="168" spans="1:17" s="22" customFormat="1" x14ac:dyDescent="0.25">
      <c r="A168" s="88">
        <f>A164+1</f>
        <v>49</v>
      </c>
      <c r="B168" s="89" t="s">
        <v>29</v>
      </c>
      <c r="C168" s="90" t="s">
        <v>339</v>
      </c>
      <c r="D168" s="90" t="s">
        <v>160</v>
      </c>
      <c r="E168" s="89" t="s">
        <v>13</v>
      </c>
      <c r="F168" s="91">
        <f>F171</f>
        <v>67.739999999999995</v>
      </c>
      <c r="G168" s="92"/>
      <c r="H168" s="71">
        <f>ROUND(F168*G168,2)</f>
        <v>0</v>
      </c>
      <c r="I168" s="41"/>
      <c r="J168" s="42">
        <v>6</v>
      </c>
      <c r="K168" s="43">
        <f>ROUND(F168*0.017*2.2,3)</f>
        <v>2.5329999999999999</v>
      </c>
      <c r="L168" s="24"/>
      <c r="M168" s="54"/>
      <c r="N168" s="54"/>
    </row>
    <row r="169" spans="1:17" s="22" customFormat="1" x14ac:dyDescent="0.2">
      <c r="A169" s="56"/>
      <c r="B169" s="3"/>
      <c r="C169" s="3"/>
      <c r="D169" s="140" t="s">
        <v>66</v>
      </c>
      <c r="E169" s="77"/>
      <c r="F169" s="57"/>
      <c r="G169" s="3"/>
      <c r="H169" s="58"/>
      <c r="I169" s="23"/>
      <c r="J169" s="39"/>
      <c r="K169" s="43"/>
      <c r="L169" s="24"/>
      <c r="M169" s="54"/>
    </row>
    <row r="170" spans="1:17" s="22" customFormat="1" x14ac:dyDescent="0.2">
      <c r="A170" s="56"/>
      <c r="B170" s="3"/>
      <c r="C170" s="3"/>
      <c r="D170" s="59" t="s">
        <v>156</v>
      </c>
      <c r="E170" s="77"/>
      <c r="F170" s="57">
        <v>67.739999999999995</v>
      </c>
      <c r="G170" s="3"/>
      <c r="H170" s="58"/>
      <c r="I170" s="23"/>
      <c r="J170" s="39"/>
      <c r="K170" s="43"/>
      <c r="L170" s="24"/>
      <c r="M170" s="54"/>
    </row>
    <row r="171" spans="1:17" s="22" customFormat="1" x14ac:dyDescent="0.2">
      <c r="A171" s="56"/>
      <c r="B171" s="3"/>
      <c r="C171" s="3"/>
      <c r="D171" s="61" t="s">
        <v>26</v>
      </c>
      <c r="E171" s="62"/>
      <c r="F171" s="63">
        <f>SUM(F169:F170)</f>
        <v>67.739999999999995</v>
      </c>
      <c r="G171" s="3"/>
      <c r="H171" s="58"/>
      <c r="I171" s="23"/>
      <c r="J171" s="39"/>
      <c r="K171" s="43"/>
      <c r="L171" s="24"/>
      <c r="M171" s="54"/>
    </row>
    <row r="172" spans="1:17" s="22" customFormat="1" x14ac:dyDescent="0.25">
      <c r="A172" s="88">
        <f>A168+1</f>
        <v>50</v>
      </c>
      <c r="B172" s="89" t="s">
        <v>29</v>
      </c>
      <c r="C172" s="90" t="s">
        <v>340</v>
      </c>
      <c r="D172" s="90" t="s">
        <v>49</v>
      </c>
      <c r="E172" s="89" t="s">
        <v>13</v>
      </c>
      <c r="F172" s="91">
        <f>F174</f>
        <v>67.739999999999995</v>
      </c>
      <c r="G172" s="92"/>
      <c r="H172" s="71">
        <f>ROUND(F172*G172,2)</f>
        <v>0</v>
      </c>
      <c r="I172" s="23"/>
      <c r="J172" s="42">
        <v>6</v>
      </c>
      <c r="K172" s="43"/>
      <c r="L172" s="24"/>
      <c r="M172" s="54"/>
      <c r="N172" s="54"/>
    </row>
    <row r="173" spans="1:17" s="22" customFormat="1" x14ac:dyDescent="0.2">
      <c r="A173" s="56"/>
      <c r="B173" s="3"/>
      <c r="C173" s="3"/>
      <c r="D173" s="59" t="s">
        <v>152</v>
      </c>
      <c r="E173" s="77"/>
      <c r="F173" s="57">
        <v>67.739999999999995</v>
      </c>
      <c r="G173" s="3"/>
      <c r="H173" s="112"/>
      <c r="I173" s="23"/>
      <c r="J173" s="39"/>
      <c r="K173" s="43"/>
      <c r="L173" s="24"/>
      <c r="M173" s="54"/>
      <c r="N173" s="54"/>
    </row>
    <row r="174" spans="1:17" s="22" customFormat="1" x14ac:dyDescent="0.2">
      <c r="A174" s="56"/>
      <c r="B174" s="3"/>
      <c r="C174" s="3"/>
      <c r="D174" s="61" t="s">
        <v>26</v>
      </c>
      <c r="E174" s="62"/>
      <c r="F174" s="63">
        <f>SUM(F173:F173)</f>
        <v>67.739999999999995</v>
      </c>
      <c r="G174" s="3"/>
      <c r="H174" s="112"/>
      <c r="I174" s="23"/>
      <c r="J174" s="39"/>
      <c r="K174" s="43"/>
      <c r="L174" s="24"/>
      <c r="M174" s="54"/>
      <c r="N174" s="54"/>
    </row>
    <row r="175" spans="1:17" s="22" customFormat="1" ht="24" x14ac:dyDescent="0.25">
      <c r="A175" s="88">
        <f>A172+1</f>
        <v>51</v>
      </c>
      <c r="B175" s="89" t="s">
        <v>29</v>
      </c>
      <c r="C175" s="90">
        <v>642942111</v>
      </c>
      <c r="D175" s="90" t="s">
        <v>230</v>
      </c>
      <c r="E175" s="89" t="s">
        <v>19</v>
      </c>
      <c r="F175" s="91">
        <f>F179</f>
        <v>6</v>
      </c>
      <c r="G175" s="92"/>
      <c r="H175" s="71">
        <f>ROUND(F175*G175,2)</f>
        <v>0</v>
      </c>
      <c r="I175" s="23"/>
      <c r="J175" s="42">
        <v>6</v>
      </c>
      <c r="K175" s="43">
        <f>ROUND(F175*0.0175,3)</f>
        <v>0.105</v>
      </c>
      <c r="L175" s="24"/>
      <c r="M175" s="54"/>
      <c r="N175" s="54"/>
      <c r="O175" s="23"/>
      <c r="P175" s="25"/>
      <c r="Q175" s="25"/>
    </row>
    <row r="176" spans="1:17" s="22" customFormat="1" x14ac:dyDescent="0.2">
      <c r="A176" s="56"/>
      <c r="B176" s="3"/>
      <c r="C176" s="3"/>
      <c r="D176" s="59" t="s">
        <v>235</v>
      </c>
      <c r="E176" s="60"/>
      <c r="F176" s="78">
        <v>3</v>
      </c>
      <c r="G176" s="3"/>
      <c r="H176" s="58"/>
      <c r="I176" s="23"/>
      <c r="J176" s="39"/>
      <c r="K176" s="43"/>
      <c r="L176" s="24"/>
      <c r="M176" s="54"/>
      <c r="N176" s="54"/>
      <c r="O176" s="23"/>
      <c r="P176" s="25"/>
      <c r="Q176" s="25"/>
    </row>
    <row r="177" spans="1:17" s="22" customFormat="1" x14ac:dyDescent="0.2">
      <c r="A177" s="56"/>
      <c r="B177" s="3"/>
      <c r="C177" s="3"/>
      <c r="D177" s="59" t="s">
        <v>224</v>
      </c>
      <c r="E177" s="60"/>
      <c r="F177" s="78">
        <v>1</v>
      </c>
      <c r="G177" s="3"/>
      <c r="H177" s="58"/>
      <c r="I177" s="23"/>
      <c r="J177" s="39"/>
      <c r="K177" s="43"/>
      <c r="L177" s="24"/>
      <c r="M177" s="54"/>
      <c r="N177" s="54"/>
      <c r="O177" s="23"/>
      <c r="P177" s="25"/>
      <c r="Q177" s="25"/>
    </row>
    <row r="178" spans="1:17" s="22" customFormat="1" x14ac:dyDescent="0.2">
      <c r="A178" s="56"/>
      <c r="B178" s="3"/>
      <c r="C178" s="3"/>
      <c r="D178" s="59" t="s">
        <v>236</v>
      </c>
      <c r="E178" s="60"/>
      <c r="F178" s="78">
        <v>2</v>
      </c>
      <c r="G178" s="3"/>
      <c r="H178" s="58"/>
      <c r="I178" s="23"/>
      <c r="J178" s="39"/>
      <c r="K178" s="43"/>
      <c r="L178" s="24"/>
      <c r="M178" s="54"/>
      <c r="N178" s="54"/>
      <c r="O178" s="23"/>
      <c r="P178" s="25"/>
      <c r="Q178" s="25"/>
    </row>
    <row r="179" spans="1:17" s="22" customFormat="1" x14ac:dyDescent="0.2">
      <c r="A179" s="56"/>
      <c r="B179" s="3"/>
      <c r="C179" s="3"/>
      <c r="D179" s="61" t="s">
        <v>26</v>
      </c>
      <c r="E179" s="62"/>
      <c r="F179" s="63">
        <f>SUM(F176:F178)</f>
        <v>6</v>
      </c>
      <c r="G179" s="3"/>
      <c r="H179" s="58"/>
      <c r="I179" s="23"/>
      <c r="J179" s="39"/>
      <c r="K179" s="43"/>
      <c r="L179" s="24"/>
      <c r="M179" s="54"/>
      <c r="N179" s="54"/>
    </row>
    <row r="180" spans="1:17" s="22" customFormat="1" ht="24" x14ac:dyDescent="0.25">
      <c r="A180" s="88">
        <f>A175+1</f>
        <v>52</v>
      </c>
      <c r="B180" s="107" t="s">
        <v>45</v>
      </c>
      <c r="C180" s="108" t="s">
        <v>231</v>
      </c>
      <c r="D180" s="108" t="s">
        <v>233</v>
      </c>
      <c r="E180" s="107" t="s">
        <v>19</v>
      </c>
      <c r="F180" s="109">
        <v>5</v>
      </c>
      <c r="G180" s="110"/>
      <c r="H180" s="111">
        <f>ROUND(F180*G180,2)</f>
        <v>0</v>
      </c>
      <c r="I180" s="23"/>
      <c r="J180" s="42">
        <v>6</v>
      </c>
      <c r="K180" s="43">
        <f>ROUND(F180*0.00776,3)</f>
        <v>3.9E-2</v>
      </c>
      <c r="L180" s="24"/>
      <c r="M180" s="54"/>
      <c r="N180" s="54"/>
    </row>
    <row r="181" spans="1:17" s="22" customFormat="1" ht="24" x14ac:dyDescent="0.25">
      <c r="A181" s="88">
        <f>A180+1</f>
        <v>53</v>
      </c>
      <c r="B181" s="107" t="s">
        <v>45</v>
      </c>
      <c r="C181" s="108" t="s">
        <v>232</v>
      </c>
      <c r="D181" s="108" t="s">
        <v>234</v>
      </c>
      <c r="E181" s="107" t="s">
        <v>19</v>
      </c>
      <c r="F181" s="109">
        <v>1</v>
      </c>
      <c r="G181" s="110"/>
      <c r="H181" s="111">
        <f>ROUND(F181*G181,2)</f>
        <v>0</v>
      </c>
      <c r="I181" s="23"/>
      <c r="J181" s="42">
        <v>6</v>
      </c>
      <c r="K181" s="43">
        <f>ROUND(F181*0.00776,3)</f>
        <v>8.0000000000000002E-3</v>
      </c>
      <c r="L181" s="24"/>
      <c r="M181" s="54"/>
      <c r="N181" s="54"/>
    </row>
    <row r="182" spans="1:17" s="24" customFormat="1" ht="25.5" customHeight="1" x14ac:dyDescent="0.2">
      <c r="A182" s="11"/>
      <c r="B182" s="2"/>
      <c r="C182" s="14">
        <v>9</v>
      </c>
      <c r="D182" s="14" t="s">
        <v>28</v>
      </c>
      <c r="E182" s="11"/>
      <c r="F182" s="15"/>
      <c r="G182" s="2"/>
      <c r="H182" s="67">
        <f>SUM(H183:H206)</f>
        <v>0</v>
      </c>
      <c r="I182" s="46"/>
      <c r="J182" s="42">
        <v>9</v>
      </c>
      <c r="K182" s="51"/>
      <c r="L182" s="47"/>
      <c r="M182" s="23"/>
      <c r="N182" s="23"/>
    </row>
    <row r="183" spans="1:17" s="25" customFormat="1" x14ac:dyDescent="0.25">
      <c r="A183" s="72">
        <f>A181+1</f>
        <v>54</v>
      </c>
      <c r="B183" s="73" t="s">
        <v>29</v>
      </c>
      <c r="C183" s="74">
        <v>952901113</v>
      </c>
      <c r="D183" s="74" t="s">
        <v>77</v>
      </c>
      <c r="E183" s="73" t="s">
        <v>13</v>
      </c>
      <c r="F183" s="75">
        <f>F185</f>
        <v>67.739999999999995</v>
      </c>
      <c r="G183" s="71"/>
      <c r="H183" s="71">
        <f>ROUND(F183*G183,2)</f>
        <v>0</v>
      </c>
      <c r="I183" s="23"/>
      <c r="J183" s="42">
        <v>9</v>
      </c>
      <c r="K183" s="52"/>
      <c r="M183" s="23"/>
      <c r="N183" s="23"/>
    </row>
    <row r="184" spans="1:17" s="22" customFormat="1" x14ac:dyDescent="0.2">
      <c r="A184" s="56"/>
      <c r="B184" s="3"/>
      <c r="C184" s="3"/>
      <c r="D184" s="59" t="s">
        <v>154</v>
      </c>
      <c r="E184" s="77"/>
      <c r="F184" s="57">
        <v>67.739999999999995</v>
      </c>
      <c r="G184" s="3"/>
      <c r="H184" s="58"/>
      <c r="I184" s="23"/>
      <c r="J184" s="39"/>
      <c r="K184" s="49"/>
      <c r="L184" s="24"/>
      <c r="M184" s="54"/>
      <c r="N184" s="54"/>
    </row>
    <row r="185" spans="1:17" s="22" customFormat="1" x14ac:dyDescent="0.2">
      <c r="A185" s="56"/>
      <c r="B185" s="3"/>
      <c r="C185" s="3"/>
      <c r="D185" s="61" t="s">
        <v>26</v>
      </c>
      <c r="E185" s="62"/>
      <c r="F185" s="63">
        <f>SUM(F184:F184)</f>
        <v>67.739999999999995</v>
      </c>
      <c r="G185" s="3"/>
      <c r="H185" s="58"/>
      <c r="I185" s="23"/>
      <c r="J185" s="39"/>
      <c r="K185" s="43"/>
      <c r="L185" s="24"/>
      <c r="M185" s="54"/>
      <c r="N185" s="54"/>
    </row>
    <row r="186" spans="1:17" s="25" customFormat="1" ht="24" x14ac:dyDescent="0.25">
      <c r="A186" s="72">
        <f>A183+1</f>
        <v>55</v>
      </c>
      <c r="B186" s="73" t="s">
        <v>29</v>
      </c>
      <c r="C186" s="74" t="s">
        <v>148</v>
      </c>
      <c r="D186" s="74" t="s">
        <v>149</v>
      </c>
      <c r="E186" s="73" t="s">
        <v>13</v>
      </c>
      <c r="F186" s="75">
        <f>F188</f>
        <v>67.739999999999995</v>
      </c>
      <c r="G186" s="71"/>
      <c r="H186" s="71">
        <f>ROUND(F186*G186,2)</f>
        <v>0</v>
      </c>
      <c r="I186" s="23"/>
      <c r="J186" s="42">
        <v>9</v>
      </c>
      <c r="K186" s="52"/>
      <c r="M186" s="23"/>
      <c r="N186" s="23"/>
    </row>
    <row r="187" spans="1:17" s="22" customFormat="1" x14ac:dyDescent="0.2">
      <c r="A187" s="56"/>
      <c r="B187" s="3"/>
      <c r="C187" s="3"/>
      <c r="D187" s="59" t="s">
        <v>156</v>
      </c>
      <c r="E187" s="77"/>
      <c r="F187" s="57">
        <v>67.739999999999995</v>
      </c>
      <c r="G187" s="3"/>
      <c r="H187" s="58"/>
      <c r="I187" s="23"/>
      <c r="J187" s="39"/>
      <c r="K187" s="49"/>
      <c r="L187" s="24"/>
      <c r="M187" s="54"/>
      <c r="N187" s="54"/>
    </row>
    <row r="188" spans="1:17" s="22" customFormat="1" x14ac:dyDescent="0.2">
      <c r="A188" s="56"/>
      <c r="B188" s="3"/>
      <c r="C188" s="3"/>
      <c r="D188" s="61" t="s">
        <v>26</v>
      </c>
      <c r="E188" s="62"/>
      <c r="F188" s="63">
        <f>SUM(F187:F187)</f>
        <v>67.739999999999995</v>
      </c>
      <c r="G188" s="3"/>
      <c r="H188" s="58"/>
      <c r="I188" s="23"/>
      <c r="J188" s="39"/>
      <c r="K188" s="43"/>
      <c r="L188" s="24"/>
      <c r="M188" s="54"/>
      <c r="N188" s="54"/>
    </row>
    <row r="189" spans="1:17" s="25" customFormat="1" ht="24" x14ac:dyDescent="0.25">
      <c r="A189" s="72">
        <f>A186+1</f>
        <v>56</v>
      </c>
      <c r="B189" s="73" t="s">
        <v>29</v>
      </c>
      <c r="C189" s="74">
        <v>94194141</v>
      </c>
      <c r="D189" s="74" t="s">
        <v>244</v>
      </c>
      <c r="E189" s="73" t="s">
        <v>12</v>
      </c>
      <c r="F189" s="75">
        <f>F191</f>
        <v>147.84</v>
      </c>
      <c r="G189" s="71"/>
      <c r="H189" s="71">
        <f>ROUND(F189*G189,2)</f>
        <v>0</v>
      </c>
      <c r="I189" s="23"/>
      <c r="J189" s="42">
        <v>9</v>
      </c>
      <c r="K189" s="52"/>
      <c r="M189" s="23"/>
      <c r="N189" s="23"/>
    </row>
    <row r="190" spans="1:17" s="22" customFormat="1" x14ac:dyDescent="0.2">
      <c r="A190" s="56"/>
      <c r="B190" s="3"/>
      <c r="C190" s="3"/>
      <c r="D190" s="59" t="s">
        <v>245</v>
      </c>
      <c r="E190" s="77"/>
      <c r="F190" s="57">
        <f>ROUND(2*(12+7.2)*3.85,2)</f>
        <v>147.84</v>
      </c>
      <c r="G190" s="3"/>
      <c r="H190" s="58"/>
      <c r="I190" s="23"/>
      <c r="J190" s="39"/>
      <c r="K190" s="49"/>
      <c r="L190" s="24"/>
      <c r="M190" s="54"/>
      <c r="N190" s="54"/>
    </row>
    <row r="191" spans="1:17" s="22" customFormat="1" x14ac:dyDescent="0.2">
      <c r="A191" s="56"/>
      <c r="B191" s="3"/>
      <c r="C191" s="3"/>
      <c r="D191" s="61" t="s">
        <v>26</v>
      </c>
      <c r="E191" s="62"/>
      <c r="F191" s="63">
        <f>SUM(F190:F190)</f>
        <v>147.84</v>
      </c>
      <c r="G191" s="3"/>
      <c r="H191" s="58"/>
      <c r="I191" s="23"/>
      <c r="J191" s="39"/>
      <c r="K191" s="43"/>
      <c r="L191" s="24"/>
      <c r="M191" s="54"/>
      <c r="N191" s="54"/>
    </row>
    <row r="192" spans="1:17" s="25" customFormat="1" ht="36" x14ac:dyDescent="0.25">
      <c r="A192" s="72">
        <f>A189+1</f>
        <v>57</v>
      </c>
      <c r="B192" s="73" t="s">
        <v>29</v>
      </c>
      <c r="C192" s="74">
        <v>941941291</v>
      </c>
      <c r="D192" s="74" t="s">
        <v>341</v>
      </c>
      <c r="E192" s="73" t="s">
        <v>12</v>
      </c>
      <c r="F192" s="75">
        <f>F194</f>
        <v>147.84</v>
      </c>
      <c r="G192" s="71"/>
      <c r="H192" s="71">
        <f>ROUND(F192*G192,2)</f>
        <v>0</v>
      </c>
      <c r="I192" s="23"/>
      <c r="J192" s="42">
        <v>9</v>
      </c>
      <c r="K192" s="52"/>
      <c r="M192" s="23"/>
      <c r="N192" s="23"/>
    </row>
    <row r="193" spans="1:14" s="25" customFormat="1" ht="24" x14ac:dyDescent="0.25">
      <c r="A193" s="72">
        <f>A192+1</f>
        <v>58</v>
      </c>
      <c r="B193" s="73" t="s">
        <v>29</v>
      </c>
      <c r="C193" s="74">
        <v>941941841</v>
      </c>
      <c r="D193" s="74" t="s">
        <v>342</v>
      </c>
      <c r="E193" s="73" t="s">
        <v>12</v>
      </c>
      <c r="F193" s="75">
        <f>F195</f>
        <v>147.84</v>
      </c>
      <c r="G193" s="71"/>
      <c r="H193" s="71">
        <f>ROUND(F193*G193,2)</f>
        <v>0</v>
      </c>
      <c r="I193" s="23"/>
      <c r="J193" s="42">
        <v>9</v>
      </c>
      <c r="K193" s="52"/>
      <c r="M193" s="23"/>
      <c r="N193" s="23"/>
    </row>
    <row r="194" spans="1:14" s="22" customFormat="1" x14ac:dyDescent="0.2">
      <c r="A194" s="56"/>
      <c r="B194" s="3"/>
      <c r="C194" s="3"/>
      <c r="D194" s="59" t="s">
        <v>246</v>
      </c>
      <c r="E194" s="77"/>
      <c r="F194" s="57">
        <f>F189</f>
        <v>147.84</v>
      </c>
      <c r="G194" s="3"/>
      <c r="H194" s="58"/>
      <c r="I194" s="23"/>
      <c r="J194" s="39"/>
      <c r="K194" s="49"/>
      <c r="L194" s="24"/>
      <c r="M194" s="54"/>
      <c r="N194" s="54"/>
    </row>
    <row r="195" spans="1:14" s="22" customFormat="1" x14ac:dyDescent="0.2">
      <c r="A195" s="56"/>
      <c r="B195" s="3"/>
      <c r="C195" s="3"/>
      <c r="D195" s="61" t="s">
        <v>26</v>
      </c>
      <c r="E195" s="62"/>
      <c r="F195" s="63">
        <f>SUM(F194:F194)</f>
        <v>147.84</v>
      </c>
      <c r="G195" s="3"/>
      <c r="H195" s="58"/>
      <c r="I195" s="23"/>
      <c r="J195" s="39"/>
      <c r="K195" s="43"/>
      <c r="L195" s="24"/>
      <c r="M195" s="54"/>
      <c r="N195" s="54"/>
    </row>
    <row r="196" spans="1:14" s="25" customFormat="1" ht="24" x14ac:dyDescent="0.25">
      <c r="A196" s="72">
        <f>A193+1</f>
        <v>59</v>
      </c>
      <c r="B196" s="73" t="s">
        <v>29</v>
      </c>
      <c r="C196" s="74" t="s">
        <v>332</v>
      </c>
      <c r="D196" s="74" t="s">
        <v>330</v>
      </c>
      <c r="E196" s="73" t="s">
        <v>19</v>
      </c>
      <c r="F196" s="75">
        <f>F198</f>
        <v>1</v>
      </c>
      <c r="G196" s="71"/>
      <c r="H196" s="71">
        <f>ROUND(F196*G196,2)</f>
        <v>0</v>
      </c>
      <c r="I196" s="23"/>
      <c r="J196" s="42">
        <v>9</v>
      </c>
      <c r="K196" s="52"/>
      <c r="M196" s="23"/>
      <c r="N196" s="23"/>
    </row>
    <row r="197" spans="1:14" s="22" customFormat="1" x14ac:dyDescent="0.2">
      <c r="A197" s="56"/>
      <c r="B197" s="3"/>
      <c r="C197" s="3"/>
      <c r="D197" s="59" t="s">
        <v>328</v>
      </c>
      <c r="E197" s="77"/>
      <c r="F197" s="57">
        <v>1</v>
      </c>
      <c r="G197" s="3"/>
      <c r="H197" s="58"/>
      <c r="I197" s="23"/>
      <c r="J197" s="39"/>
      <c r="K197" s="49"/>
      <c r="L197" s="24"/>
      <c r="M197" s="54"/>
      <c r="N197" s="54"/>
    </row>
    <row r="198" spans="1:14" s="22" customFormat="1" x14ac:dyDescent="0.2">
      <c r="A198" s="56"/>
      <c r="B198" s="3"/>
      <c r="C198" s="3"/>
      <c r="D198" s="61" t="s">
        <v>26</v>
      </c>
      <c r="E198" s="62"/>
      <c r="F198" s="63">
        <f>SUM(F197:F197)</f>
        <v>1</v>
      </c>
      <c r="G198" s="3"/>
      <c r="H198" s="58"/>
      <c r="I198" s="23"/>
      <c r="J198" s="39"/>
      <c r="K198" s="43"/>
      <c r="L198" s="24"/>
      <c r="M198" s="54"/>
      <c r="N198" s="54"/>
    </row>
    <row r="199" spans="1:14" s="25" customFormat="1" ht="24" x14ac:dyDescent="0.25">
      <c r="A199" s="72">
        <f>A196+1</f>
        <v>60</v>
      </c>
      <c r="B199" s="73" t="s">
        <v>29</v>
      </c>
      <c r="C199" s="74" t="s">
        <v>333</v>
      </c>
      <c r="D199" s="74" t="s">
        <v>331</v>
      </c>
      <c r="E199" s="73" t="s">
        <v>19</v>
      </c>
      <c r="F199" s="75">
        <f>F202</f>
        <v>3</v>
      </c>
      <c r="G199" s="71"/>
      <c r="H199" s="71">
        <f>ROUND(F199*G199,2)</f>
        <v>0</v>
      </c>
      <c r="I199" s="23"/>
      <c r="J199" s="42">
        <v>9</v>
      </c>
      <c r="K199" s="52"/>
      <c r="M199" s="23"/>
      <c r="N199" s="23"/>
    </row>
    <row r="200" spans="1:14" s="22" customFormat="1" x14ac:dyDescent="0.2">
      <c r="A200" s="56"/>
      <c r="B200" s="3"/>
      <c r="C200" s="3"/>
      <c r="D200" s="59" t="s">
        <v>327</v>
      </c>
      <c r="E200" s="77"/>
      <c r="F200" s="57">
        <v>1</v>
      </c>
      <c r="G200" s="3"/>
      <c r="H200" s="58"/>
      <c r="I200" s="23"/>
      <c r="J200" s="39"/>
      <c r="K200" s="49"/>
      <c r="L200" s="24"/>
      <c r="M200" s="54"/>
      <c r="N200" s="54"/>
    </row>
    <row r="201" spans="1:14" s="22" customFormat="1" x14ac:dyDescent="0.2">
      <c r="A201" s="56"/>
      <c r="B201" s="3"/>
      <c r="C201" s="3"/>
      <c r="D201" s="59" t="s">
        <v>329</v>
      </c>
      <c r="E201" s="77"/>
      <c r="F201" s="57">
        <v>2</v>
      </c>
      <c r="G201" s="3"/>
      <c r="H201" s="58"/>
      <c r="I201" s="23"/>
      <c r="J201" s="39"/>
      <c r="K201" s="49"/>
      <c r="L201" s="24"/>
      <c r="M201" s="54"/>
      <c r="N201" s="54"/>
    </row>
    <row r="202" spans="1:14" s="22" customFormat="1" x14ac:dyDescent="0.2">
      <c r="A202" s="56"/>
      <c r="B202" s="3"/>
      <c r="C202" s="3"/>
      <c r="D202" s="61" t="s">
        <v>26</v>
      </c>
      <c r="E202" s="62"/>
      <c r="F202" s="63">
        <f>SUM(F200:F201)</f>
        <v>3</v>
      </c>
      <c r="G202" s="3"/>
      <c r="H202" s="58"/>
      <c r="I202" s="23"/>
      <c r="J202" s="39"/>
      <c r="K202" s="43"/>
      <c r="L202" s="24"/>
      <c r="M202" s="54"/>
      <c r="N202" s="54"/>
    </row>
    <row r="203" spans="1:14" s="25" customFormat="1" x14ac:dyDescent="0.25">
      <c r="A203" s="72">
        <f>A199+1</f>
        <v>61</v>
      </c>
      <c r="B203" s="73" t="s">
        <v>29</v>
      </c>
      <c r="C203" s="74" t="s">
        <v>325</v>
      </c>
      <c r="D203" s="74" t="s">
        <v>293</v>
      </c>
      <c r="E203" s="73" t="s">
        <v>19</v>
      </c>
      <c r="F203" s="75">
        <f>F205</f>
        <v>2</v>
      </c>
      <c r="G203" s="71"/>
      <c r="H203" s="71">
        <f>ROUND(F203*G203,2)</f>
        <v>0</v>
      </c>
      <c r="I203" s="23"/>
      <c r="J203" s="42">
        <v>9</v>
      </c>
      <c r="K203" s="52"/>
      <c r="M203" s="23"/>
      <c r="N203" s="23"/>
    </row>
    <row r="204" spans="1:14" s="22" customFormat="1" x14ac:dyDescent="0.2">
      <c r="A204" s="56"/>
      <c r="B204" s="3"/>
      <c r="C204" s="3"/>
      <c r="D204" s="59" t="s">
        <v>303</v>
      </c>
      <c r="E204" s="77"/>
      <c r="F204" s="57">
        <v>2</v>
      </c>
      <c r="G204" s="3"/>
      <c r="H204" s="58"/>
      <c r="I204" s="23"/>
      <c r="J204" s="39"/>
      <c r="K204" s="49"/>
      <c r="L204" s="24"/>
      <c r="M204" s="54"/>
      <c r="N204" s="54"/>
    </row>
    <row r="205" spans="1:14" s="22" customFormat="1" x14ac:dyDescent="0.2">
      <c r="A205" s="56"/>
      <c r="B205" s="3"/>
      <c r="C205" s="3"/>
      <c r="D205" s="61" t="s">
        <v>26</v>
      </c>
      <c r="E205" s="62"/>
      <c r="F205" s="63">
        <f>SUM(F204:F204)</f>
        <v>2</v>
      </c>
      <c r="G205" s="3"/>
      <c r="H205" s="58"/>
      <c r="I205" s="23"/>
      <c r="J205" s="39"/>
      <c r="K205" s="43"/>
      <c r="L205" s="24"/>
      <c r="M205" s="54"/>
      <c r="N205" s="54"/>
    </row>
    <row r="206" spans="1:14" s="25" customFormat="1" x14ac:dyDescent="0.25">
      <c r="A206" s="72">
        <f>A203+1</f>
        <v>62</v>
      </c>
      <c r="B206" s="73" t="s">
        <v>29</v>
      </c>
      <c r="C206" s="74" t="s">
        <v>326</v>
      </c>
      <c r="D206" s="74" t="s">
        <v>304</v>
      </c>
      <c r="E206" s="73" t="s">
        <v>19</v>
      </c>
      <c r="F206" s="75">
        <f>F208</f>
        <v>3</v>
      </c>
      <c r="G206" s="71"/>
      <c r="H206" s="71">
        <f>ROUND(F206*G206,2)</f>
        <v>0</v>
      </c>
      <c r="I206" s="23"/>
      <c r="J206" s="42">
        <v>9</v>
      </c>
      <c r="K206" s="52"/>
      <c r="M206" s="23"/>
      <c r="N206" s="23"/>
    </row>
    <row r="207" spans="1:14" s="22" customFormat="1" x14ac:dyDescent="0.2">
      <c r="A207" s="56"/>
      <c r="B207" s="3"/>
      <c r="C207" s="3"/>
      <c r="D207" s="59" t="s">
        <v>359</v>
      </c>
      <c r="E207" s="77"/>
      <c r="F207" s="57">
        <v>3</v>
      </c>
      <c r="G207" s="3"/>
      <c r="H207" s="58"/>
      <c r="I207" s="23"/>
      <c r="J207" s="39"/>
      <c r="K207" s="49"/>
      <c r="L207" s="24"/>
      <c r="M207" s="54"/>
      <c r="N207" s="54"/>
    </row>
    <row r="208" spans="1:14" s="22" customFormat="1" x14ac:dyDescent="0.2">
      <c r="A208" s="56"/>
      <c r="B208" s="3"/>
      <c r="C208" s="3"/>
      <c r="D208" s="61" t="s">
        <v>26</v>
      </c>
      <c r="E208" s="62"/>
      <c r="F208" s="63">
        <f>SUM(F207:F207)</f>
        <v>3</v>
      </c>
      <c r="G208" s="3"/>
      <c r="H208" s="58"/>
      <c r="I208" s="23"/>
      <c r="J208" s="39"/>
      <c r="K208" s="43"/>
      <c r="L208" s="24"/>
      <c r="M208" s="54"/>
      <c r="N208" s="54"/>
    </row>
    <row r="209" spans="1:14" s="24" customFormat="1" ht="28.5" customHeight="1" x14ac:dyDescent="0.2">
      <c r="A209" s="11"/>
      <c r="B209" s="2"/>
      <c r="C209" s="14">
        <v>99</v>
      </c>
      <c r="D209" s="14" t="s">
        <v>27</v>
      </c>
      <c r="E209" s="11"/>
      <c r="F209" s="15"/>
      <c r="G209" s="2"/>
      <c r="H209" s="67">
        <f>SUM(H210)</f>
        <v>0</v>
      </c>
      <c r="I209" s="46"/>
      <c r="J209" s="42">
        <v>99</v>
      </c>
      <c r="K209" s="51"/>
      <c r="L209" s="47"/>
      <c r="M209" s="23"/>
      <c r="N209" s="23"/>
    </row>
    <row r="210" spans="1:14" s="25" customFormat="1" ht="24" x14ac:dyDescent="0.25">
      <c r="A210" s="72">
        <f>A206+1</f>
        <v>63</v>
      </c>
      <c r="B210" s="73" t="s">
        <v>40</v>
      </c>
      <c r="C210" s="74" t="s">
        <v>41</v>
      </c>
      <c r="D210" s="74" t="s">
        <v>42</v>
      </c>
      <c r="E210" s="73" t="s">
        <v>15</v>
      </c>
      <c r="F210" s="75">
        <f>K210</f>
        <v>256.45000000000005</v>
      </c>
      <c r="G210" s="71"/>
      <c r="H210" s="71">
        <f>ROUND(F210*G210,2)</f>
        <v>0</v>
      </c>
      <c r="I210" s="23"/>
      <c r="J210" s="42">
        <v>99</v>
      </c>
      <c r="K210" s="53">
        <f>SUM(K38:K181,K232:K380)</f>
        <v>256.45000000000005</v>
      </c>
      <c r="M210" s="23"/>
      <c r="N210" s="23"/>
    </row>
    <row r="211" spans="1:14" ht="25.5" customHeight="1" x14ac:dyDescent="0.2">
      <c r="A211" s="3"/>
      <c r="B211" s="3"/>
      <c r="C211" s="9" t="s">
        <v>24</v>
      </c>
      <c r="D211" s="9" t="s">
        <v>25</v>
      </c>
      <c r="E211" s="6"/>
      <c r="F211" s="3"/>
      <c r="G211" s="10"/>
      <c r="H211" s="13">
        <f>SUM(H212,H231,H260,H285,H298,H303,H310,H329,H357,H366,H372,H381)</f>
        <v>0</v>
      </c>
      <c r="J211" s="44" t="s">
        <v>24</v>
      </c>
    </row>
    <row r="212" spans="1:14" s="24" customFormat="1" ht="23.25" customHeight="1" x14ac:dyDescent="0.2">
      <c r="A212" s="11"/>
      <c r="B212" s="2"/>
      <c r="C212" s="14">
        <v>711</v>
      </c>
      <c r="D212" s="5" t="s">
        <v>155</v>
      </c>
      <c r="E212" s="11"/>
      <c r="F212" s="15"/>
      <c r="G212" s="2"/>
      <c r="H212" s="67">
        <f>SUM(H213:H228)</f>
        <v>0</v>
      </c>
      <c r="I212" s="46"/>
      <c r="J212" s="42">
        <v>711</v>
      </c>
      <c r="K212" s="51"/>
      <c r="L212" s="47"/>
      <c r="M212" s="23"/>
      <c r="N212" s="23"/>
    </row>
    <row r="213" spans="1:14" s="25" customFormat="1" ht="14.25" x14ac:dyDescent="0.2">
      <c r="A213" s="72">
        <f>A210+1</f>
        <v>64</v>
      </c>
      <c r="B213" s="73">
        <v>711</v>
      </c>
      <c r="C213" s="74">
        <v>711415125</v>
      </c>
      <c r="D213" s="74" t="s">
        <v>143</v>
      </c>
      <c r="E213" s="73" t="s">
        <v>13</v>
      </c>
      <c r="F213" s="75">
        <f>F215</f>
        <v>45.73</v>
      </c>
      <c r="G213" s="71"/>
      <c r="H213" s="71">
        <f>ROUND(F213*G213,2)</f>
        <v>0</v>
      </c>
      <c r="I213" s="23"/>
      <c r="J213" s="42">
        <v>711</v>
      </c>
      <c r="K213" s="50"/>
      <c r="L213" s="47"/>
      <c r="M213" s="23"/>
      <c r="N213" s="24"/>
    </row>
    <row r="214" spans="1:14" s="25" customFormat="1" ht="14.25" x14ac:dyDescent="0.2">
      <c r="A214" s="113"/>
      <c r="B214" s="114"/>
      <c r="C214" s="114"/>
      <c r="D214" s="115" t="s">
        <v>168</v>
      </c>
      <c r="E214" s="85"/>
      <c r="F214" s="86">
        <v>45.73</v>
      </c>
      <c r="G214" s="114"/>
      <c r="H214" s="116"/>
      <c r="I214" s="26"/>
      <c r="J214" s="40"/>
      <c r="K214" s="27"/>
      <c r="L214" s="47"/>
      <c r="M214" s="23"/>
      <c r="N214" s="24"/>
    </row>
    <row r="215" spans="1:14" s="25" customFormat="1" x14ac:dyDescent="0.2">
      <c r="A215" s="64"/>
      <c r="B215" s="1"/>
      <c r="C215" s="1"/>
      <c r="D215" s="61" t="s">
        <v>26</v>
      </c>
      <c r="E215" s="62"/>
      <c r="F215" s="63">
        <f>SUM(F214:F214)</f>
        <v>45.73</v>
      </c>
      <c r="G215" s="1"/>
      <c r="H215" s="65"/>
      <c r="I215" s="26"/>
      <c r="J215" s="40"/>
      <c r="K215" s="51"/>
      <c r="M215" s="23"/>
      <c r="N215" s="24"/>
    </row>
    <row r="216" spans="1:14" s="25" customFormat="1" ht="36" x14ac:dyDescent="0.25">
      <c r="A216" s="72">
        <f>A213+1</f>
        <v>65</v>
      </c>
      <c r="B216" s="79" t="s">
        <v>29</v>
      </c>
      <c r="C216" s="117" t="s">
        <v>37</v>
      </c>
      <c r="D216" s="118" t="s">
        <v>38</v>
      </c>
      <c r="E216" s="119" t="s">
        <v>13</v>
      </c>
      <c r="F216" s="75">
        <f>F218</f>
        <v>82.6</v>
      </c>
      <c r="G216" s="71"/>
      <c r="H216" s="71">
        <f>ROUND(F216*G216,2)</f>
        <v>0</v>
      </c>
      <c r="I216" s="23"/>
      <c r="J216" s="42">
        <v>711</v>
      </c>
      <c r="K216" s="50"/>
      <c r="M216" s="23"/>
      <c r="N216" s="23"/>
    </row>
    <row r="217" spans="1:14" s="25" customFormat="1" x14ac:dyDescent="0.2">
      <c r="A217" s="64"/>
      <c r="B217" s="1"/>
      <c r="C217" s="3"/>
      <c r="D217" s="59" t="s">
        <v>191</v>
      </c>
      <c r="E217" s="77"/>
      <c r="F217" s="57">
        <f>ROUND(11.8*7,2)</f>
        <v>82.6</v>
      </c>
      <c r="G217" s="1"/>
      <c r="H217" s="65"/>
      <c r="I217" s="26"/>
      <c r="J217" s="40"/>
      <c r="K217" s="43"/>
      <c r="M217" s="23"/>
      <c r="N217" s="23"/>
    </row>
    <row r="218" spans="1:14" s="25" customFormat="1" x14ac:dyDescent="0.2">
      <c r="A218" s="64"/>
      <c r="B218" s="1"/>
      <c r="C218" s="3"/>
      <c r="D218" s="120" t="s">
        <v>26</v>
      </c>
      <c r="E218" s="121"/>
      <c r="F218" s="63">
        <f>SUM(F217:F217)</f>
        <v>82.6</v>
      </c>
      <c r="G218" s="1"/>
      <c r="H218" s="65"/>
      <c r="I218" s="26"/>
      <c r="J218" s="40"/>
      <c r="K218" s="43"/>
      <c r="M218" s="23"/>
      <c r="N218" s="23"/>
    </row>
    <row r="219" spans="1:14" s="25" customFormat="1" ht="36" x14ac:dyDescent="0.25">
      <c r="A219" s="72">
        <f>A216+1</f>
        <v>66</v>
      </c>
      <c r="B219" s="79" t="s">
        <v>29</v>
      </c>
      <c r="C219" s="118">
        <v>711471052</v>
      </c>
      <c r="D219" s="122" t="s">
        <v>57</v>
      </c>
      <c r="E219" s="119" t="s">
        <v>13</v>
      </c>
      <c r="F219" s="75">
        <f>F221</f>
        <v>13.16</v>
      </c>
      <c r="G219" s="71"/>
      <c r="H219" s="71">
        <f>ROUND(F219*G219,2)</f>
        <v>0</v>
      </c>
      <c r="I219" s="23"/>
      <c r="J219" s="42">
        <v>711</v>
      </c>
      <c r="K219" s="50"/>
      <c r="M219" s="23"/>
      <c r="N219" s="23"/>
    </row>
    <row r="220" spans="1:14" s="25" customFormat="1" x14ac:dyDescent="0.2">
      <c r="A220" s="64"/>
      <c r="B220" s="1"/>
      <c r="C220" s="3"/>
      <c r="D220" s="59" t="s">
        <v>190</v>
      </c>
      <c r="E220" s="77"/>
      <c r="F220" s="57">
        <f>ROUND(2*(11.8+7)*0.35,2)</f>
        <v>13.16</v>
      </c>
      <c r="G220" s="1"/>
      <c r="H220" s="65"/>
      <c r="I220" s="26"/>
      <c r="J220" s="40"/>
      <c r="K220" s="43"/>
      <c r="M220" s="23"/>
      <c r="N220" s="23"/>
    </row>
    <row r="221" spans="1:14" s="25" customFormat="1" x14ac:dyDescent="0.2">
      <c r="A221" s="64"/>
      <c r="B221" s="1"/>
      <c r="C221" s="3"/>
      <c r="D221" s="120" t="s">
        <v>26</v>
      </c>
      <c r="E221" s="121"/>
      <c r="F221" s="63">
        <f>SUM(F220:F220)</f>
        <v>13.16</v>
      </c>
      <c r="G221" s="1"/>
      <c r="H221" s="65"/>
      <c r="I221" s="26"/>
      <c r="J221" s="40"/>
      <c r="K221" s="43"/>
      <c r="M221" s="23"/>
      <c r="N221" s="23"/>
    </row>
    <row r="222" spans="1:14" s="25" customFormat="1" x14ac:dyDescent="0.25">
      <c r="A222" s="72">
        <f>A219+1</f>
        <v>67</v>
      </c>
      <c r="B222" s="123" t="s">
        <v>82</v>
      </c>
      <c r="C222" s="124">
        <v>283299021</v>
      </c>
      <c r="D222" s="125" t="s">
        <v>39</v>
      </c>
      <c r="E222" s="126" t="s">
        <v>13</v>
      </c>
      <c r="F222" s="127">
        <f>F224</f>
        <v>110.12</v>
      </c>
      <c r="G222" s="111"/>
      <c r="H222" s="111">
        <f>ROUND(F222*G222,2)</f>
        <v>0</v>
      </c>
      <c r="I222" s="23"/>
      <c r="J222" s="42">
        <v>711</v>
      </c>
      <c r="K222" s="50"/>
      <c r="M222" s="23"/>
      <c r="N222" s="23"/>
    </row>
    <row r="223" spans="1:14" s="25" customFormat="1" x14ac:dyDescent="0.2">
      <c r="A223" s="64"/>
      <c r="B223" s="1"/>
      <c r="C223" s="1"/>
      <c r="D223" s="59" t="s">
        <v>192</v>
      </c>
      <c r="E223" s="60"/>
      <c r="F223" s="57">
        <f>ROUND((82.6+13.16)*1.15,2)</f>
        <v>110.12</v>
      </c>
      <c r="G223" s="1"/>
      <c r="H223" s="65"/>
      <c r="I223" s="26"/>
      <c r="J223" s="40"/>
      <c r="K223" s="43"/>
      <c r="M223" s="23"/>
      <c r="N223" s="23"/>
    </row>
    <row r="224" spans="1:14" s="25" customFormat="1" x14ac:dyDescent="0.2">
      <c r="A224" s="64"/>
      <c r="B224" s="1"/>
      <c r="C224" s="1"/>
      <c r="D224" s="61" t="s">
        <v>26</v>
      </c>
      <c r="E224" s="62"/>
      <c r="F224" s="63">
        <f>SUM(F223:F223)</f>
        <v>110.12</v>
      </c>
      <c r="G224" s="1"/>
      <c r="H224" s="65"/>
      <c r="I224" s="26"/>
      <c r="J224" s="40"/>
      <c r="K224" s="43"/>
      <c r="M224" s="23"/>
      <c r="N224" s="23"/>
    </row>
    <row r="225" spans="1:14" s="25" customFormat="1" x14ac:dyDescent="0.25">
      <c r="A225" s="72">
        <f>A222+1</f>
        <v>68</v>
      </c>
      <c r="B225" s="79" t="s">
        <v>29</v>
      </c>
      <c r="C225" s="118">
        <v>711472056</v>
      </c>
      <c r="D225" s="122" t="s">
        <v>110</v>
      </c>
      <c r="E225" s="119" t="s">
        <v>13</v>
      </c>
      <c r="F225" s="75">
        <f>F227</f>
        <v>24.44</v>
      </c>
      <c r="G225" s="71"/>
      <c r="H225" s="71">
        <f>ROUND(F225*G225,2)</f>
        <v>0</v>
      </c>
      <c r="I225" s="23"/>
      <c r="J225" s="42">
        <v>711</v>
      </c>
      <c r="K225" s="50"/>
      <c r="M225" s="23"/>
      <c r="N225" s="23"/>
    </row>
    <row r="226" spans="1:14" s="25" customFormat="1" x14ac:dyDescent="0.2">
      <c r="A226" s="64"/>
      <c r="B226" s="1"/>
      <c r="C226" s="3"/>
      <c r="D226" s="59" t="s">
        <v>193</v>
      </c>
      <c r="E226" s="77"/>
      <c r="F226" s="57">
        <f>ROUND(2*(11.8+7)*0.65,2)</f>
        <v>24.44</v>
      </c>
      <c r="G226" s="1"/>
      <c r="H226" s="65"/>
      <c r="I226" s="26"/>
      <c r="J226" s="40"/>
      <c r="K226" s="43"/>
      <c r="M226" s="23"/>
      <c r="N226" s="23"/>
    </row>
    <row r="227" spans="1:14" s="25" customFormat="1" x14ac:dyDescent="0.2">
      <c r="A227" s="64"/>
      <c r="B227" s="1"/>
      <c r="C227" s="3"/>
      <c r="D227" s="120" t="s">
        <v>26</v>
      </c>
      <c r="E227" s="121"/>
      <c r="F227" s="63">
        <f>SUM(F226:F226)</f>
        <v>24.44</v>
      </c>
      <c r="G227" s="1"/>
      <c r="H227" s="65"/>
      <c r="I227" s="26"/>
      <c r="J227" s="40"/>
      <c r="K227" s="43"/>
      <c r="M227" s="23"/>
      <c r="N227" s="23"/>
    </row>
    <row r="228" spans="1:14" s="25" customFormat="1" ht="24" x14ac:dyDescent="0.25">
      <c r="A228" s="72">
        <f>A225+1</f>
        <v>69</v>
      </c>
      <c r="B228" s="123" t="s">
        <v>82</v>
      </c>
      <c r="C228" s="124" t="s">
        <v>109</v>
      </c>
      <c r="D228" s="128" t="s">
        <v>111</v>
      </c>
      <c r="E228" s="126" t="s">
        <v>13</v>
      </c>
      <c r="F228" s="127">
        <f>F230</f>
        <v>28.11</v>
      </c>
      <c r="G228" s="111"/>
      <c r="H228" s="111">
        <f>ROUND(F228*G228,2)</f>
        <v>0</v>
      </c>
      <c r="I228" s="23"/>
      <c r="J228" s="42">
        <v>711</v>
      </c>
      <c r="K228" s="50"/>
      <c r="M228" s="23"/>
      <c r="N228" s="23"/>
    </row>
    <row r="229" spans="1:14" s="25" customFormat="1" x14ac:dyDescent="0.2">
      <c r="A229" s="64"/>
      <c r="B229" s="1"/>
      <c r="C229" s="1"/>
      <c r="D229" s="59" t="s">
        <v>194</v>
      </c>
      <c r="E229" s="60"/>
      <c r="F229" s="57">
        <f>ROUND(24.44*1.15,2)</f>
        <v>28.11</v>
      </c>
      <c r="G229" s="1"/>
      <c r="H229" s="65"/>
      <c r="I229" s="26"/>
      <c r="J229" s="40"/>
      <c r="K229" s="43"/>
      <c r="M229" s="23"/>
      <c r="N229" s="23"/>
    </row>
    <row r="230" spans="1:14" s="25" customFormat="1" x14ac:dyDescent="0.2">
      <c r="A230" s="64"/>
      <c r="B230" s="1"/>
      <c r="C230" s="1"/>
      <c r="D230" s="61" t="s">
        <v>26</v>
      </c>
      <c r="E230" s="62"/>
      <c r="F230" s="63">
        <f>SUM(F229:F229)</f>
        <v>28.11</v>
      </c>
      <c r="G230" s="1"/>
      <c r="H230" s="65"/>
      <c r="I230" s="26"/>
      <c r="J230" s="40"/>
      <c r="K230" s="43"/>
      <c r="M230" s="23"/>
      <c r="N230" s="23"/>
    </row>
    <row r="231" spans="1:14" s="24" customFormat="1" ht="23.25" customHeight="1" x14ac:dyDescent="0.2">
      <c r="A231" s="11"/>
      <c r="B231" s="2"/>
      <c r="C231" s="14">
        <v>712</v>
      </c>
      <c r="D231" s="5" t="s">
        <v>58</v>
      </c>
      <c r="E231" s="11"/>
      <c r="F231" s="15"/>
      <c r="G231" s="2"/>
      <c r="H231" s="67">
        <f>SUM(H232:H252)</f>
        <v>0</v>
      </c>
      <c r="I231" s="46"/>
      <c r="J231" s="42">
        <v>712</v>
      </c>
      <c r="K231" s="51"/>
      <c r="L231" s="47"/>
      <c r="M231" s="23"/>
      <c r="N231" s="23"/>
    </row>
    <row r="232" spans="1:14" s="25" customFormat="1" ht="24" x14ac:dyDescent="0.25">
      <c r="A232" s="72">
        <f>A228+1</f>
        <v>70</v>
      </c>
      <c r="B232" s="79" t="s">
        <v>29</v>
      </c>
      <c r="C232" s="118" t="s">
        <v>112</v>
      </c>
      <c r="D232" s="122" t="s">
        <v>113</v>
      </c>
      <c r="E232" s="119" t="s">
        <v>13</v>
      </c>
      <c r="F232" s="75">
        <f>F236</f>
        <v>119.60000000000001</v>
      </c>
      <c r="G232" s="71"/>
      <c r="H232" s="71">
        <f>ROUND(F232*G232,2)</f>
        <v>0</v>
      </c>
      <c r="I232" s="23"/>
      <c r="J232" s="42">
        <v>712</v>
      </c>
      <c r="K232" s="50"/>
      <c r="M232" s="23"/>
      <c r="N232" s="23"/>
    </row>
    <row r="233" spans="1:14" s="25" customFormat="1" x14ac:dyDescent="0.2">
      <c r="A233" s="64"/>
      <c r="B233" s="1"/>
      <c r="C233" s="3"/>
      <c r="D233" s="140" t="s">
        <v>256</v>
      </c>
      <c r="E233" s="77"/>
      <c r="F233" s="57"/>
      <c r="G233" s="1"/>
      <c r="H233" s="65"/>
      <c r="I233" s="26"/>
      <c r="J233" s="40"/>
      <c r="K233" s="43"/>
      <c r="M233" s="23"/>
      <c r="N233" s="23"/>
    </row>
    <row r="234" spans="1:14" s="25" customFormat="1" x14ac:dyDescent="0.2">
      <c r="A234" s="64"/>
      <c r="B234" s="1"/>
      <c r="C234" s="3"/>
      <c r="D234" s="59" t="s">
        <v>258</v>
      </c>
      <c r="E234" s="77"/>
      <c r="F234" s="57">
        <f>ROUND(11.1*6.3+2*(13.2+6.3)*1.05,1)</f>
        <v>110.9</v>
      </c>
      <c r="G234" s="1"/>
      <c r="H234" s="65"/>
      <c r="I234" s="26"/>
      <c r="J234" s="40"/>
      <c r="K234" s="43"/>
      <c r="M234" s="23"/>
      <c r="N234" s="23"/>
    </row>
    <row r="235" spans="1:14" s="25" customFormat="1" x14ac:dyDescent="0.2">
      <c r="A235" s="64"/>
      <c r="B235" s="1"/>
      <c r="C235" s="3"/>
      <c r="D235" s="59" t="s">
        <v>257</v>
      </c>
      <c r="E235" s="77"/>
      <c r="F235" s="57">
        <f>ROUND(2*(11.1+6.3)*0.25,2)</f>
        <v>8.6999999999999993</v>
      </c>
      <c r="G235" s="1"/>
      <c r="H235" s="65"/>
      <c r="I235" s="26"/>
      <c r="J235" s="40"/>
      <c r="K235" s="43"/>
      <c r="M235" s="23"/>
      <c r="N235" s="23"/>
    </row>
    <row r="236" spans="1:14" s="25" customFormat="1" x14ac:dyDescent="0.2">
      <c r="A236" s="64"/>
      <c r="B236" s="1"/>
      <c r="C236" s="3"/>
      <c r="D236" s="120" t="s">
        <v>26</v>
      </c>
      <c r="E236" s="121"/>
      <c r="F236" s="63">
        <f>SUM(F233:F235)</f>
        <v>119.60000000000001</v>
      </c>
      <c r="G236" s="1"/>
      <c r="H236" s="65"/>
      <c r="I236" s="26"/>
      <c r="J236" s="40"/>
      <c r="K236" s="43"/>
      <c r="M236" s="23"/>
      <c r="N236" s="23"/>
    </row>
    <row r="237" spans="1:14" s="25" customFormat="1" ht="24" x14ac:dyDescent="0.25">
      <c r="A237" s="72">
        <f>A232+1</f>
        <v>71</v>
      </c>
      <c r="B237" s="123" t="s">
        <v>82</v>
      </c>
      <c r="C237" s="124" t="s">
        <v>64</v>
      </c>
      <c r="D237" s="128" t="s">
        <v>114</v>
      </c>
      <c r="E237" s="126" t="s">
        <v>13</v>
      </c>
      <c r="F237" s="127">
        <f>F239</f>
        <v>137.5</v>
      </c>
      <c r="G237" s="111"/>
      <c r="H237" s="111">
        <f>ROUND(F237*G237,2)</f>
        <v>0</v>
      </c>
      <c r="I237" s="23"/>
      <c r="J237" s="42">
        <v>712</v>
      </c>
      <c r="K237" s="50"/>
      <c r="M237" s="23"/>
      <c r="N237" s="23"/>
    </row>
    <row r="238" spans="1:14" s="25" customFormat="1" x14ac:dyDescent="0.2">
      <c r="A238" s="64"/>
      <c r="B238" s="1"/>
      <c r="C238" s="1"/>
      <c r="D238" s="59" t="s">
        <v>259</v>
      </c>
      <c r="E238" s="60"/>
      <c r="F238" s="78">
        <f>ROUND(119.6*1.15,1)</f>
        <v>137.5</v>
      </c>
      <c r="G238" s="1"/>
      <c r="H238" s="65"/>
      <c r="I238" s="26"/>
      <c r="J238" s="40"/>
      <c r="K238" s="43"/>
      <c r="M238" s="23"/>
      <c r="N238" s="23"/>
    </row>
    <row r="239" spans="1:14" s="25" customFormat="1" x14ac:dyDescent="0.2">
      <c r="A239" s="64"/>
      <c r="B239" s="1"/>
      <c r="C239" s="1"/>
      <c r="D239" s="61" t="s">
        <v>26</v>
      </c>
      <c r="E239" s="62"/>
      <c r="F239" s="63">
        <f>SUM(F238:F238)</f>
        <v>137.5</v>
      </c>
      <c r="G239" s="1"/>
      <c r="H239" s="65"/>
      <c r="I239" s="26"/>
      <c r="J239" s="40"/>
      <c r="K239" s="43"/>
      <c r="M239" s="23"/>
      <c r="N239" s="23"/>
    </row>
    <row r="240" spans="1:14" s="25" customFormat="1" ht="36" x14ac:dyDescent="0.25">
      <c r="A240" s="72">
        <f>A237+1</f>
        <v>72</v>
      </c>
      <c r="B240" s="79" t="s">
        <v>29</v>
      </c>
      <c r="C240" s="118" t="s">
        <v>59</v>
      </c>
      <c r="D240" s="122" t="s">
        <v>60</v>
      </c>
      <c r="E240" s="119" t="s">
        <v>13</v>
      </c>
      <c r="F240" s="75">
        <f>F242</f>
        <v>71.7</v>
      </c>
      <c r="G240" s="71"/>
      <c r="H240" s="71">
        <f>ROUND(F240*G240,2)</f>
        <v>0</v>
      </c>
      <c r="I240" s="23"/>
      <c r="J240" s="42">
        <v>712</v>
      </c>
      <c r="K240" s="50"/>
      <c r="M240" s="23"/>
      <c r="N240" s="23"/>
    </row>
    <row r="241" spans="1:14" s="25" customFormat="1" x14ac:dyDescent="0.2">
      <c r="A241" s="64"/>
      <c r="B241" s="1"/>
      <c r="C241" s="3"/>
      <c r="D241" s="59" t="s">
        <v>310</v>
      </c>
      <c r="E241" s="77"/>
      <c r="F241" s="57">
        <f>ROUND(11.2*6.4,1)</f>
        <v>71.7</v>
      </c>
      <c r="G241" s="1"/>
      <c r="H241" s="65"/>
      <c r="I241" s="26"/>
      <c r="J241" s="40"/>
      <c r="K241" s="43"/>
      <c r="M241" s="23"/>
      <c r="N241" s="23"/>
    </row>
    <row r="242" spans="1:14" s="25" customFormat="1" x14ac:dyDescent="0.2">
      <c r="A242" s="64"/>
      <c r="B242" s="1"/>
      <c r="C242" s="3"/>
      <c r="D242" s="120" t="s">
        <v>26</v>
      </c>
      <c r="E242" s="121"/>
      <c r="F242" s="63">
        <f>SUM(F241:F241)</f>
        <v>71.7</v>
      </c>
      <c r="G242" s="1"/>
      <c r="H242" s="65"/>
      <c r="I242" s="26"/>
      <c r="J242" s="40"/>
      <c r="K242" s="43"/>
      <c r="M242" s="23"/>
      <c r="N242" s="23"/>
    </row>
    <row r="243" spans="1:14" s="25" customFormat="1" x14ac:dyDescent="0.25">
      <c r="A243" s="72">
        <f>A240+1</f>
        <v>73</v>
      </c>
      <c r="B243" s="123" t="s">
        <v>82</v>
      </c>
      <c r="C243" s="124" t="s">
        <v>61</v>
      </c>
      <c r="D243" s="125" t="s">
        <v>312</v>
      </c>
      <c r="E243" s="126" t="s">
        <v>13</v>
      </c>
      <c r="F243" s="127">
        <f>F245</f>
        <v>82.46</v>
      </c>
      <c r="G243" s="111"/>
      <c r="H243" s="111">
        <f>ROUND(F243*G243,2)</f>
        <v>0</v>
      </c>
      <c r="I243" s="23"/>
      <c r="J243" s="42">
        <v>712</v>
      </c>
      <c r="K243" s="50"/>
      <c r="M243" s="23"/>
      <c r="N243" s="23"/>
    </row>
    <row r="244" spans="1:14" s="25" customFormat="1" x14ac:dyDescent="0.2">
      <c r="A244" s="64"/>
      <c r="B244" s="1"/>
      <c r="C244" s="1"/>
      <c r="D244" s="59" t="s">
        <v>311</v>
      </c>
      <c r="E244" s="60"/>
      <c r="F244" s="78">
        <f>ROUND(71.7*1.15,2)</f>
        <v>82.46</v>
      </c>
      <c r="G244" s="1"/>
      <c r="H244" s="65"/>
      <c r="I244" s="26"/>
      <c r="J244" s="40"/>
      <c r="K244" s="43"/>
      <c r="M244" s="23"/>
      <c r="N244" s="23"/>
    </row>
    <row r="245" spans="1:14" s="25" customFormat="1" x14ac:dyDescent="0.2">
      <c r="A245" s="64"/>
      <c r="B245" s="1"/>
      <c r="C245" s="1"/>
      <c r="D245" s="61" t="s">
        <v>26</v>
      </c>
      <c r="E245" s="62"/>
      <c r="F245" s="63">
        <f>SUM(F244:F244)</f>
        <v>82.46</v>
      </c>
      <c r="G245" s="1"/>
      <c r="H245" s="65"/>
      <c r="I245" s="26"/>
      <c r="J245" s="40"/>
      <c r="K245" s="43"/>
      <c r="M245" s="23"/>
      <c r="N245" s="23"/>
    </row>
    <row r="246" spans="1:14" s="25" customFormat="1" ht="24" x14ac:dyDescent="0.25">
      <c r="A246" s="72">
        <f>A243+1</f>
        <v>74</v>
      </c>
      <c r="B246" s="79" t="s">
        <v>29</v>
      </c>
      <c r="C246" s="118" t="s">
        <v>62</v>
      </c>
      <c r="D246" s="122" t="s">
        <v>116</v>
      </c>
      <c r="E246" s="119" t="s">
        <v>13</v>
      </c>
      <c r="F246" s="75">
        <f>F248</f>
        <v>71.7</v>
      </c>
      <c r="G246" s="71"/>
      <c r="H246" s="71">
        <f>ROUND(F246*G246,2)</f>
        <v>0</v>
      </c>
      <c r="I246" s="23"/>
      <c r="J246" s="42">
        <v>712</v>
      </c>
      <c r="K246" s="50"/>
      <c r="M246" s="23"/>
      <c r="N246" s="23"/>
    </row>
    <row r="247" spans="1:14" s="25" customFormat="1" x14ac:dyDescent="0.2">
      <c r="A247" s="64"/>
      <c r="B247" s="1"/>
      <c r="C247" s="3"/>
      <c r="D247" s="59" t="s">
        <v>310</v>
      </c>
      <c r="E247" s="77"/>
      <c r="F247" s="57">
        <f>ROUND(11.2*6.4,1)</f>
        <v>71.7</v>
      </c>
      <c r="G247" s="1"/>
      <c r="H247" s="65"/>
      <c r="I247" s="26"/>
      <c r="J247" s="40"/>
      <c r="K247" s="43"/>
      <c r="M247" s="23"/>
      <c r="N247" s="23"/>
    </row>
    <row r="248" spans="1:14" s="25" customFormat="1" x14ac:dyDescent="0.2">
      <c r="A248" s="64"/>
      <c r="B248" s="1"/>
      <c r="C248" s="3"/>
      <c r="D248" s="120" t="s">
        <v>26</v>
      </c>
      <c r="E248" s="121"/>
      <c r="F248" s="63">
        <f>SUM(F247:F247)</f>
        <v>71.7</v>
      </c>
      <c r="G248" s="1"/>
      <c r="H248" s="65"/>
      <c r="I248" s="26"/>
      <c r="J248" s="40"/>
      <c r="K248" s="43"/>
      <c r="M248" s="23"/>
      <c r="N248" s="23"/>
    </row>
    <row r="249" spans="1:14" s="25" customFormat="1" ht="24" x14ac:dyDescent="0.25">
      <c r="A249" s="72">
        <f>A246+1</f>
        <v>75</v>
      </c>
      <c r="B249" s="123" t="s">
        <v>82</v>
      </c>
      <c r="C249" s="124" t="s">
        <v>63</v>
      </c>
      <c r="D249" s="128" t="s">
        <v>117</v>
      </c>
      <c r="E249" s="126" t="s">
        <v>13</v>
      </c>
      <c r="F249" s="127">
        <f>F251</f>
        <v>82.46</v>
      </c>
      <c r="G249" s="111"/>
      <c r="H249" s="111">
        <f>ROUND(F249*G249,2)</f>
        <v>0</v>
      </c>
      <c r="I249" s="23"/>
      <c r="J249" s="42">
        <v>712</v>
      </c>
      <c r="K249" s="50"/>
      <c r="M249" s="23"/>
      <c r="N249" s="23"/>
    </row>
    <row r="250" spans="1:14" s="25" customFormat="1" x14ac:dyDescent="0.2">
      <c r="A250" s="64"/>
      <c r="B250" s="1"/>
      <c r="C250" s="1"/>
      <c r="D250" s="59" t="s">
        <v>311</v>
      </c>
      <c r="E250" s="60"/>
      <c r="F250" s="78">
        <f>ROUND(71.7*1.15,2)</f>
        <v>82.46</v>
      </c>
      <c r="G250" s="1"/>
      <c r="H250" s="65"/>
      <c r="I250" s="26"/>
      <c r="J250" s="40"/>
      <c r="K250" s="43"/>
      <c r="M250" s="23"/>
      <c r="N250" s="23"/>
    </row>
    <row r="251" spans="1:14" s="25" customFormat="1" x14ac:dyDescent="0.2">
      <c r="A251" s="64"/>
      <c r="B251" s="1"/>
      <c r="C251" s="1"/>
      <c r="D251" s="61" t="s">
        <v>26</v>
      </c>
      <c r="E251" s="62"/>
      <c r="F251" s="63">
        <f>SUM(F250:F250)</f>
        <v>82.46</v>
      </c>
      <c r="G251" s="1"/>
      <c r="H251" s="65"/>
      <c r="I251" s="26"/>
      <c r="J251" s="40"/>
      <c r="K251" s="43"/>
      <c r="M251" s="23"/>
      <c r="N251" s="23"/>
    </row>
    <row r="252" spans="1:14" s="25" customFormat="1" ht="24" x14ac:dyDescent="0.25">
      <c r="A252" s="72">
        <f>A249+1</f>
        <v>76</v>
      </c>
      <c r="B252" s="79" t="s">
        <v>29</v>
      </c>
      <c r="C252" s="118" t="s">
        <v>352</v>
      </c>
      <c r="D252" s="122" t="s">
        <v>313</v>
      </c>
      <c r="E252" s="119" t="s">
        <v>13</v>
      </c>
      <c r="F252" s="75">
        <f>F259</f>
        <v>71.7</v>
      </c>
      <c r="G252" s="71"/>
      <c r="H252" s="71">
        <f>ROUND(F252*G252,2)</f>
        <v>0</v>
      </c>
      <c r="I252" s="23"/>
      <c r="J252" s="42">
        <v>712</v>
      </c>
      <c r="K252" s="50"/>
      <c r="M252" s="23"/>
      <c r="N252" s="23"/>
    </row>
    <row r="253" spans="1:14" s="25" customFormat="1" x14ac:dyDescent="0.2">
      <c r="A253" s="64"/>
      <c r="B253" s="1"/>
      <c r="C253" s="3"/>
      <c r="D253" s="140" t="s">
        <v>314</v>
      </c>
      <c r="E253" s="77"/>
      <c r="F253" s="57"/>
      <c r="G253" s="1"/>
      <c r="H253" s="65"/>
      <c r="I253" s="26"/>
      <c r="J253" s="40"/>
      <c r="K253" s="43"/>
      <c r="M253" s="23"/>
      <c r="N253" s="23"/>
    </row>
    <row r="254" spans="1:14" s="25" customFormat="1" x14ac:dyDescent="0.2">
      <c r="A254" s="64"/>
      <c r="B254" s="1"/>
      <c r="C254" s="3"/>
      <c r="D254" s="59" t="s">
        <v>308</v>
      </c>
      <c r="E254" s="77"/>
      <c r="F254" s="57">
        <f>ROUND(11.2*6.4,1)</f>
        <v>71.7</v>
      </c>
      <c r="G254" s="1"/>
      <c r="H254" s="65"/>
      <c r="I254" s="26"/>
      <c r="J254" s="40"/>
      <c r="K254" s="43"/>
      <c r="M254" s="23"/>
      <c r="N254" s="23"/>
    </row>
    <row r="255" spans="1:14" s="25" customFormat="1" x14ac:dyDescent="0.2">
      <c r="A255" s="64"/>
      <c r="B255" s="1"/>
      <c r="C255" s="3"/>
      <c r="D255" s="59" t="s">
        <v>315</v>
      </c>
      <c r="E255" s="77"/>
      <c r="F255" s="57"/>
      <c r="G255" s="1"/>
      <c r="H255" s="65"/>
      <c r="I255" s="26"/>
      <c r="J255" s="40"/>
      <c r="K255" s="43"/>
      <c r="M255" s="23"/>
      <c r="N255" s="23"/>
    </row>
    <row r="256" spans="1:14" s="25" customFormat="1" x14ac:dyDescent="0.2">
      <c r="A256" s="64"/>
      <c r="B256" s="1"/>
      <c r="C256" s="3"/>
      <c r="D256" s="59" t="s">
        <v>316</v>
      </c>
      <c r="E256" s="77"/>
      <c r="F256" s="57"/>
      <c r="G256" s="1"/>
      <c r="H256" s="65"/>
      <c r="I256" s="26"/>
      <c r="J256" s="40"/>
      <c r="K256" s="43"/>
      <c r="M256" s="23"/>
      <c r="N256" s="23"/>
    </row>
    <row r="257" spans="1:14" s="25" customFormat="1" x14ac:dyDescent="0.2">
      <c r="A257" s="64"/>
      <c r="B257" s="1"/>
      <c r="C257" s="3"/>
      <c r="D257" s="59" t="s">
        <v>317</v>
      </c>
      <c r="E257" s="77"/>
      <c r="F257" s="57"/>
      <c r="G257" s="1"/>
      <c r="H257" s="65"/>
      <c r="I257" s="26"/>
      <c r="J257" s="40"/>
      <c r="K257" s="43"/>
      <c r="M257" s="23"/>
      <c r="N257" s="23"/>
    </row>
    <row r="258" spans="1:14" s="25" customFormat="1" x14ac:dyDescent="0.2">
      <c r="A258" s="64"/>
      <c r="B258" s="1"/>
      <c r="C258" s="3"/>
      <c r="D258" s="59" t="s">
        <v>318</v>
      </c>
      <c r="E258" s="77"/>
      <c r="F258" s="57"/>
      <c r="G258" s="1"/>
      <c r="H258" s="65"/>
      <c r="I258" s="26"/>
      <c r="J258" s="40"/>
      <c r="K258" s="43"/>
      <c r="M258" s="23"/>
      <c r="N258" s="23"/>
    </row>
    <row r="259" spans="1:14" s="25" customFormat="1" x14ac:dyDescent="0.2">
      <c r="A259" s="64"/>
      <c r="B259" s="1"/>
      <c r="C259" s="3"/>
      <c r="D259" s="120" t="s">
        <v>26</v>
      </c>
      <c r="E259" s="121"/>
      <c r="F259" s="63">
        <f>SUM(F253:F254)</f>
        <v>71.7</v>
      </c>
      <c r="G259" s="1"/>
      <c r="H259" s="65"/>
      <c r="I259" s="26"/>
      <c r="J259" s="40"/>
      <c r="K259" s="43"/>
      <c r="M259" s="23"/>
      <c r="N259" s="23"/>
    </row>
    <row r="260" spans="1:14" s="24" customFormat="1" ht="23.25" customHeight="1" x14ac:dyDescent="0.2">
      <c r="A260" s="11"/>
      <c r="B260" s="2"/>
      <c r="C260" s="14">
        <v>713</v>
      </c>
      <c r="D260" s="14" t="s">
        <v>50</v>
      </c>
      <c r="E260" s="11"/>
      <c r="F260" s="15"/>
      <c r="G260" s="2"/>
      <c r="H260" s="67">
        <f>SUM(H261:H282)</f>
        <v>0</v>
      </c>
      <c r="I260" s="46"/>
      <c r="J260" s="42">
        <v>713</v>
      </c>
      <c r="K260" s="51"/>
      <c r="L260" s="47"/>
      <c r="M260" s="23"/>
      <c r="N260" s="23"/>
    </row>
    <row r="261" spans="1:14" s="25" customFormat="1" ht="24" x14ac:dyDescent="0.25">
      <c r="A261" s="72">
        <f>A252+1</f>
        <v>77</v>
      </c>
      <c r="B261" s="79" t="s">
        <v>29</v>
      </c>
      <c r="C261" s="80" t="s">
        <v>53</v>
      </c>
      <c r="D261" s="80" t="s">
        <v>54</v>
      </c>
      <c r="E261" s="79" t="s">
        <v>13</v>
      </c>
      <c r="F261" s="75">
        <f>F263</f>
        <v>24.44</v>
      </c>
      <c r="G261" s="71"/>
      <c r="H261" s="71">
        <f>ROUND(F261*G261,2)</f>
        <v>0</v>
      </c>
      <c r="I261" s="23"/>
      <c r="J261" s="42">
        <v>713</v>
      </c>
      <c r="K261" s="50">
        <f>ROUND(F261*0.014,3)</f>
        <v>0.34200000000000003</v>
      </c>
      <c r="M261" s="23"/>
      <c r="N261" s="23"/>
    </row>
    <row r="262" spans="1:14" s="25" customFormat="1" x14ac:dyDescent="0.2">
      <c r="A262" s="64"/>
      <c r="B262" s="1"/>
      <c r="C262" s="1"/>
      <c r="D262" s="59" t="s">
        <v>193</v>
      </c>
      <c r="E262" s="77"/>
      <c r="F262" s="57">
        <f>ROUND(2*(11.8+7)*0.65,2)</f>
        <v>24.44</v>
      </c>
      <c r="G262" s="1"/>
      <c r="H262" s="65"/>
      <c r="I262" s="26"/>
      <c r="J262" s="40"/>
      <c r="K262" s="43"/>
      <c r="M262" s="23"/>
      <c r="N262" s="23"/>
    </row>
    <row r="263" spans="1:14" s="25" customFormat="1" x14ac:dyDescent="0.2">
      <c r="A263" s="64"/>
      <c r="B263" s="1"/>
      <c r="C263" s="1"/>
      <c r="D263" s="61" t="s">
        <v>26</v>
      </c>
      <c r="E263" s="62"/>
      <c r="F263" s="63">
        <f>SUM(F262:F262)</f>
        <v>24.44</v>
      </c>
      <c r="G263" s="1"/>
      <c r="H263" s="65"/>
      <c r="I263" s="26"/>
      <c r="J263" s="40"/>
      <c r="K263" s="43"/>
      <c r="M263" s="23"/>
      <c r="N263" s="23"/>
    </row>
    <row r="264" spans="1:14" s="25" customFormat="1" x14ac:dyDescent="0.25">
      <c r="A264" s="72">
        <f>A261+1</f>
        <v>78</v>
      </c>
      <c r="B264" s="123" t="s">
        <v>82</v>
      </c>
      <c r="C264" s="129">
        <v>2837650070</v>
      </c>
      <c r="D264" s="130" t="s">
        <v>106</v>
      </c>
      <c r="E264" s="123" t="s">
        <v>13</v>
      </c>
      <c r="F264" s="127">
        <f>F266</f>
        <v>24.93</v>
      </c>
      <c r="G264" s="111"/>
      <c r="H264" s="111">
        <f>ROUND(F264*G264,2)</f>
        <v>0</v>
      </c>
      <c r="I264" s="23"/>
      <c r="J264" s="42">
        <v>713</v>
      </c>
      <c r="K264" s="50">
        <f>ROUND(F264*0.05*0.033,3)</f>
        <v>4.1000000000000002E-2</v>
      </c>
    </row>
    <row r="265" spans="1:14" s="25" customFormat="1" x14ac:dyDescent="0.2">
      <c r="A265" s="64"/>
      <c r="B265" s="1"/>
      <c r="C265" s="1"/>
      <c r="D265" s="59" t="s">
        <v>195</v>
      </c>
      <c r="E265" s="60"/>
      <c r="F265" s="78">
        <f>ROUND(24.44*1.02,2)</f>
        <v>24.93</v>
      </c>
      <c r="G265" s="1"/>
      <c r="H265" s="65"/>
      <c r="I265" s="26"/>
      <c r="J265" s="40"/>
      <c r="K265" s="43"/>
    </row>
    <row r="266" spans="1:14" s="25" customFormat="1" x14ac:dyDescent="0.2">
      <c r="A266" s="64"/>
      <c r="B266" s="1"/>
      <c r="C266" s="1"/>
      <c r="D266" s="61" t="s">
        <v>26</v>
      </c>
      <c r="E266" s="62"/>
      <c r="F266" s="63">
        <f>SUM(F265:F265)</f>
        <v>24.93</v>
      </c>
      <c r="G266" s="1"/>
      <c r="H266" s="65"/>
      <c r="I266" s="26"/>
      <c r="J266" s="40"/>
      <c r="K266" s="43"/>
      <c r="M266" s="23"/>
      <c r="N266" s="23"/>
    </row>
    <row r="267" spans="1:14" s="25" customFormat="1" ht="24" x14ac:dyDescent="0.25">
      <c r="A267" s="72">
        <f>A264+1</f>
        <v>79</v>
      </c>
      <c r="B267" s="79" t="s">
        <v>29</v>
      </c>
      <c r="C267" s="80">
        <v>713142160</v>
      </c>
      <c r="D267" s="80" t="s">
        <v>307</v>
      </c>
      <c r="E267" s="79" t="s">
        <v>13</v>
      </c>
      <c r="F267" s="75">
        <f>F269</f>
        <v>71.7</v>
      </c>
      <c r="G267" s="71"/>
      <c r="H267" s="71">
        <f>ROUND(F267*G267,2)</f>
        <v>0</v>
      </c>
      <c r="I267" s="23"/>
      <c r="J267" s="42">
        <v>713</v>
      </c>
      <c r="K267" s="50">
        <f>ROUND(F267*0.014,3)</f>
        <v>1.004</v>
      </c>
      <c r="M267" s="23"/>
      <c r="N267" s="23"/>
    </row>
    <row r="268" spans="1:14" s="25" customFormat="1" x14ac:dyDescent="0.2">
      <c r="A268" s="64"/>
      <c r="B268" s="1"/>
      <c r="C268" s="1"/>
      <c r="D268" s="59" t="s">
        <v>310</v>
      </c>
      <c r="E268" s="77"/>
      <c r="F268" s="57">
        <f>ROUND(11.2*6.4,1)</f>
        <v>71.7</v>
      </c>
      <c r="G268" s="1"/>
      <c r="H268" s="65"/>
      <c r="I268" s="26"/>
      <c r="J268" s="40"/>
      <c r="K268" s="43"/>
    </row>
    <row r="269" spans="1:14" s="25" customFormat="1" x14ac:dyDescent="0.2">
      <c r="A269" s="64"/>
      <c r="B269" s="1"/>
      <c r="C269" s="1"/>
      <c r="D269" s="61" t="s">
        <v>26</v>
      </c>
      <c r="E269" s="62"/>
      <c r="F269" s="63">
        <f>SUM(F268:F268)</f>
        <v>71.7</v>
      </c>
      <c r="G269" s="1"/>
      <c r="H269" s="65"/>
      <c r="I269" s="26"/>
      <c r="J269" s="40"/>
      <c r="K269" s="43"/>
      <c r="M269" s="23"/>
      <c r="N269" s="23"/>
    </row>
    <row r="270" spans="1:14" s="25" customFormat="1" x14ac:dyDescent="0.25">
      <c r="A270" s="72">
        <f>A267+1</f>
        <v>80</v>
      </c>
      <c r="B270" s="123" t="s">
        <v>82</v>
      </c>
      <c r="C270" s="129">
        <v>283765</v>
      </c>
      <c r="D270" s="129" t="s">
        <v>309</v>
      </c>
      <c r="E270" s="123" t="s">
        <v>13</v>
      </c>
      <c r="F270" s="127">
        <f>F272</f>
        <v>73.13</v>
      </c>
      <c r="G270" s="111"/>
      <c r="H270" s="111">
        <f>ROUND(F270*G270,2)</f>
        <v>0</v>
      </c>
      <c r="I270" s="23"/>
      <c r="J270" s="42">
        <v>713</v>
      </c>
      <c r="K270" s="50">
        <f>ROUND(F270*0.08*0.033,3)</f>
        <v>0.193</v>
      </c>
      <c r="M270" s="23"/>
      <c r="N270" s="23"/>
    </row>
    <row r="271" spans="1:14" s="25" customFormat="1" x14ac:dyDescent="0.2">
      <c r="A271" s="64"/>
      <c r="B271" s="1"/>
      <c r="C271" s="1"/>
      <c r="D271" s="59" t="s">
        <v>306</v>
      </c>
      <c r="E271" s="60"/>
      <c r="F271" s="78">
        <f>ROUND(71.7*1.02,2)</f>
        <v>73.13</v>
      </c>
      <c r="G271" s="1"/>
      <c r="H271" s="65"/>
      <c r="I271" s="26"/>
      <c r="J271" s="40"/>
      <c r="K271" s="43"/>
      <c r="M271" s="23"/>
      <c r="N271" s="23"/>
    </row>
    <row r="272" spans="1:14" s="25" customFormat="1" x14ac:dyDescent="0.2">
      <c r="A272" s="64"/>
      <c r="B272" s="1"/>
      <c r="C272" s="1"/>
      <c r="D272" s="61" t="s">
        <v>26</v>
      </c>
      <c r="E272" s="62"/>
      <c r="F272" s="63">
        <f>SUM(F271:F271)</f>
        <v>73.13</v>
      </c>
      <c r="G272" s="1"/>
      <c r="H272" s="65"/>
      <c r="I272" s="26"/>
      <c r="J272" s="40"/>
      <c r="K272" s="43"/>
      <c r="M272" s="23"/>
      <c r="N272" s="23"/>
    </row>
    <row r="273" spans="1:14" s="25" customFormat="1" ht="24" x14ac:dyDescent="0.25">
      <c r="A273" s="72">
        <f>A270+1</f>
        <v>81</v>
      </c>
      <c r="B273" s="79" t="s">
        <v>29</v>
      </c>
      <c r="C273" s="80" t="s">
        <v>115</v>
      </c>
      <c r="D273" s="80" t="s">
        <v>118</v>
      </c>
      <c r="E273" s="79" t="s">
        <v>13</v>
      </c>
      <c r="F273" s="75">
        <f>F275</f>
        <v>71.7</v>
      </c>
      <c r="G273" s="71"/>
      <c r="H273" s="71">
        <f>ROUND(F273*G273,2)</f>
        <v>0</v>
      </c>
      <c r="I273" s="23"/>
      <c r="J273" s="42">
        <v>713</v>
      </c>
      <c r="K273" s="50">
        <f>ROUND(F273*0.014,3)</f>
        <v>1.004</v>
      </c>
      <c r="M273" s="23"/>
      <c r="N273" s="23"/>
    </row>
    <row r="274" spans="1:14" s="25" customFormat="1" x14ac:dyDescent="0.2">
      <c r="A274" s="64"/>
      <c r="B274" s="1"/>
      <c r="C274" s="1"/>
      <c r="D274" s="59" t="s">
        <v>310</v>
      </c>
      <c r="E274" s="77"/>
      <c r="F274" s="57">
        <f>ROUND(11.2*6.4,1)</f>
        <v>71.7</v>
      </c>
      <c r="G274" s="1"/>
      <c r="H274" s="65"/>
      <c r="I274" s="26"/>
      <c r="J274" s="40"/>
      <c r="K274" s="43"/>
      <c r="M274" s="23"/>
      <c r="N274" s="23"/>
    </row>
    <row r="275" spans="1:14" s="25" customFormat="1" x14ac:dyDescent="0.2">
      <c r="A275" s="64"/>
      <c r="B275" s="1"/>
      <c r="C275" s="1"/>
      <c r="D275" s="61" t="s">
        <v>26</v>
      </c>
      <c r="E275" s="62"/>
      <c r="F275" s="63">
        <f>SUM(F274:F274)</f>
        <v>71.7</v>
      </c>
      <c r="G275" s="1"/>
      <c r="H275" s="65"/>
      <c r="I275" s="26"/>
      <c r="J275" s="40"/>
      <c r="K275" s="43"/>
      <c r="M275" s="23"/>
      <c r="N275" s="23"/>
    </row>
    <row r="276" spans="1:14" s="25" customFormat="1" ht="24" x14ac:dyDescent="0.25">
      <c r="A276" s="72">
        <f>A273+1</f>
        <v>82</v>
      </c>
      <c r="B276" s="123" t="s">
        <v>82</v>
      </c>
      <c r="C276" s="129">
        <v>2837650300</v>
      </c>
      <c r="D276" s="129" t="s">
        <v>305</v>
      </c>
      <c r="E276" s="123" t="s">
        <v>13</v>
      </c>
      <c r="F276" s="127">
        <f>F278</f>
        <v>73.13</v>
      </c>
      <c r="G276" s="111"/>
      <c r="H276" s="111">
        <f>ROUND(F276*G276,2)</f>
        <v>0</v>
      </c>
      <c r="I276" s="23"/>
      <c r="J276" s="42">
        <v>713</v>
      </c>
      <c r="K276" s="50">
        <f>ROUND(F276*0.2*0.033,3)</f>
        <v>0.48299999999999998</v>
      </c>
      <c r="M276" s="23"/>
      <c r="N276" s="23"/>
    </row>
    <row r="277" spans="1:14" s="25" customFormat="1" x14ac:dyDescent="0.2">
      <c r="A277" s="64"/>
      <c r="B277" s="1"/>
      <c r="C277" s="1"/>
      <c r="D277" s="59" t="s">
        <v>306</v>
      </c>
      <c r="E277" s="60"/>
      <c r="F277" s="78">
        <f>ROUND(71.7*1.02,2)</f>
        <v>73.13</v>
      </c>
      <c r="G277" s="1"/>
      <c r="H277" s="65"/>
      <c r="I277" s="26"/>
      <c r="J277" s="40"/>
      <c r="K277" s="43"/>
      <c r="M277" s="23"/>
      <c r="N277" s="23"/>
    </row>
    <row r="278" spans="1:14" s="25" customFormat="1" x14ac:dyDescent="0.2">
      <c r="A278" s="64"/>
      <c r="B278" s="1"/>
      <c r="C278" s="1"/>
      <c r="D278" s="61" t="s">
        <v>26</v>
      </c>
      <c r="E278" s="62"/>
      <c r="F278" s="63">
        <f>SUM(F277:F277)</f>
        <v>73.13</v>
      </c>
      <c r="G278" s="1"/>
      <c r="H278" s="65"/>
      <c r="I278" s="26"/>
      <c r="J278" s="40"/>
      <c r="K278" s="43"/>
      <c r="M278" s="23"/>
      <c r="N278" s="23"/>
    </row>
    <row r="279" spans="1:14" s="25" customFormat="1" x14ac:dyDescent="0.25">
      <c r="A279" s="72">
        <f>A276+1</f>
        <v>83</v>
      </c>
      <c r="B279" s="79" t="s">
        <v>29</v>
      </c>
      <c r="C279" s="80" t="s">
        <v>107</v>
      </c>
      <c r="D279" s="80" t="s">
        <v>108</v>
      </c>
      <c r="E279" s="79" t="s">
        <v>13</v>
      </c>
      <c r="F279" s="75">
        <f>F281</f>
        <v>8.8000000000000007</v>
      </c>
      <c r="G279" s="71"/>
      <c r="H279" s="71">
        <f>ROUND(F279*G279,2)</f>
        <v>0</v>
      </c>
      <c r="I279" s="23"/>
      <c r="J279" s="42">
        <v>713</v>
      </c>
      <c r="K279" s="50"/>
      <c r="M279" s="23"/>
      <c r="N279" s="23"/>
    </row>
    <row r="280" spans="1:14" s="25" customFormat="1" x14ac:dyDescent="0.2">
      <c r="A280" s="64"/>
      <c r="B280" s="1"/>
      <c r="C280" s="1"/>
      <c r="D280" s="59" t="s">
        <v>254</v>
      </c>
      <c r="E280" s="77"/>
      <c r="F280" s="57">
        <f>ROUND(2*(11.2+6.4)*0.25,2)</f>
        <v>8.8000000000000007</v>
      </c>
      <c r="G280" s="1"/>
      <c r="H280" s="65"/>
      <c r="I280" s="26"/>
      <c r="J280" s="40"/>
      <c r="K280" s="43"/>
      <c r="M280" s="23"/>
      <c r="N280" s="23"/>
    </row>
    <row r="281" spans="1:14" s="25" customFormat="1" x14ac:dyDescent="0.2">
      <c r="A281" s="64"/>
      <c r="B281" s="1"/>
      <c r="C281" s="1"/>
      <c r="D281" s="61" t="s">
        <v>26</v>
      </c>
      <c r="E281" s="62"/>
      <c r="F281" s="63">
        <f>SUM(F280:F280)</f>
        <v>8.8000000000000007</v>
      </c>
      <c r="G281" s="1"/>
      <c r="H281" s="65"/>
      <c r="I281" s="26"/>
      <c r="J281" s="40"/>
      <c r="K281" s="43"/>
      <c r="M281" s="23"/>
      <c r="N281" s="23"/>
    </row>
    <row r="282" spans="1:14" s="25" customFormat="1" ht="24" x14ac:dyDescent="0.25">
      <c r="A282" s="72">
        <f>A279+1</f>
        <v>84</v>
      </c>
      <c r="B282" s="123" t="s">
        <v>82</v>
      </c>
      <c r="C282" s="129" t="s">
        <v>55</v>
      </c>
      <c r="D282" s="129" t="s">
        <v>56</v>
      </c>
      <c r="E282" s="123" t="s">
        <v>13</v>
      </c>
      <c r="F282" s="127">
        <f>F284</f>
        <v>8.98</v>
      </c>
      <c r="G282" s="111"/>
      <c r="H282" s="111">
        <f>ROUND(F282*G282,2)</f>
        <v>0</v>
      </c>
      <c r="I282" s="23"/>
      <c r="J282" s="42">
        <v>713</v>
      </c>
      <c r="K282" s="50">
        <f>ROUND(F282*0.05*0.033,3)</f>
        <v>1.4999999999999999E-2</v>
      </c>
      <c r="M282" s="23"/>
      <c r="N282" s="23"/>
    </row>
    <row r="283" spans="1:14" s="25" customFormat="1" x14ac:dyDescent="0.2">
      <c r="A283" s="64"/>
      <c r="B283" s="1"/>
      <c r="C283" s="1"/>
      <c r="D283" s="59" t="s">
        <v>255</v>
      </c>
      <c r="E283" s="60"/>
      <c r="F283" s="78">
        <f>ROUND(8.8*1.02,2)</f>
        <v>8.98</v>
      </c>
      <c r="G283" s="1"/>
      <c r="H283" s="65"/>
      <c r="I283" s="26"/>
      <c r="J283" s="40"/>
      <c r="K283" s="43"/>
      <c r="M283" s="23"/>
      <c r="N283" s="23"/>
    </row>
    <row r="284" spans="1:14" s="25" customFormat="1" x14ac:dyDescent="0.2">
      <c r="A284" s="64"/>
      <c r="B284" s="1"/>
      <c r="C284" s="1"/>
      <c r="D284" s="61" t="s">
        <v>26</v>
      </c>
      <c r="E284" s="62"/>
      <c r="F284" s="63">
        <f>SUM(F283:F283)</f>
        <v>8.98</v>
      </c>
      <c r="G284" s="1"/>
      <c r="H284" s="65"/>
      <c r="I284" s="26"/>
      <c r="J284" s="40"/>
      <c r="K284" s="43"/>
      <c r="M284" s="23"/>
      <c r="N284" s="23"/>
    </row>
    <row r="285" spans="1:14" s="24" customFormat="1" ht="23.25" customHeight="1" x14ac:dyDescent="0.2">
      <c r="A285" s="11"/>
      <c r="B285" s="2"/>
      <c r="C285" s="14">
        <v>762</v>
      </c>
      <c r="D285" s="14" t="s">
        <v>43</v>
      </c>
      <c r="E285" s="11"/>
      <c r="F285" s="15"/>
      <c r="G285" s="2"/>
      <c r="H285" s="67">
        <f>SUM(H286:H297)</f>
        <v>0</v>
      </c>
      <c r="I285" s="46"/>
      <c r="J285" s="42">
        <v>762</v>
      </c>
      <c r="K285" s="43"/>
      <c r="L285" s="47"/>
      <c r="M285" s="23"/>
      <c r="N285" s="23"/>
    </row>
    <row r="286" spans="1:14" s="25" customFormat="1" ht="24" x14ac:dyDescent="0.25">
      <c r="A286" s="72">
        <f>A282+1</f>
        <v>85</v>
      </c>
      <c r="B286" s="79" t="s">
        <v>44</v>
      </c>
      <c r="C286" s="80">
        <v>762421304</v>
      </c>
      <c r="D286" s="80" t="s">
        <v>250</v>
      </c>
      <c r="E286" s="79" t="s">
        <v>12</v>
      </c>
      <c r="F286" s="75">
        <f>F288</f>
        <v>40.1</v>
      </c>
      <c r="G286" s="71"/>
      <c r="H286" s="71">
        <f>ROUND(F286*G286,2)</f>
        <v>0</v>
      </c>
      <c r="I286" s="23"/>
      <c r="J286" s="42">
        <v>762</v>
      </c>
      <c r="K286" s="50">
        <f>ROUND(F286*0.018*0.48,3)</f>
        <v>0.34599999999999997</v>
      </c>
      <c r="M286" s="23"/>
      <c r="N286" s="23"/>
    </row>
    <row r="287" spans="1:14" s="25" customFormat="1" x14ac:dyDescent="0.2">
      <c r="A287" s="64"/>
      <c r="B287" s="1"/>
      <c r="C287" s="1"/>
      <c r="D287" s="59" t="s">
        <v>251</v>
      </c>
      <c r="E287" s="60"/>
      <c r="F287" s="57">
        <f>ROUND(2*(13.16+6.3)*1.03,1)</f>
        <v>40.1</v>
      </c>
      <c r="G287" s="1"/>
      <c r="H287" s="65"/>
      <c r="I287" s="26"/>
      <c r="J287" s="40"/>
      <c r="K287" s="43"/>
      <c r="M287" s="23"/>
      <c r="N287" s="23"/>
    </row>
    <row r="288" spans="1:14" s="25" customFormat="1" x14ac:dyDescent="0.2">
      <c r="A288" s="64"/>
      <c r="B288" s="1"/>
      <c r="C288" s="1"/>
      <c r="D288" s="61" t="s">
        <v>26</v>
      </c>
      <c r="E288" s="62"/>
      <c r="F288" s="63">
        <f>SUM(F287:F287)</f>
        <v>40.1</v>
      </c>
      <c r="G288" s="1"/>
      <c r="H288" s="65"/>
      <c r="I288" s="26"/>
      <c r="J288" s="40"/>
      <c r="K288" s="43"/>
      <c r="M288" s="23"/>
      <c r="N288" s="23"/>
    </row>
    <row r="289" spans="1:14" s="25" customFormat="1" ht="24" x14ac:dyDescent="0.25">
      <c r="A289" s="72">
        <f>A286+1</f>
        <v>86</v>
      </c>
      <c r="B289" s="79" t="s">
        <v>29</v>
      </c>
      <c r="C289" s="80">
        <v>762712110</v>
      </c>
      <c r="D289" s="80" t="s">
        <v>252</v>
      </c>
      <c r="E289" s="79" t="s">
        <v>14</v>
      </c>
      <c r="F289" s="75">
        <f>F294</f>
        <v>97.199999999999989</v>
      </c>
      <c r="G289" s="71"/>
      <c r="H289" s="71">
        <f>ROUND(F289*G289,2)</f>
        <v>0</v>
      </c>
      <c r="I289" s="23"/>
      <c r="J289" s="42">
        <v>762</v>
      </c>
      <c r="K289" s="50"/>
      <c r="M289" s="23"/>
      <c r="N289" s="23"/>
    </row>
    <row r="290" spans="1:14" s="25" customFormat="1" x14ac:dyDescent="0.2">
      <c r="A290" s="64"/>
      <c r="B290" s="1"/>
      <c r="C290" s="1"/>
      <c r="D290" s="59" t="s">
        <v>260</v>
      </c>
      <c r="E290" s="60"/>
      <c r="F290" s="57"/>
      <c r="G290" s="1"/>
      <c r="H290" s="65"/>
      <c r="I290" s="26"/>
      <c r="J290" s="40"/>
      <c r="K290" s="43"/>
      <c r="M290" s="23"/>
      <c r="N290" s="23"/>
    </row>
    <row r="291" spans="1:14" s="25" customFormat="1" x14ac:dyDescent="0.2">
      <c r="A291" s="64"/>
      <c r="B291" s="1"/>
      <c r="C291" s="1"/>
      <c r="D291" s="59" t="s">
        <v>261</v>
      </c>
      <c r="E291" s="60"/>
      <c r="F291" s="57">
        <f>72*0.67</f>
        <v>48.24</v>
      </c>
      <c r="G291" s="1"/>
      <c r="H291" s="65"/>
      <c r="I291" s="26"/>
      <c r="J291" s="40"/>
      <c r="K291" s="43"/>
      <c r="M291" s="23"/>
      <c r="N291" s="23"/>
    </row>
    <row r="292" spans="1:14" s="25" customFormat="1" x14ac:dyDescent="0.2">
      <c r="A292" s="64"/>
      <c r="B292" s="1"/>
      <c r="C292" s="1"/>
      <c r="D292" s="59" t="s">
        <v>262</v>
      </c>
      <c r="E292" s="60"/>
      <c r="F292" s="57">
        <f>36*0.42</f>
        <v>15.12</v>
      </c>
      <c r="G292" s="1"/>
      <c r="H292" s="65"/>
      <c r="I292" s="26"/>
      <c r="J292" s="40"/>
      <c r="K292" s="43"/>
      <c r="M292" s="23"/>
      <c r="N292" s="23"/>
    </row>
    <row r="293" spans="1:14" s="25" customFormat="1" x14ac:dyDescent="0.2">
      <c r="A293" s="64"/>
      <c r="B293" s="1"/>
      <c r="C293" s="1"/>
      <c r="D293" s="59" t="s">
        <v>263</v>
      </c>
      <c r="E293" s="60"/>
      <c r="F293" s="57">
        <f>36*0.94</f>
        <v>33.839999999999996</v>
      </c>
      <c r="G293" s="1"/>
      <c r="H293" s="65"/>
      <c r="I293" s="26"/>
      <c r="J293" s="40"/>
      <c r="K293" s="43"/>
      <c r="M293" s="23"/>
      <c r="N293" s="23"/>
    </row>
    <row r="294" spans="1:14" s="25" customFormat="1" x14ac:dyDescent="0.2">
      <c r="A294" s="64"/>
      <c r="B294" s="1"/>
      <c r="C294" s="1"/>
      <c r="D294" s="61" t="s">
        <v>26</v>
      </c>
      <c r="E294" s="62"/>
      <c r="F294" s="63">
        <f>SUM(F290:F293)</f>
        <v>97.199999999999989</v>
      </c>
      <c r="G294" s="1"/>
      <c r="H294" s="65"/>
      <c r="I294" s="26"/>
      <c r="J294" s="40"/>
      <c r="K294" s="43"/>
      <c r="M294" s="23"/>
      <c r="N294" s="23"/>
    </row>
    <row r="295" spans="1:14" s="25" customFormat="1" ht="24" x14ac:dyDescent="0.25">
      <c r="A295" s="72">
        <f>A289+1</f>
        <v>87</v>
      </c>
      <c r="B295" s="123" t="s">
        <v>82</v>
      </c>
      <c r="C295" s="129">
        <v>6051200005</v>
      </c>
      <c r="D295" s="129" t="s">
        <v>253</v>
      </c>
      <c r="E295" s="123" t="s">
        <v>12</v>
      </c>
      <c r="F295" s="127">
        <f>F297</f>
        <v>0.41599999999999998</v>
      </c>
      <c r="G295" s="111"/>
      <c r="H295" s="111">
        <f>ROUND(F295*G295,2)</f>
        <v>0</v>
      </c>
      <c r="I295" s="23"/>
      <c r="J295" s="42">
        <v>762</v>
      </c>
      <c r="K295" s="50">
        <f>ROUND(F295*0.475,3)</f>
        <v>0.19800000000000001</v>
      </c>
      <c r="M295" s="23"/>
      <c r="N295" s="23"/>
    </row>
    <row r="296" spans="1:14" s="25" customFormat="1" x14ac:dyDescent="0.2">
      <c r="A296" s="64"/>
      <c r="B296" s="1"/>
      <c r="C296" s="1"/>
      <c r="D296" s="59" t="s">
        <v>264</v>
      </c>
      <c r="E296" s="60"/>
      <c r="F296" s="57">
        <f>ROUND(97.2*0.12*0.035*1.02,3)</f>
        <v>0.41599999999999998</v>
      </c>
      <c r="G296" s="1"/>
      <c r="H296" s="65"/>
      <c r="I296" s="26"/>
      <c r="J296" s="40"/>
      <c r="K296" s="51"/>
    </row>
    <row r="297" spans="1:14" s="25" customFormat="1" x14ac:dyDescent="0.2">
      <c r="A297" s="64"/>
      <c r="B297" s="1"/>
      <c r="C297" s="1"/>
      <c r="D297" s="61" t="s">
        <v>26</v>
      </c>
      <c r="E297" s="62"/>
      <c r="F297" s="63">
        <f>SUM(F296:F296)</f>
        <v>0.41599999999999998</v>
      </c>
      <c r="G297" s="1"/>
      <c r="H297" s="65"/>
      <c r="I297" s="26"/>
      <c r="J297" s="40"/>
      <c r="K297" s="51"/>
    </row>
    <row r="298" spans="1:14" s="24" customFormat="1" ht="23.25" customHeight="1" x14ac:dyDescent="0.2">
      <c r="A298" s="11"/>
      <c r="B298" s="2"/>
      <c r="C298" s="14">
        <v>763</v>
      </c>
      <c r="D298" s="14" t="s">
        <v>144</v>
      </c>
      <c r="E298" s="11"/>
      <c r="F298" s="15"/>
      <c r="G298" s="2"/>
      <c r="H298" s="67">
        <f>SUM(H299:H302)</f>
        <v>0</v>
      </c>
      <c r="I298" s="46"/>
      <c r="J298" s="42">
        <v>763</v>
      </c>
      <c r="K298" s="51"/>
      <c r="L298" s="47"/>
      <c r="M298" s="23"/>
    </row>
    <row r="299" spans="1:14" s="25" customFormat="1" ht="36" x14ac:dyDescent="0.2">
      <c r="A299" s="72">
        <f>A295+1</f>
        <v>88</v>
      </c>
      <c r="B299" s="73">
        <v>763</v>
      </c>
      <c r="C299" s="74" t="s">
        <v>145</v>
      </c>
      <c r="D299" s="74" t="s">
        <v>147</v>
      </c>
      <c r="E299" s="73" t="s">
        <v>13</v>
      </c>
      <c r="F299" s="75">
        <f>F302</f>
        <v>14.95</v>
      </c>
      <c r="G299" s="71"/>
      <c r="H299" s="71">
        <f>ROUND(F299*G299,2)</f>
        <v>0</v>
      </c>
      <c r="I299" s="23" t="s">
        <v>146</v>
      </c>
      <c r="J299" s="42">
        <v>763</v>
      </c>
      <c r="K299" s="50">
        <f>ROUND(F299*2*0.0125*1.8,3)</f>
        <v>0.67300000000000004</v>
      </c>
      <c r="L299" s="47"/>
    </row>
    <row r="300" spans="1:14" s="25" customFormat="1" ht="14.25" x14ac:dyDescent="0.2">
      <c r="A300" s="64"/>
      <c r="B300" s="1"/>
      <c r="C300" s="1"/>
      <c r="D300" s="59" t="s">
        <v>196</v>
      </c>
      <c r="E300" s="60"/>
      <c r="F300" s="57">
        <f>ROUND((1.915+1.83+1.895)*(1.2+0.15)+2*1.83*(1.2+0.21),2)</f>
        <v>12.77</v>
      </c>
      <c r="G300" s="1"/>
      <c r="H300" s="65"/>
      <c r="I300" s="26"/>
      <c r="J300" s="40"/>
      <c r="K300" s="27"/>
      <c r="L300" s="47"/>
      <c r="M300" s="84"/>
    </row>
    <row r="301" spans="1:14" s="25" customFormat="1" ht="14.25" x14ac:dyDescent="0.2">
      <c r="A301" s="64"/>
      <c r="B301" s="1"/>
      <c r="C301" s="1"/>
      <c r="D301" s="59" t="s">
        <v>197</v>
      </c>
      <c r="E301" s="60"/>
      <c r="F301" s="57">
        <f>ROUND(2*(0.15+0.225)*2.9,2)</f>
        <v>2.1800000000000002</v>
      </c>
      <c r="G301" s="1"/>
      <c r="H301" s="65"/>
      <c r="I301" s="26"/>
      <c r="J301" s="40"/>
      <c r="K301" s="27"/>
      <c r="L301" s="47"/>
      <c r="M301" s="84"/>
    </row>
    <row r="302" spans="1:14" s="25" customFormat="1" ht="14.25" x14ac:dyDescent="0.2">
      <c r="A302" s="64"/>
      <c r="B302" s="1"/>
      <c r="C302" s="1"/>
      <c r="D302" s="61" t="s">
        <v>26</v>
      </c>
      <c r="E302" s="62"/>
      <c r="F302" s="63">
        <f>SUM(F300:F301)</f>
        <v>14.95</v>
      </c>
      <c r="G302" s="1"/>
      <c r="H302" s="65"/>
      <c r="I302" s="26"/>
      <c r="J302" s="40"/>
      <c r="K302" s="27"/>
      <c r="L302" s="47"/>
    </row>
    <row r="303" spans="1:14" s="24" customFormat="1" ht="23.25" customHeight="1" x14ac:dyDescent="0.2">
      <c r="A303" s="11"/>
      <c r="B303" s="2"/>
      <c r="C303" s="14">
        <v>764</v>
      </c>
      <c r="D303" s="14" t="s">
        <v>80</v>
      </c>
      <c r="E303" s="11"/>
      <c r="F303" s="15"/>
      <c r="G303" s="2"/>
      <c r="H303" s="67">
        <f>SUM(H304:H307)</f>
        <v>0</v>
      </c>
      <c r="I303" s="46"/>
      <c r="J303" s="42">
        <v>764</v>
      </c>
      <c r="K303" s="51"/>
      <c r="L303" s="47"/>
      <c r="M303" s="23"/>
      <c r="N303" s="23"/>
    </row>
    <row r="304" spans="1:14" s="25" customFormat="1" ht="24" x14ac:dyDescent="0.25">
      <c r="A304" s="72">
        <f>A299+1</f>
        <v>89</v>
      </c>
      <c r="B304" s="79" t="s">
        <v>29</v>
      </c>
      <c r="C304" s="80" t="s">
        <v>350</v>
      </c>
      <c r="D304" s="74" t="s">
        <v>291</v>
      </c>
      <c r="E304" s="73" t="s">
        <v>14</v>
      </c>
      <c r="F304" s="75">
        <f>F306</f>
        <v>43.2</v>
      </c>
      <c r="G304" s="71"/>
      <c r="H304" s="71">
        <f>ROUND(F304*G304,2)</f>
        <v>0</v>
      </c>
      <c r="I304" s="23"/>
      <c r="J304" s="42">
        <v>764</v>
      </c>
      <c r="K304" s="50">
        <f>ROUND(F304*0.25*0.001*8,3)</f>
        <v>8.5999999999999993E-2</v>
      </c>
      <c r="M304" s="23"/>
      <c r="N304" s="23"/>
    </row>
    <row r="305" spans="1:16" s="25" customFormat="1" x14ac:dyDescent="0.2">
      <c r="A305" s="64"/>
      <c r="B305" s="1"/>
      <c r="C305" s="1"/>
      <c r="D305" s="59" t="s">
        <v>292</v>
      </c>
      <c r="E305" s="77"/>
      <c r="F305" s="57">
        <f>2*(13.2+8.4)</f>
        <v>43.2</v>
      </c>
      <c r="G305" s="1"/>
      <c r="H305" s="65"/>
      <c r="I305" s="26"/>
      <c r="J305" s="40"/>
      <c r="K305" s="51"/>
      <c r="M305" s="23"/>
      <c r="N305" s="23"/>
    </row>
    <row r="306" spans="1:16" s="25" customFormat="1" x14ac:dyDescent="0.2">
      <c r="A306" s="64"/>
      <c r="B306" s="1"/>
      <c r="C306" s="1"/>
      <c r="D306" s="61" t="s">
        <v>26</v>
      </c>
      <c r="E306" s="62"/>
      <c r="F306" s="63">
        <f>SUM(F305:F305)</f>
        <v>43.2</v>
      </c>
      <c r="G306" s="1"/>
      <c r="H306" s="65"/>
      <c r="I306" s="26"/>
      <c r="J306" s="40"/>
      <c r="K306" s="51"/>
      <c r="M306" s="23"/>
      <c r="N306" s="23"/>
    </row>
    <row r="307" spans="1:16" s="25" customFormat="1" ht="24" x14ac:dyDescent="0.25">
      <c r="A307" s="72">
        <f>A304+1</f>
        <v>90</v>
      </c>
      <c r="B307" s="79" t="s">
        <v>29</v>
      </c>
      <c r="C307" s="80" t="s">
        <v>351</v>
      </c>
      <c r="D307" s="80" t="s">
        <v>290</v>
      </c>
      <c r="E307" s="79" t="s">
        <v>14</v>
      </c>
      <c r="F307" s="153">
        <f>F309</f>
        <v>10.8</v>
      </c>
      <c r="G307" s="71"/>
      <c r="H307" s="71">
        <f>ROUND(F307*G307,2)</f>
        <v>0</v>
      </c>
      <c r="I307" s="23"/>
      <c r="J307" s="42">
        <v>764</v>
      </c>
      <c r="K307" s="50">
        <f>ROUND(F307*0.15*0.001*8,3)</f>
        <v>1.2999999999999999E-2</v>
      </c>
      <c r="M307" s="23"/>
      <c r="N307" s="23"/>
    </row>
    <row r="308" spans="1:16" s="25" customFormat="1" x14ac:dyDescent="0.2">
      <c r="A308" s="64"/>
      <c r="B308" s="1"/>
      <c r="C308" s="1"/>
      <c r="D308" s="154" t="s">
        <v>363</v>
      </c>
      <c r="E308" s="155"/>
      <c r="F308" s="156">
        <f>4*1.2+2.4+1.8+1.8</f>
        <v>10.8</v>
      </c>
      <c r="G308" s="1"/>
      <c r="H308" s="65"/>
      <c r="I308" s="26"/>
      <c r="J308" s="40"/>
      <c r="K308" s="51"/>
      <c r="M308" s="23"/>
      <c r="N308" s="23"/>
    </row>
    <row r="309" spans="1:16" s="25" customFormat="1" x14ac:dyDescent="0.2">
      <c r="A309" s="64"/>
      <c r="B309" s="1"/>
      <c r="C309" s="1"/>
      <c r="D309" s="157" t="s">
        <v>26</v>
      </c>
      <c r="E309" s="158"/>
      <c r="F309" s="159">
        <f>SUM(F308:F308)</f>
        <v>10.8</v>
      </c>
      <c r="G309" s="1"/>
      <c r="H309" s="65"/>
      <c r="I309" s="26"/>
      <c r="J309" s="40"/>
      <c r="K309" s="51"/>
      <c r="M309" s="23"/>
      <c r="N309" s="23"/>
    </row>
    <row r="310" spans="1:16" s="24" customFormat="1" ht="23.25" customHeight="1" x14ac:dyDescent="0.2">
      <c r="A310" s="11"/>
      <c r="B310" s="2"/>
      <c r="C310" s="14">
        <v>766</v>
      </c>
      <c r="D310" s="14" t="s">
        <v>47</v>
      </c>
      <c r="E310" s="11"/>
      <c r="F310" s="15"/>
      <c r="G310" s="2"/>
      <c r="H310" s="67">
        <f>SUM(H311:H325)</f>
        <v>0</v>
      </c>
      <c r="I310" s="46"/>
      <c r="J310" s="42">
        <v>766</v>
      </c>
      <c r="K310" s="51"/>
      <c r="L310" s="47"/>
      <c r="M310" s="23"/>
      <c r="N310" s="23"/>
      <c r="O310" s="25"/>
      <c r="P310" s="25"/>
    </row>
    <row r="311" spans="1:16" s="25" customFormat="1" x14ac:dyDescent="0.25">
      <c r="A311" s="72">
        <f>A307+1</f>
        <v>91</v>
      </c>
      <c r="B311" s="79">
        <v>766</v>
      </c>
      <c r="C311" s="80" t="s">
        <v>131</v>
      </c>
      <c r="D311" s="131" t="s">
        <v>198</v>
      </c>
      <c r="E311" s="79" t="s">
        <v>13</v>
      </c>
      <c r="F311" s="75">
        <f>F313</f>
        <v>54.72</v>
      </c>
      <c r="G311" s="71"/>
      <c r="H311" s="71">
        <f>ROUND(F311*G311,2)</f>
        <v>0</v>
      </c>
      <c r="I311" s="23"/>
      <c r="J311" s="42">
        <v>766</v>
      </c>
      <c r="K311" s="50"/>
      <c r="M311" s="23"/>
      <c r="N311" s="23"/>
    </row>
    <row r="312" spans="1:16" s="25" customFormat="1" x14ac:dyDescent="0.2">
      <c r="A312" s="64"/>
      <c r="B312" s="1"/>
      <c r="C312" s="1"/>
      <c r="D312" s="59" t="s">
        <v>247</v>
      </c>
      <c r="E312" s="132"/>
      <c r="F312" s="57">
        <f>ROUND(2*(8.4+13.2)*0.72+2*(13.16+7.2)*0.58,2)</f>
        <v>54.72</v>
      </c>
      <c r="G312" s="1"/>
      <c r="H312" s="65"/>
      <c r="I312" s="26"/>
      <c r="J312" s="40"/>
      <c r="K312" s="51"/>
      <c r="M312" s="23"/>
      <c r="N312" s="23"/>
    </row>
    <row r="313" spans="1:16" s="25" customFormat="1" x14ac:dyDescent="0.2">
      <c r="A313" s="64"/>
      <c r="B313" s="1"/>
      <c r="C313" s="1"/>
      <c r="D313" s="61" t="s">
        <v>26</v>
      </c>
      <c r="E313" s="62"/>
      <c r="F313" s="63">
        <f>SUM(F312:F312)</f>
        <v>54.72</v>
      </c>
      <c r="G313" s="1"/>
      <c r="H313" s="65"/>
      <c r="I313" s="26"/>
      <c r="J313" s="40"/>
      <c r="K313" s="51"/>
      <c r="M313" s="23"/>
      <c r="N313" s="23"/>
    </row>
    <row r="314" spans="1:16" s="25" customFormat="1" ht="24" x14ac:dyDescent="0.25">
      <c r="A314" s="72">
        <f>A311+1</f>
        <v>92</v>
      </c>
      <c r="B314" s="123">
        <v>766</v>
      </c>
      <c r="C314" s="129" t="s">
        <v>132</v>
      </c>
      <c r="D314" s="129" t="s">
        <v>248</v>
      </c>
      <c r="E314" s="123" t="s">
        <v>12</v>
      </c>
      <c r="F314" s="127">
        <f>F316</f>
        <v>1.25</v>
      </c>
      <c r="G314" s="111"/>
      <c r="H314" s="111">
        <f>ROUND(F314*G314,2)</f>
        <v>0</v>
      </c>
      <c r="I314" s="23"/>
      <c r="J314" s="42">
        <v>766</v>
      </c>
      <c r="K314" s="50">
        <f>ROUND(F314*0.48,3)</f>
        <v>0.6</v>
      </c>
      <c r="M314" s="23"/>
      <c r="N314" s="23"/>
    </row>
    <row r="315" spans="1:16" s="25" customFormat="1" x14ac:dyDescent="0.2">
      <c r="A315" s="64"/>
      <c r="B315" s="1"/>
      <c r="C315" s="1"/>
      <c r="D315" s="59" t="s">
        <v>249</v>
      </c>
      <c r="E315" s="132"/>
      <c r="F315" s="57">
        <f>ROUND(54.72*0.022*1.04,2)</f>
        <v>1.25</v>
      </c>
      <c r="G315" s="1"/>
      <c r="H315" s="65"/>
      <c r="I315" s="26"/>
      <c r="J315" s="40"/>
      <c r="K315" s="51"/>
      <c r="M315" s="23"/>
      <c r="N315" s="23"/>
    </row>
    <row r="316" spans="1:16" s="25" customFormat="1" x14ac:dyDescent="0.2">
      <c r="A316" s="64"/>
      <c r="B316" s="1"/>
      <c r="C316" s="1"/>
      <c r="D316" s="61" t="s">
        <v>26</v>
      </c>
      <c r="E316" s="62"/>
      <c r="F316" s="63">
        <f>SUM(F315:F315)</f>
        <v>1.25</v>
      </c>
      <c r="G316" s="1"/>
      <c r="H316" s="65"/>
      <c r="I316" s="26"/>
      <c r="J316" s="40"/>
      <c r="K316" s="51"/>
      <c r="M316" s="23"/>
      <c r="N316" s="23"/>
    </row>
    <row r="317" spans="1:16" s="25" customFormat="1" ht="24" x14ac:dyDescent="0.25">
      <c r="A317" s="72">
        <f>A314+1</f>
        <v>93</v>
      </c>
      <c r="B317" s="79">
        <v>766</v>
      </c>
      <c r="C317" s="80" t="s">
        <v>101</v>
      </c>
      <c r="D317" s="80" t="s">
        <v>102</v>
      </c>
      <c r="E317" s="79" t="s">
        <v>19</v>
      </c>
      <c r="F317" s="75">
        <f>F321</f>
        <v>6</v>
      </c>
      <c r="G317" s="71"/>
      <c r="H317" s="71">
        <f>ROUND(F317*G317,2)</f>
        <v>0</v>
      </c>
      <c r="I317" s="23"/>
      <c r="J317" s="42">
        <v>766</v>
      </c>
      <c r="K317" s="50">
        <f>ROUND(F317*0.015,3)</f>
        <v>0.09</v>
      </c>
    </row>
    <row r="318" spans="1:16" s="25" customFormat="1" x14ac:dyDescent="0.2">
      <c r="A318" s="64"/>
      <c r="B318" s="1"/>
      <c r="C318" s="1"/>
      <c r="D318" s="59" t="s">
        <v>235</v>
      </c>
      <c r="E318" s="60"/>
      <c r="F318" s="78">
        <v>3</v>
      </c>
      <c r="G318" s="1"/>
      <c r="H318" s="65"/>
      <c r="I318" s="26"/>
      <c r="J318" s="40"/>
      <c r="K318" s="51"/>
    </row>
    <row r="319" spans="1:16" s="25" customFormat="1" x14ac:dyDescent="0.2">
      <c r="A319" s="64"/>
      <c r="B319" s="1"/>
      <c r="C319" s="1"/>
      <c r="D319" s="59" t="s">
        <v>224</v>
      </c>
      <c r="E319" s="60"/>
      <c r="F319" s="78">
        <v>1</v>
      </c>
      <c r="G319" s="1"/>
      <c r="H319" s="65"/>
      <c r="I319" s="26"/>
      <c r="J319" s="40"/>
      <c r="K319" s="51"/>
    </row>
    <row r="320" spans="1:16" s="25" customFormat="1" x14ac:dyDescent="0.2">
      <c r="A320" s="64"/>
      <c r="B320" s="1"/>
      <c r="C320" s="1"/>
      <c r="D320" s="59" t="s">
        <v>236</v>
      </c>
      <c r="E320" s="60"/>
      <c r="F320" s="78">
        <v>2</v>
      </c>
      <c r="G320" s="1"/>
      <c r="H320" s="65"/>
      <c r="I320" s="26"/>
      <c r="J320" s="40"/>
      <c r="K320" s="51"/>
    </row>
    <row r="321" spans="1:16" s="25" customFormat="1" x14ac:dyDescent="0.2">
      <c r="A321" s="64"/>
      <c r="B321" s="1"/>
      <c r="C321" s="1"/>
      <c r="D321" s="61" t="s">
        <v>26</v>
      </c>
      <c r="E321" s="62"/>
      <c r="F321" s="63">
        <f>SUM(F318:F320)</f>
        <v>6</v>
      </c>
      <c r="G321" s="1"/>
      <c r="H321" s="65"/>
      <c r="I321" s="26"/>
      <c r="J321" s="40"/>
      <c r="K321" s="51"/>
      <c r="M321" s="23"/>
      <c r="N321" s="23"/>
    </row>
    <row r="322" spans="1:16" s="25" customFormat="1" ht="48" x14ac:dyDescent="0.25">
      <c r="A322" s="72">
        <f>A317+1</f>
        <v>94</v>
      </c>
      <c r="B322" s="123" t="s">
        <v>45</v>
      </c>
      <c r="C322" s="129" t="s">
        <v>100</v>
      </c>
      <c r="D322" s="129" t="s">
        <v>227</v>
      </c>
      <c r="E322" s="123" t="s">
        <v>19</v>
      </c>
      <c r="F322" s="127">
        <v>3</v>
      </c>
      <c r="G322" s="111"/>
      <c r="H322" s="111">
        <f t="shared" ref="H322:H323" si="0">ROUND(F322*G322,2)</f>
        <v>0</v>
      </c>
      <c r="I322" s="23"/>
      <c r="J322" s="42">
        <v>766</v>
      </c>
      <c r="K322" s="50"/>
      <c r="M322" s="23"/>
      <c r="N322" s="23"/>
    </row>
    <row r="323" spans="1:16" s="25" customFormat="1" ht="48" x14ac:dyDescent="0.25">
      <c r="A323" s="72">
        <f>A322+1</f>
        <v>95</v>
      </c>
      <c r="B323" s="123" t="s">
        <v>45</v>
      </c>
      <c r="C323" s="129" t="s">
        <v>104</v>
      </c>
      <c r="D323" s="129" t="s">
        <v>228</v>
      </c>
      <c r="E323" s="123" t="s">
        <v>19</v>
      </c>
      <c r="F323" s="127">
        <v>1</v>
      </c>
      <c r="G323" s="111"/>
      <c r="H323" s="111">
        <f t="shared" si="0"/>
        <v>0</v>
      </c>
      <c r="I323" s="23"/>
      <c r="J323" s="42">
        <v>766</v>
      </c>
      <c r="K323" s="50"/>
      <c r="M323" s="23"/>
      <c r="N323" s="23"/>
    </row>
    <row r="324" spans="1:16" s="25" customFormat="1" ht="48" x14ac:dyDescent="0.25">
      <c r="A324" s="72">
        <f>A323+1</f>
        <v>96</v>
      </c>
      <c r="B324" s="123" t="s">
        <v>45</v>
      </c>
      <c r="C324" s="129" t="s">
        <v>105</v>
      </c>
      <c r="D324" s="129" t="s">
        <v>227</v>
      </c>
      <c r="E324" s="123" t="s">
        <v>19</v>
      </c>
      <c r="F324" s="127">
        <v>2</v>
      </c>
      <c r="G324" s="111"/>
      <c r="H324" s="111">
        <f t="shared" ref="H324" si="1">ROUND(F324*G324,2)</f>
        <v>0</v>
      </c>
      <c r="I324" s="23"/>
      <c r="J324" s="42">
        <v>766</v>
      </c>
      <c r="K324" s="50"/>
      <c r="M324" s="23"/>
      <c r="N324" s="23"/>
    </row>
    <row r="325" spans="1:16" s="25" customFormat="1" ht="24" x14ac:dyDescent="0.25">
      <c r="A325" s="72">
        <f>A324+1</f>
        <v>97</v>
      </c>
      <c r="B325" s="73" t="s">
        <v>29</v>
      </c>
      <c r="C325" s="80" t="s">
        <v>348</v>
      </c>
      <c r="D325" s="74" t="s">
        <v>226</v>
      </c>
      <c r="E325" s="73" t="s">
        <v>13</v>
      </c>
      <c r="F325" s="75">
        <f>F328</f>
        <v>13.67</v>
      </c>
      <c r="G325" s="71"/>
      <c r="H325" s="71">
        <f>ROUND(F325*G325,2)</f>
        <v>0</v>
      </c>
      <c r="I325" s="23"/>
      <c r="J325" s="42">
        <v>767</v>
      </c>
      <c r="K325" s="50">
        <f>ROUND(F325*0.015,3)</f>
        <v>0.20499999999999999</v>
      </c>
      <c r="M325" s="23"/>
      <c r="N325" s="23"/>
    </row>
    <row r="326" spans="1:16" s="22" customFormat="1" x14ac:dyDescent="0.2">
      <c r="A326" s="56"/>
      <c r="B326" s="3"/>
      <c r="C326" s="3"/>
      <c r="D326" s="59" t="s">
        <v>225</v>
      </c>
      <c r="E326" s="60"/>
      <c r="F326" s="57">
        <f>ROUND((1.83+1.3)*2,2)</f>
        <v>6.26</v>
      </c>
      <c r="G326" s="3"/>
      <c r="H326" s="58"/>
      <c r="I326" s="23"/>
      <c r="J326" s="39"/>
      <c r="K326" s="49"/>
      <c r="L326" s="24"/>
      <c r="M326" s="23"/>
      <c r="N326" s="23"/>
      <c r="O326" s="25"/>
      <c r="P326" s="25"/>
    </row>
    <row r="327" spans="1:16" s="22" customFormat="1" x14ac:dyDescent="0.2">
      <c r="A327" s="56"/>
      <c r="B327" s="3"/>
      <c r="C327" s="3"/>
      <c r="D327" s="59" t="s">
        <v>229</v>
      </c>
      <c r="E327" s="60"/>
      <c r="F327" s="57">
        <f>ROUND((1.83+1.875)*2,2)</f>
        <v>7.41</v>
      </c>
      <c r="G327" s="3"/>
      <c r="H327" s="58"/>
      <c r="I327" s="23"/>
      <c r="J327" s="39"/>
      <c r="K327" s="49"/>
      <c r="L327" s="24"/>
      <c r="M327" s="23"/>
      <c r="N327" s="23"/>
      <c r="O327" s="25"/>
      <c r="P327" s="25"/>
    </row>
    <row r="328" spans="1:16" s="22" customFormat="1" x14ac:dyDescent="0.2">
      <c r="A328" s="56"/>
      <c r="B328" s="3"/>
      <c r="C328" s="3"/>
      <c r="D328" s="61" t="s">
        <v>26</v>
      </c>
      <c r="E328" s="62"/>
      <c r="F328" s="63">
        <f>SUM(F326:F327)</f>
        <v>13.67</v>
      </c>
      <c r="G328" s="3"/>
      <c r="H328" s="58"/>
      <c r="I328" s="23"/>
      <c r="J328" s="39"/>
      <c r="K328" s="43"/>
      <c r="L328" s="24"/>
      <c r="M328" s="23"/>
      <c r="N328" s="23"/>
      <c r="O328" s="25"/>
      <c r="P328" s="25"/>
    </row>
    <row r="329" spans="1:16" s="24" customFormat="1" ht="23.25" customHeight="1" x14ac:dyDescent="0.2">
      <c r="A329" s="11"/>
      <c r="B329" s="2"/>
      <c r="C329" s="14">
        <v>767</v>
      </c>
      <c r="D329" s="14" t="s">
        <v>75</v>
      </c>
      <c r="E329" s="11"/>
      <c r="F329" s="15"/>
      <c r="G329" s="2"/>
      <c r="H329" s="67">
        <f>SUM(H330:H356)</f>
        <v>0</v>
      </c>
      <c r="I329" s="46"/>
      <c r="J329" s="42">
        <v>767</v>
      </c>
      <c r="K329" s="51"/>
      <c r="L329" s="47"/>
      <c r="M329" s="23"/>
      <c r="N329" s="23"/>
      <c r="O329" s="25"/>
      <c r="P329" s="25"/>
    </row>
    <row r="330" spans="1:16" s="25" customFormat="1" x14ac:dyDescent="0.25">
      <c r="A330" s="72">
        <f>A325+1</f>
        <v>98</v>
      </c>
      <c r="B330" s="79">
        <v>767</v>
      </c>
      <c r="C330" s="80">
        <v>76799510001</v>
      </c>
      <c r="D330" s="131" t="s">
        <v>81</v>
      </c>
      <c r="E330" s="79" t="s">
        <v>20</v>
      </c>
      <c r="F330" s="75">
        <f>F332</f>
        <v>184</v>
      </c>
      <c r="G330" s="71"/>
      <c r="H330" s="71">
        <f>ROUND(F330*G330,2)</f>
        <v>0</v>
      </c>
      <c r="I330" s="23"/>
      <c r="J330" s="42">
        <v>767</v>
      </c>
      <c r="K330" s="50">
        <f>ROUND(F330*0.001,3)</f>
        <v>0.184</v>
      </c>
      <c r="M330" s="23"/>
      <c r="N330" s="23"/>
    </row>
    <row r="331" spans="1:16" s="25" customFormat="1" x14ac:dyDescent="0.2">
      <c r="A331" s="64"/>
      <c r="B331" s="1"/>
      <c r="C331" s="1"/>
      <c r="D331" s="59" t="s">
        <v>265</v>
      </c>
      <c r="E331" s="132"/>
      <c r="F331" s="78">
        <v>184</v>
      </c>
      <c r="G331" s="1"/>
      <c r="H331" s="65"/>
      <c r="I331" s="26"/>
      <c r="J331" s="40"/>
      <c r="K331" s="51"/>
      <c r="M331" s="23"/>
      <c r="N331" s="23"/>
    </row>
    <row r="332" spans="1:16" s="25" customFormat="1" x14ac:dyDescent="0.2">
      <c r="A332" s="64"/>
      <c r="B332" s="1"/>
      <c r="C332" s="1"/>
      <c r="D332" s="61" t="s">
        <v>26</v>
      </c>
      <c r="E332" s="62"/>
      <c r="F332" s="63">
        <f>SUM(F331:F331)</f>
        <v>184</v>
      </c>
      <c r="G332" s="1"/>
      <c r="H332" s="65"/>
      <c r="I332" s="26"/>
      <c r="J332" s="40"/>
      <c r="K332" s="51"/>
      <c r="M332" s="23"/>
      <c r="N332" s="23"/>
    </row>
    <row r="333" spans="1:16" s="25" customFormat="1" x14ac:dyDescent="0.25">
      <c r="A333" s="72">
        <f>A330+1</f>
        <v>99</v>
      </c>
      <c r="B333" s="79" t="s">
        <v>29</v>
      </c>
      <c r="C333" s="80" t="s">
        <v>344</v>
      </c>
      <c r="D333" s="80" t="s">
        <v>121</v>
      </c>
      <c r="E333" s="79" t="s">
        <v>19</v>
      </c>
      <c r="F333" s="153">
        <f>F340</f>
        <v>10</v>
      </c>
      <c r="G333" s="71"/>
      <c r="H333" s="71">
        <f>ROUND(F333*G333,2)</f>
        <v>0</v>
      </c>
      <c r="I333" s="23" t="s">
        <v>349</v>
      </c>
      <c r="J333" s="42">
        <v>767</v>
      </c>
      <c r="K333" s="50">
        <f>ROUND(11.7*0.05,3)</f>
        <v>0.58499999999999996</v>
      </c>
      <c r="M333" s="23"/>
      <c r="N333" s="23"/>
    </row>
    <row r="334" spans="1:16" s="25" customFormat="1" x14ac:dyDescent="0.2">
      <c r="A334" s="64"/>
      <c r="B334" s="1"/>
      <c r="C334" s="1"/>
      <c r="D334" s="59" t="s">
        <v>272</v>
      </c>
      <c r="E334" s="60"/>
      <c r="F334" s="78">
        <v>2</v>
      </c>
      <c r="G334" s="1"/>
      <c r="H334" s="65"/>
      <c r="I334" s="26"/>
      <c r="J334" s="40"/>
      <c r="K334" s="51"/>
      <c r="M334" s="23"/>
      <c r="N334" s="23"/>
    </row>
    <row r="335" spans="1:16" s="25" customFormat="1" x14ac:dyDescent="0.2">
      <c r="A335" s="64"/>
      <c r="B335" s="1"/>
      <c r="C335" s="1"/>
      <c r="D335" s="59" t="s">
        <v>271</v>
      </c>
      <c r="E335" s="60"/>
      <c r="F335" s="78">
        <v>1</v>
      </c>
      <c r="G335" s="1"/>
      <c r="H335" s="65"/>
      <c r="I335" s="26"/>
      <c r="J335" s="40"/>
      <c r="K335" s="51"/>
      <c r="M335" s="23"/>
      <c r="N335" s="23"/>
    </row>
    <row r="336" spans="1:16" s="25" customFormat="1" x14ac:dyDescent="0.2">
      <c r="A336" s="64"/>
      <c r="B336" s="1"/>
      <c r="C336" s="1"/>
      <c r="D336" s="59" t="s">
        <v>273</v>
      </c>
      <c r="E336" s="60"/>
      <c r="F336" s="78">
        <v>4</v>
      </c>
      <c r="G336" s="1"/>
      <c r="H336" s="65"/>
      <c r="I336" s="26"/>
      <c r="J336" s="40"/>
      <c r="K336" s="51"/>
      <c r="M336" s="23"/>
      <c r="N336" s="23"/>
    </row>
    <row r="337" spans="1:16" s="25" customFormat="1" x14ac:dyDescent="0.2">
      <c r="A337" s="64"/>
      <c r="B337" s="1"/>
      <c r="C337" s="1"/>
      <c r="D337" s="59" t="s">
        <v>274</v>
      </c>
      <c r="E337" s="60"/>
      <c r="F337" s="78">
        <v>1</v>
      </c>
      <c r="G337" s="1"/>
      <c r="H337" s="65"/>
      <c r="I337" s="26"/>
      <c r="J337" s="40"/>
      <c r="K337" s="51"/>
      <c r="M337" s="23"/>
      <c r="N337" s="23"/>
    </row>
    <row r="338" spans="1:16" s="25" customFormat="1" x14ac:dyDescent="0.2">
      <c r="A338" s="64"/>
      <c r="B338" s="1"/>
      <c r="C338" s="1"/>
      <c r="D338" s="59" t="s">
        <v>275</v>
      </c>
      <c r="E338" s="60"/>
      <c r="F338" s="78">
        <v>1</v>
      </c>
      <c r="G338" s="1"/>
      <c r="H338" s="65"/>
      <c r="I338" s="26"/>
      <c r="J338" s="40"/>
      <c r="K338" s="51"/>
      <c r="M338" s="23"/>
      <c r="N338" s="23"/>
    </row>
    <row r="339" spans="1:16" s="25" customFormat="1" x14ac:dyDescent="0.2">
      <c r="A339" s="64"/>
      <c r="B339" s="1"/>
      <c r="C339" s="1"/>
      <c r="D339" s="154" t="s">
        <v>360</v>
      </c>
      <c r="E339" s="160"/>
      <c r="F339" s="161">
        <v>1</v>
      </c>
      <c r="G339" s="1"/>
      <c r="H339" s="65"/>
      <c r="I339" s="26"/>
      <c r="J339" s="40"/>
      <c r="K339" s="51"/>
      <c r="M339" s="23"/>
      <c r="N339" s="23"/>
    </row>
    <row r="340" spans="1:16" s="25" customFormat="1" x14ac:dyDescent="0.2">
      <c r="A340" s="64"/>
      <c r="B340" s="1"/>
      <c r="C340" s="1"/>
      <c r="D340" s="157" t="s">
        <v>26</v>
      </c>
      <c r="E340" s="158"/>
      <c r="F340" s="159">
        <f>SUM(F334:F339)</f>
        <v>10</v>
      </c>
      <c r="G340" s="1"/>
      <c r="H340" s="65"/>
      <c r="I340" s="26"/>
      <c r="J340" s="40"/>
      <c r="K340" s="51"/>
      <c r="M340" s="23"/>
      <c r="N340" s="23"/>
    </row>
    <row r="341" spans="1:16" s="25" customFormat="1" ht="72" x14ac:dyDescent="0.25">
      <c r="A341" s="72">
        <f>A333+1</f>
        <v>100</v>
      </c>
      <c r="B341" s="123" t="s">
        <v>45</v>
      </c>
      <c r="C341" s="129" t="s">
        <v>276</v>
      </c>
      <c r="D341" s="129" t="s">
        <v>281</v>
      </c>
      <c r="E341" s="123" t="s">
        <v>19</v>
      </c>
      <c r="F341" s="127">
        <v>2</v>
      </c>
      <c r="G341" s="111"/>
      <c r="H341" s="111">
        <f t="shared" ref="H341" si="2">ROUND(F341*G341,2)</f>
        <v>0</v>
      </c>
      <c r="I341" s="23">
        <f>1.1*2.4</f>
        <v>2.64</v>
      </c>
      <c r="J341" s="42">
        <v>767</v>
      </c>
      <c r="K341" s="50"/>
      <c r="M341" s="23"/>
      <c r="N341" s="23"/>
    </row>
    <row r="342" spans="1:16" s="25" customFormat="1" ht="72" x14ac:dyDescent="0.25">
      <c r="A342" s="72">
        <f>A341+1</f>
        <v>101</v>
      </c>
      <c r="B342" s="123" t="s">
        <v>45</v>
      </c>
      <c r="C342" s="129" t="s">
        <v>277</v>
      </c>
      <c r="D342" s="129" t="s">
        <v>282</v>
      </c>
      <c r="E342" s="123" t="s">
        <v>19</v>
      </c>
      <c r="F342" s="127">
        <v>1</v>
      </c>
      <c r="G342" s="111"/>
      <c r="H342" s="111">
        <f t="shared" ref="H342:H343" si="3">ROUND(F342*G342,2)</f>
        <v>0</v>
      </c>
      <c r="I342" s="23">
        <f>1.8*2.4</f>
        <v>4.32</v>
      </c>
      <c r="J342" s="42">
        <v>767</v>
      </c>
      <c r="K342" s="50"/>
      <c r="M342" s="23"/>
      <c r="N342" s="23"/>
    </row>
    <row r="343" spans="1:16" s="25" customFormat="1" ht="60" x14ac:dyDescent="0.25">
      <c r="A343" s="72">
        <f t="shared" ref="A343:A345" si="4">A342+1</f>
        <v>102</v>
      </c>
      <c r="B343" s="123" t="s">
        <v>45</v>
      </c>
      <c r="C343" s="129" t="s">
        <v>278</v>
      </c>
      <c r="D343" s="129" t="s">
        <v>283</v>
      </c>
      <c r="E343" s="123" t="s">
        <v>19</v>
      </c>
      <c r="F343" s="127">
        <v>4</v>
      </c>
      <c r="G343" s="111"/>
      <c r="H343" s="111">
        <f t="shared" si="3"/>
        <v>0</v>
      </c>
      <c r="I343" s="23">
        <f>1.2*0.75</f>
        <v>0.89999999999999991</v>
      </c>
      <c r="J343" s="42">
        <v>767</v>
      </c>
      <c r="K343" s="50"/>
      <c r="M343" s="23"/>
      <c r="N343" s="23"/>
    </row>
    <row r="344" spans="1:16" s="25" customFormat="1" ht="60" x14ac:dyDescent="0.25">
      <c r="A344" s="72">
        <f t="shared" si="4"/>
        <v>103</v>
      </c>
      <c r="B344" s="123" t="s">
        <v>45</v>
      </c>
      <c r="C344" s="129" t="s">
        <v>279</v>
      </c>
      <c r="D344" s="129" t="s">
        <v>284</v>
      </c>
      <c r="E344" s="123" t="s">
        <v>19</v>
      </c>
      <c r="F344" s="127">
        <v>1</v>
      </c>
      <c r="G344" s="111"/>
      <c r="H344" s="111">
        <f t="shared" ref="H344:H345" si="5">ROUND(F344*G344,2)</f>
        <v>0</v>
      </c>
      <c r="I344" s="23">
        <f>0.75*2.4</f>
        <v>1.7999999999999998</v>
      </c>
      <c r="J344" s="42">
        <v>767</v>
      </c>
      <c r="K344" s="50"/>
      <c r="M344" s="23"/>
      <c r="N344" s="23"/>
    </row>
    <row r="345" spans="1:16" s="25" customFormat="1" ht="84" x14ac:dyDescent="0.25">
      <c r="A345" s="72">
        <f t="shared" si="4"/>
        <v>104</v>
      </c>
      <c r="B345" s="123" t="s">
        <v>45</v>
      </c>
      <c r="C345" s="129" t="s">
        <v>280</v>
      </c>
      <c r="D345" s="129" t="s">
        <v>285</v>
      </c>
      <c r="E345" s="123" t="s">
        <v>19</v>
      </c>
      <c r="F345" s="127">
        <v>1</v>
      </c>
      <c r="G345" s="111"/>
      <c r="H345" s="111">
        <f t="shared" si="5"/>
        <v>0</v>
      </c>
      <c r="I345" s="23">
        <f>1.8*1.5</f>
        <v>2.7</v>
      </c>
      <c r="J345" s="42">
        <v>767</v>
      </c>
      <c r="K345" s="50"/>
      <c r="M345" s="23"/>
      <c r="N345" s="23"/>
    </row>
    <row r="346" spans="1:16" s="25" customFormat="1" ht="84" x14ac:dyDescent="0.25">
      <c r="A346" s="152" t="s">
        <v>362</v>
      </c>
      <c r="B346" s="162" t="s">
        <v>45</v>
      </c>
      <c r="C346" s="165" t="s">
        <v>361</v>
      </c>
      <c r="D346" s="165" t="s">
        <v>285</v>
      </c>
      <c r="E346" s="162" t="s">
        <v>19</v>
      </c>
      <c r="F346" s="163">
        <v>1</v>
      </c>
      <c r="G346" s="164"/>
      <c r="H346" s="164">
        <f t="shared" ref="H346" si="6">ROUND(F346*G346,2)</f>
        <v>0</v>
      </c>
      <c r="I346" s="23">
        <f>1.8*1.5</f>
        <v>2.7</v>
      </c>
      <c r="J346" s="42">
        <v>767</v>
      </c>
      <c r="K346" s="50"/>
      <c r="M346" s="23"/>
      <c r="N346" s="23"/>
    </row>
    <row r="347" spans="1:16" s="25" customFormat="1" x14ac:dyDescent="0.25">
      <c r="A347" s="72">
        <f>A345+1</f>
        <v>105</v>
      </c>
      <c r="B347" s="73" t="s">
        <v>29</v>
      </c>
      <c r="C347" s="80" t="s">
        <v>345</v>
      </c>
      <c r="D347" s="74" t="s">
        <v>103</v>
      </c>
      <c r="E347" s="73" t="s">
        <v>14</v>
      </c>
      <c r="F347" s="153">
        <f>F349</f>
        <v>10.8</v>
      </c>
      <c r="G347" s="71"/>
      <c r="H347" s="71">
        <f>ROUND(F347*G347,2)</f>
        <v>0</v>
      </c>
      <c r="I347" s="23"/>
      <c r="J347" s="42">
        <v>767</v>
      </c>
      <c r="K347" s="50">
        <f>ROUND(F347*0.24*0.01*0.2,3)</f>
        <v>5.0000000000000001E-3</v>
      </c>
      <c r="M347" s="23"/>
      <c r="N347" s="23"/>
    </row>
    <row r="348" spans="1:16" s="22" customFormat="1" x14ac:dyDescent="0.2">
      <c r="A348" s="56"/>
      <c r="B348" s="3"/>
      <c r="C348" s="3"/>
      <c r="D348" s="154" t="s">
        <v>363</v>
      </c>
      <c r="E348" s="160"/>
      <c r="F348" s="161">
        <f>4*1.2+2.4+1.8+1.8</f>
        <v>10.8</v>
      </c>
      <c r="G348" s="3"/>
      <c r="H348" s="58"/>
      <c r="I348" s="23"/>
      <c r="J348" s="39"/>
      <c r="K348" s="49"/>
      <c r="L348" s="24"/>
      <c r="M348" s="23"/>
      <c r="N348" s="23"/>
      <c r="O348" s="25"/>
      <c r="P348" s="25"/>
    </row>
    <row r="349" spans="1:16" s="22" customFormat="1" x14ac:dyDescent="0.2">
      <c r="A349" s="56"/>
      <c r="B349" s="3"/>
      <c r="C349" s="3"/>
      <c r="D349" s="157" t="s">
        <v>26</v>
      </c>
      <c r="E349" s="158"/>
      <c r="F349" s="159">
        <f>SUM(F348:F348)</f>
        <v>10.8</v>
      </c>
      <c r="G349" s="3"/>
      <c r="H349" s="58"/>
      <c r="I349" s="23"/>
      <c r="J349" s="39"/>
      <c r="K349" s="43"/>
      <c r="L349" s="24"/>
      <c r="M349" s="23"/>
      <c r="N349" s="23"/>
      <c r="O349" s="25"/>
      <c r="P349" s="25"/>
    </row>
    <row r="350" spans="1:16" s="25" customFormat="1" x14ac:dyDescent="0.25">
      <c r="A350" s="72">
        <f>A347+1</f>
        <v>106</v>
      </c>
      <c r="B350" s="73" t="s">
        <v>29</v>
      </c>
      <c r="C350" s="80" t="s">
        <v>346</v>
      </c>
      <c r="D350" s="74" t="s">
        <v>287</v>
      </c>
      <c r="E350" s="73" t="s">
        <v>19</v>
      </c>
      <c r="F350" s="75">
        <f>F352</f>
        <v>1</v>
      </c>
      <c r="G350" s="71"/>
      <c r="H350" s="71">
        <f>ROUND(F350*G350,2)</f>
        <v>0</v>
      </c>
      <c r="I350" s="23"/>
      <c r="J350" s="42">
        <v>767</v>
      </c>
      <c r="K350" s="50">
        <f>ROUND(F350*0.006,3)</f>
        <v>6.0000000000000001E-3</v>
      </c>
      <c r="M350" s="23"/>
      <c r="N350" s="23"/>
    </row>
    <row r="351" spans="1:16" s="22" customFormat="1" x14ac:dyDescent="0.2">
      <c r="A351" s="56"/>
      <c r="B351" s="3"/>
      <c r="C351" s="3"/>
      <c r="D351" s="59" t="s">
        <v>289</v>
      </c>
      <c r="E351" s="60"/>
      <c r="F351" s="78">
        <v>1</v>
      </c>
      <c r="G351" s="3"/>
      <c r="H351" s="58"/>
      <c r="I351" s="23"/>
      <c r="J351" s="39"/>
      <c r="K351" s="49"/>
      <c r="L351" s="24"/>
      <c r="M351" s="23"/>
      <c r="N351" s="23"/>
      <c r="O351" s="25"/>
      <c r="P351" s="25"/>
    </row>
    <row r="352" spans="1:16" s="22" customFormat="1" x14ac:dyDescent="0.2">
      <c r="A352" s="56"/>
      <c r="B352" s="3"/>
      <c r="C352" s="3"/>
      <c r="D352" s="61" t="s">
        <v>26</v>
      </c>
      <c r="E352" s="62"/>
      <c r="F352" s="63">
        <f>SUM(F351:F351)</f>
        <v>1</v>
      </c>
      <c r="G352" s="3"/>
      <c r="H352" s="58"/>
      <c r="I352" s="23"/>
      <c r="J352" s="39"/>
      <c r="K352" s="43"/>
      <c r="L352" s="24"/>
      <c r="M352" s="23"/>
      <c r="N352" s="23"/>
      <c r="O352" s="25"/>
      <c r="P352" s="25"/>
    </row>
    <row r="353" spans="1:16" s="25" customFormat="1" x14ac:dyDescent="0.25">
      <c r="A353" s="72">
        <f>A350+1</f>
        <v>107</v>
      </c>
      <c r="B353" s="73" t="s">
        <v>29</v>
      </c>
      <c r="C353" s="80" t="s">
        <v>347</v>
      </c>
      <c r="D353" s="74" t="s">
        <v>286</v>
      </c>
      <c r="E353" s="73" t="s">
        <v>19</v>
      </c>
      <c r="F353" s="75">
        <f>F355</f>
        <v>1</v>
      </c>
      <c r="G353" s="71"/>
      <c r="H353" s="71">
        <f>ROUND(F353*G353,2)</f>
        <v>0</v>
      </c>
      <c r="I353" s="23"/>
      <c r="J353" s="42">
        <v>767</v>
      </c>
      <c r="K353" s="50">
        <f>ROUND(F353*0.008,3)</f>
        <v>8.0000000000000002E-3</v>
      </c>
      <c r="M353" s="23"/>
      <c r="N353" s="23"/>
    </row>
    <row r="354" spans="1:16" s="22" customFormat="1" x14ac:dyDescent="0.2">
      <c r="A354" s="56"/>
      <c r="B354" s="3"/>
      <c r="C354" s="3"/>
      <c r="D354" s="59" t="s">
        <v>288</v>
      </c>
      <c r="E354" s="60"/>
      <c r="F354" s="78">
        <v>1</v>
      </c>
      <c r="G354" s="3"/>
      <c r="H354" s="58"/>
      <c r="I354" s="23"/>
      <c r="J354" s="39"/>
      <c r="K354" s="49"/>
      <c r="L354" s="24"/>
      <c r="M354" s="23"/>
      <c r="N354" s="23"/>
      <c r="O354" s="25"/>
      <c r="P354" s="25"/>
    </row>
    <row r="355" spans="1:16" s="22" customFormat="1" x14ac:dyDescent="0.2">
      <c r="A355" s="56"/>
      <c r="B355" s="3"/>
      <c r="C355" s="3"/>
      <c r="D355" s="61" t="s">
        <v>26</v>
      </c>
      <c r="E355" s="62"/>
      <c r="F355" s="63">
        <f>SUM(F354:F354)</f>
        <v>1</v>
      </c>
      <c r="G355" s="3"/>
      <c r="H355" s="58"/>
      <c r="I355" s="23"/>
      <c r="J355" s="39"/>
      <c r="K355" s="43"/>
      <c r="L355" s="24"/>
      <c r="M355" s="23"/>
      <c r="N355" s="23"/>
      <c r="O355" s="25"/>
      <c r="P355" s="25"/>
    </row>
    <row r="356" spans="1:16" s="25" customFormat="1" x14ac:dyDescent="0.25">
      <c r="A356" s="72">
        <f>A353+1</f>
        <v>108</v>
      </c>
      <c r="B356" s="73" t="s">
        <v>29</v>
      </c>
      <c r="C356" s="80" t="s">
        <v>357</v>
      </c>
      <c r="D356" s="74" t="s">
        <v>356</v>
      </c>
      <c r="E356" s="73" t="s">
        <v>19</v>
      </c>
      <c r="F356" s="75">
        <v>2</v>
      </c>
      <c r="G356" s="71"/>
      <c r="H356" s="71">
        <f>ROUND(F356*G356,2)</f>
        <v>0</v>
      </c>
      <c r="I356" s="23"/>
      <c r="J356" s="42">
        <v>767</v>
      </c>
      <c r="K356" s="50">
        <f>ROUND(F356*0.008,3)</f>
        <v>1.6E-2</v>
      </c>
      <c r="M356" s="23"/>
      <c r="N356" s="23"/>
    </row>
    <row r="357" spans="1:16" s="24" customFormat="1" ht="23.25" customHeight="1" x14ac:dyDescent="0.2">
      <c r="A357" s="69"/>
      <c r="B357" s="83"/>
      <c r="C357" s="68">
        <v>771</v>
      </c>
      <c r="D357" s="68" t="s">
        <v>48</v>
      </c>
      <c r="E357" s="69"/>
      <c r="F357" s="70"/>
      <c r="G357" s="83"/>
      <c r="H357" s="67">
        <f>SUM(H358:H365)</f>
        <v>0</v>
      </c>
      <c r="I357" s="46"/>
      <c r="J357" s="42">
        <v>771</v>
      </c>
      <c r="K357" s="51"/>
      <c r="L357" s="47"/>
      <c r="M357" s="23"/>
      <c r="N357" s="25"/>
      <c r="O357" s="25"/>
    </row>
    <row r="358" spans="1:16" s="25" customFormat="1" x14ac:dyDescent="0.25">
      <c r="A358" s="72">
        <f>A356+1</f>
        <v>109</v>
      </c>
      <c r="B358" s="79">
        <v>771</v>
      </c>
      <c r="C358" s="80">
        <v>771411012</v>
      </c>
      <c r="D358" s="80" t="s">
        <v>138</v>
      </c>
      <c r="E358" s="79" t="s">
        <v>14</v>
      </c>
      <c r="F358" s="75">
        <f>F359</f>
        <v>43.6</v>
      </c>
      <c r="G358" s="71"/>
      <c r="H358" s="71">
        <f>ROUND(F358*G358,2)</f>
        <v>0</v>
      </c>
      <c r="I358" s="23"/>
      <c r="J358" s="42">
        <v>771</v>
      </c>
      <c r="K358" s="50"/>
      <c r="M358" s="23"/>
    </row>
    <row r="359" spans="1:16" s="25" customFormat="1" x14ac:dyDescent="0.2">
      <c r="A359" s="64"/>
      <c r="B359" s="1"/>
      <c r="C359" s="1"/>
      <c r="D359" s="59" t="s">
        <v>151</v>
      </c>
      <c r="E359" s="60"/>
      <c r="F359" s="78">
        <v>43.6</v>
      </c>
      <c r="G359" s="1"/>
      <c r="H359" s="65"/>
      <c r="I359" s="26"/>
      <c r="J359" s="40"/>
      <c r="K359" s="51"/>
      <c r="M359" s="23"/>
    </row>
    <row r="360" spans="1:16" s="25" customFormat="1" ht="24" x14ac:dyDescent="0.25">
      <c r="A360" s="72">
        <f>A358+1</f>
        <v>110</v>
      </c>
      <c r="B360" s="79">
        <v>771</v>
      </c>
      <c r="C360" s="80" t="s">
        <v>139</v>
      </c>
      <c r="D360" s="80" t="s">
        <v>140</v>
      </c>
      <c r="E360" s="79" t="s">
        <v>13</v>
      </c>
      <c r="F360" s="75">
        <f>F363</f>
        <v>67.739999999999995</v>
      </c>
      <c r="G360" s="71"/>
      <c r="H360" s="71">
        <f>ROUND(F360*G360,2)</f>
        <v>0</v>
      </c>
      <c r="I360" s="23"/>
      <c r="J360" s="42">
        <v>771</v>
      </c>
      <c r="K360" s="50"/>
      <c r="M360" s="23"/>
    </row>
    <row r="361" spans="1:16" s="25" customFormat="1" x14ac:dyDescent="0.2">
      <c r="A361" s="113"/>
      <c r="B361" s="114"/>
      <c r="C361" s="114"/>
      <c r="D361" s="133" t="s">
        <v>142</v>
      </c>
      <c r="E361" s="134"/>
      <c r="F361" s="135"/>
      <c r="G361" s="114"/>
      <c r="H361" s="116"/>
      <c r="I361" s="26"/>
      <c r="J361" s="40"/>
      <c r="K361" s="51"/>
      <c r="M361" s="23"/>
    </row>
    <row r="362" spans="1:16" s="25" customFormat="1" x14ac:dyDescent="0.2">
      <c r="A362" s="113"/>
      <c r="B362" s="114"/>
      <c r="C362" s="114"/>
      <c r="D362" s="115" t="s">
        <v>152</v>
      </c>
      <c r="E362" s="85"/>
      <c r="F362" s="86">
        <v>67.739999999999995</v>
      </c>
      <c r="G362" s="114"/>
      <c r="H362" s="116"/>
      <c r="I362" s="26"/>
      <c r="J362" s="40"/>
      <c r="K362" s="51"/>
      <c r="M362" s="23"/>
    </row>
    <row r="363" spans="1:16" s="25" customFormat="1" x14ac:dyDescent="0.2">
      <c r="A363" s="64"/>
      <c r="B363" s="1"/>
      <c r="C363" s="1"/>
      <c r="D363" s="61" t="s">
        <v>26</v>
      </c>
      <c r="E363" s="62"/>
      <c r="F363" s="63">
        <f>SUM(F362:F362)</f>
        <v>67.739999999999995</v>
      </c>
      <c r="G363" s="1"/>
      <c r="H363" s="116"/>
      <c r="I363" s="26"/>
      <c r="J363" s="40"/>
      <c r="K363" s="51"/>
      <c r="M363" s="23"/>
    </row>
    <row r="364" spans="1:16" s="25" customFormat="1" ht="24" x14ac:dyDescent="0.25">
      <c r="A364" s="72">
        <f>A360+1</f>
        <v>111</v>
      </c>
      <c r="B364" s="136">
        <v>771</v>
      </c>
      <c r="C364" s="137" t="s">
        <v>141</v>
      </c>
      <c r="D364" s="137" t="s">
        <v>153</v>
      </c>
      <c r="E364" s="136" t="s">
        <v>13</v>
      </c>
      <c r="F364" s="127">
        <f>F365</f>
        <v>74.099999999999994</v>
      </c>
      <c r="G364" s="111"/>
      <c r="H364" s="111">
        <f>ROUND(F364*G364,2)</f>
        <v>0</v>
      </c>
      <c r="I364" s="23"/>
      <c r="J364" s="42">
        <v>771</v>
      </c>
      <c r="K364" s="50">
        <f>ROUND(F364*0.01*1.8,3)</f>
        <v>1.3340000000000001</v>
      </c>
      <c r="M364" s="23"/>
    </row>
    <row r="365" spans="1:16" s="22" customFormat="1" x14ac:dyDescent="0.2">
      <c r="A365" s="138"/>
      <c r="B365" s="139"/>
      <c r="C365" s="139"/>
      <c r="D365" s="115" t="s">
        <v>161</v>
      </c>
      <c r="E365" s="85"/>
      <c r="F365" s="86">
        <f>ROUND((67.74+43.6*0.065)*1.05,1)</f>
        <v>74.099999999999994</v>
      </c>
      <c r="G365" s="139"/>
      <c r="H365" s="112"/>
      <c r="I365" s="23"/>
      <c r="J365" s="39"/>
      <c r="K365" s="49"/>
      <c r="L365" s="24"/>
      <c r="M365" s="23"/>
      <c r="N365" s="25"/>
      <c r="O365" s="25"/>
    </row>
    <row r="366" spans="1:16" s="24" customFormat="1" ht="23.25" customHeight="1" x14ac:dyDescent="0.2">
      <c r="A366" s="69"/>
      <c r="B366" s="83"/>
      <c r="C366" s="68">
        <v>781</v>
      </c>
      <c r="D366" s="68" t="s">
        <v>133</v>
      </c>
      <c r="E366" s="69"/>
      <c r="F366" s="70"/>
      <c r="G366" s="83"/>
      <c r="H366" s="67">
        <f>SUM(H367:H371)</f>
        <v>0</v>
      </c>
      <c r="I366" s="46"/>
      <c r="J366" s="42">
        <v>781</v>
      </c>
      <c r="K366" s="51"/>
      <c r="L366" s="47"/>
      <c r="M366" s="23"/>
      <c r="N366" s="25"/>
      <c r="O366" s="25"/>
    </row>
    <row r="367" spans="1:16" s="25" customFormat="1" ht="24" x14ac:dyDescent="0.25">
      <c r="A367" s="72">
        <f>A364+1</f>
        <v>112</v>
      </c>
      <c r="B367" s="79">
        <v>781</v>
      </c>
      <c r="C367" s="80" t="s">
        <v>134</v>
      </c>
      <c r="D367" s="80" t="s">
        <v>135</v>
      </c>
      <c r="E367" s="79" t="s">
        <v>13</v>
      </c>
      <c r="F367" s="75">
        <f>F369</f>
        <v>93.07</v>
      </c>
      <c r="G367" s="71"/>
      <c r="H367" s="71">
        <f>ROUND(F367*G367,2)</f>
        <v>0</v>
      </c>
      <c r="I367" s="23"/>
      <c r="J367" s="42">
        <v>781</v>
      </c>
      <c r="K367" s="50"/>
      <c r="M367" s="23"/>
    </row>
    <row r="368" spans="1:16" s="25" customFormat="1" x14ac:dyDescent="0.2">
      <c r="A368" s="64"/>
      <c r="B368" s="1"/>
      <c r="C368" s="1"/>
      <c r="D368" s="59" t="s">
        <v>166</v>
      </c>
      <c r="E368" s="60"/>
      <c r="F368" s="57">
        <v>93.07</v>
      </c>
      <c r="G368" s="1"/>
      <c r="H368" s="65"/>
      <c r="I368" s="26"/>
      <c r="J368" s="40"/>
      <c r="K368" s="51"/>
      <c r="M368" s="23"/>
    </row>
    <row r="369" spans="1:16" s="25" customFormat="1" x14ac:dyDescent="0.2">
      <c r="A369" s="113"/>
      <c r="B369" s="114"/>
      <c r="C369" s="114"/>
      <c r="D369" s="61" t="s">
        <v>26</v>
      </c>
      <c r="E369" s="62"/>
      <c r="F369" s="63">
        <f>ROUND(SUM(F368:F368),2)</f>
        <v>93.07</v>
      </c>
      <c r="G369" s="114"/>
      <c r="H369" s="116"/>
      <c r="I369" s="26"/>
      <c r="J369" s="40"/>
      <c r="K369" s="51"/>
      <c r="M369" s="23"/>
    </row>
    <row r="370" spans="1:16" s="25" customFormat="1" x14ac:dyDescent="0.25">
      <c r="A370" s="72">
        <f>A367+1</f>
        <v>113</v>
      </c>
      <c r="B370" s="136">
        <v>781</v>
      </c>
      <c r="C370" s="137" t="s">
        <v>136</v>
      </c>
      <c r="D370" s="141" t="s">
        <v>137</v>
      </c>
      <c r="E370" s="136" t="s">
        <v>13</v>
      </c>
      <c r="F370" s="127">
        <f>F371</f>
        <v>97.7</v>
      </c>
      <c r="G370" s="111"/>
      <c r="H370" s="111">
        <f>ROUND(F370*G370,2)</f>
        <v>0</v>
      </c>
      <c r="I370" s="23"/>
      <c r="J370" s="42">
        <v>781</v>
      </c>
      <c r="K370" s="52">
        <f>ROUND(F370*0.008*1.8,3)</f>
        <v>1.407</v>
      </c>
      <c r="M370" s="23"/>
    </row>
    <row r="371" spans="1:16" s="22" customFormat="1" x14ac:dyDescent="0.2">
      <c r="A371" s="56"/>
      <c r="B371" s="3"/>
      <c r="C371" s="3"/>
      <c r="D371" s="59" t="s">
        <v>167</v>
      </c>
      <c r="E371" s="60"/>
      <c r="F371" s="78">
        <f>ROUND(93.07*1.05,1)</f>
        <v>97.7</v>
      </c>
      <c r="G371" s="3"/>
      <c r="H371" s="58"/>
      <c r="I371" s="23"/>
      <c r="J371" s="39"/>
      <c r="K371" s="49"/>
      <c r="L371" s="24"/>
      <c r="M371" s="23"/>
      <c r="N371" s="25"/>
      <c r="O371" s="25"/>
    </row>
    <row r="372" spans="1:16" s="24" customFormat="1" ht="23.25" customHeight="1" x14ac:dyDescent="0.2">
      <c r="A372" s="11"/>
      <c r="B372" s="2"/>
      <c r="C372" s="14">
        <v>783</v>
      </c>
      <c r="D372" s="68" t="s">
        <v>79</v>
      </c>
      <c r="E372" s="69"/>
      <c r="F372" s="70"/>
      <c r="G372" s="2"/>
      <c r="H372" s="67">
        <f>SUM(H373:H380)</f>
        <v>0</v>
      </c>
      <c r="I372" s="46"/>
      <c r="J372" s="42">
        <v>783</v>
      </c>
      <c r="K372" s="51"/>
      <c r="L372" s="47"/>
      <c r="M372" s="23"/>
      <c r="N372" s="23"/>
      <c r="O372" s="25"/>
      <c r="P372" s="25"/>
    </row>
    <row r="373" spans="1:16" s="25" customFormat="1" x14ac:dyDescent="0.25">
      <c r="A373" s="72">
        <f>A370+1</f>
        <v>114</v>
      </c>
      <c r="B373" s="79">
        <v>783</v>
      </c>
      <c r="C373" s="80">
        <v>783</v>
      </c>
      <c r="D373" s="80" t="s">
        <v>159</v>
      </c>
      <c r="E373" s="79" t="s">
        <v>13</v>
      </c>
      <c r="F373" s="75">
        <f>F376</f>
        <v>67.739999999999995</v>
      </c>
      <c r="G373" s="71"/>
      <c r="H373" s="71">
        <f>ROUND(F373*G373,2)</f>
        <v>0</v>
      </c>
      <c r="I373" s="23"/>
      <c r="J373" s="42">
        <v>783</v>
      </c>
      <c r="K373" s="50"/>
      <c r="M373" s="23"/>
      <c r="N373" s="23"/>
    </row>
    <row r="374" spans="1:16" s="25" customFormat="1" x14ac:dyDescent="0.2">
      <c r="A374" s="64"/>
      <c r="B374" s="1"/>
      <c r="C374" s="1"/>
      <c r="D374" s="140" t="s">
        <v>66</v>
      </c>
      <c r="E374" s="77"/>
      <c r="F374" s="57"/>
      <c r="G374" s="1"/>
      <c r="H374" s="65"/>
      <c r="I374" s="26"/>
      <c r="J374" s="40"/>
      <c r="K374" s="51"/>
      <c r="M374" s="23"/>
      <c r="N374" s="23"/>
    </row>
    <row r="375" spans="1:16" s="25" customFormat="1" x14ac:dyDescent="0.2">
      <c r="A375" s="64"/>
      <c r="B375" s="1"/>
      <c r="C375" s="1"/>
      <c r="D375" s="59" t="s">
        <v>156</v>
      </c>
      <c r="E375" s="77"/>
      <c r="F375" s="57">
        <v>67.739999999999995</v>
      </c>
      <c r="G375" s="1"/>
      <c r="H375" s="65"/>
      <c r="I375" s="26"/>
      <c r="J375" s="40"/>
      <c r="K375" s="51"/>
      <c r="M375" s="23"/>
      <c r="N375" s="23"/>
    </row>
    <row r="376" spans="1:16" s="25" customFormat="1" x14ac:dyDescent="0.2">
      <c r="A376" s="64"/>
      <c r="B376" s="1"/>
      <c r="C376" s="1"/>
      <c r="D376" s="61" t="s">
        <v>26</v>
      </c>
      <c r="E376" s="62"/>
      <c r="F376" s="63">
        <f>SUM(F374:F375)</f>
        <v>67.739999999999995</v>
      </c>
      <c r="G376" s="1"/>
      <c r="H376" s="65"/>
      <c r="I376" s="26"/>
      <c r="J376" s="40"/>
      <c r="K376" s="51"/>
      <c r="M376" s="23"/>
      <c r="N376" s="23"/>
    </row>
    <row r="377" spans="1:16" s="25" customFormat="1" x14ac:dyDescent="0.25">
      <c r="A377" s="72">
        <f>A373+1</f>
        <v>115</v>
      </c>
      <c r="B377" s="79">
        <v>783</v>
      </c>
      <c r="C377" s="118">
        <v>783</v>
      </c>
      <c r="D377" s="122" t="s">
        <v>162</v>
      </c>
      <c r="E377" s="142" t="s">
        <v>13</v>
      </c>
      <c r="F377" s="143">
        <f>F380</f>
        <v>326.2</v>
      </c>
      <c r="G377" s="71"/>
      <c r="H377" s="71">
        <f>ROUND(F377*G377,2)</f>
        <v>0</v>
      </c>
      <c r="I377" s="23"/>
      <c r="J377" s="42">
        <v>783</v>
      </c>
      <c r="K377" s="50"/>
      <c r="M377" s="23"/>
      <c r="N377" s="23"/>
    </row>
    <row r="378" spans="1:16" s="25" customFormat="1" x14ac:dyDescent="0.2">
      <c r="A378" s="64"/>
      <c r="B378" s="1"/>
      <c r="C378" s="3"/>
      <c r="D378" s="59" t="s">
        <v>163</v>
      </c>
      <c r="E378" s="144"/>
      <c r="F378" s="145">
        <v>67.739999999999995</v>
      </c>
      <c r="G378" s="1"/>
      <c r="H378" s="65"/>
      <c r="I378" s="26"/>
      <c r="J378" s="40"/>
      <c r="K378" s="51"/>
      <c r="M378" s="23"/>
      <c r="N378" s="23"/>
    </row>
    <row r="379" spans="1:16" s="25" customFormat="1" x14ac:dyDescent="0.2">
      <c r="A379" s="64"/>
      <c r="B379" s="1"/>
      <c r="C379" s="3"/>
      <c r="D379" s="59" t="s">
        <v>164</v>
      </c>
      <c r="E379" s="144"/>
      <c r="F379" s="145">
        <v>258.45999999999998</v>
      </c>
      <c r="G379" s="1"/>
      <c r="H379" s="65"/>
      <c r="I379" s="26"/>
      <c r="J379" s="40"/>
      <c r="K379" s="51"/>
      <c r="M379" s="23"/>
      <c r="N379" s="23"/>
    </row>
    <row r="380" spans="1:16" s="25" customFormat="1" x14ac:dyDescent="0.2">
      <c r="A380" s="64"/>
      <c r="B380" s="1"/>
      <c r="C380" s="33"/>
      <c r="D380" s="146" t="s">
        <v>26</v>
      </c>
      <c r="E380" s="147"/>
      <c r="F380" s="148">
        <f>SUM(F378:F379)</f>
        <v>326.2</v>
      </c>
      <c r="G380" s="1"/>
      <c r="H380" s="65"/>
      <c r="I380" s="26"/>
      <c r="J380" s="40"/>
      <c r="K380" s="51"/>
      <c r="M380" s="23"/>
      <c r="N380" s="23"/>
    </row>
    <row r="381" spans="1:16" s="24" customFormat="1" ht="23.25" customHeight="1" x14ac:dyDescent="0.2">
      <c r="A381" s="11"/>
      <c r="B381" s="2"/>
      <c r="C381" s="14">
        <v>784</v>
      </c>
      <c r="D381" s="68" t="s">
        <v>36</v>
      </c>
      <c r="E381" s="69"/>
      <c r="F381" s="70"/>
      <c r="G381" s="2"/>
      <c r="H381" s="67">
        <f>SUM(H382:H382)</f>
        <v>0</v>
      </c>
      <c r="I381" s="46"/>
      <c r="J381" s="42">
        <v>784</v>
      </c>
      <c r="K381" s="51"/>
      <c r="L381" s="47"/>
      <c r="N381" s="25"/>
      <c r="O381" s="25"/>
    </row>
    <row r="382" spans="1:16" s="25" customFormat="1" ht="48" x14ac:dyDescent="0.25">
      <c r="A382" s="72">
        <f>A377+1</f>
        <v>116</v>
      </c>
      <c r="B382" s="79">
        <v>784</v>
      </c>
      <c r="C382" s="80" t="s">
        <v>35</v>
      </c>
      <c r="D382" s="80" t="s">
        <v>343</v>
      </c>
      <c r="E382" s="79" t="s">
        <v>13</v>
      </c>
      <c r="F382" s="75">
        <f>F387</f>
        <v>233.13</v>
      </c>
      <c r="G382" s="71"/>
      <c r="H382" s="71">
        <f>ROUND(F382*G382,2)</f>
        <v>0</v>
      </c>
      <c r="I382" s="23"/>
      <c r="J382" s="42">
        <v>784</v>
      </c>
      <c r="K382" s="50"/>
      <c r="M382" s="23"/>
    </row>
    <row r="383" spans="1:16" s="25" customFormat="1" x14ac:dyDescent="0.2">
      <c r="A383" s="113"/>
      <c r="B383" s="114"/>
      <c r="C383" s="114"/>
      <c r="D383" s="133" t="s">
        <v>130</v>
      </c>
      <c r="E383" s="85"/>
      <c r="F383" s="86"/>
      <c r="G383" s="114"/>
      <c r="H383" s="116"/>
      <c r="I383" s="26"/>
      <c r="J383" s="40"/>
      <c r="K383" s="51"/>
      <c r="M383" s="23"/>
    </row>
    <row r="384" spans="1:16" s="25" customFormat="1" x14ac:dyDescent="0.2">
      <c r="A384" s="64"/>
      <c r="B384" s="1"/>
      <c r="C384" s="1"/>
      <c r="D384" s="59" t="s">
        <v>152</v>
      </c>
      <c r="E384" s="77"/>
      <c r="F384" s="57">
        <v>67.739999999999995</v>
      </c>
      <c r="G384" s="1"/>
      <c r="H384" s="65"/>
      <c r="I384" s="26"/>
      <c r="J384" s="40"/>
      <c r="K384" s="51"/>
      <c r="M384" s="23"/>
    </row>
    <row r="385" spans="1:13" s="25" customFormat="1" x14ac:dyDescent="0.2">
      <c r="A385" s="113"/>
      <c r="B385" s="114"/>
      <c r="C385" s="114"/>
      <c r="D385" s="133" t="s">
        <v>129</v>
      </c>
      <c r="E385" s="85"/>
      <c r="F385" s="86"/>
      <c r="G385" s="114"/>
      <c r="H385" s="116"/>
      <c r="I385" s="26"/>
      <c r="J385" s="40"/>
      <c r="K385" s="51"/>
      <c r="M385" s="23"/>
    </row>
    <row r="386" spans="1:13" s="25" customFormat="1" x14ac:dyDescent="0.2">
      <c r="A386" s="64"/>
      <c r="B386" s="1"/>
      <c r="C386" s="1"/>
      <c r="D386" s="59" t="s">
        <v>165</v>
      </c>
      <c r="E386" s="77"/>
      <c r="F386" s="57">
        <v>165.39</v>
      </c>
      <c r="G386" s="1"/>
      <c r="H386" s="116"/>
      <c r="I386" s="26"/>
      <c r="J386" s="40"/>
      <c r="K386" s="51"/>
      <c r="M386" s="23"/>
    </row>
    <row r="387" spans="1:13" s="25" customFormat="1" x14ac:dyDescent="0.2">
      <c r="A387" s="113"/>
      <c r="B387" s="114"/>
      <c r="C387" s="114"/>
      <c r="D387" s="61" t="s">
        <v>26</v>
      </c>
      <c r="E387" s="62"/>
      <c r="F387" s="63">
        <f>SUM(F384:F386)</f>
        <v>233.13</v>
      </c>
      <c r="G387" s="114"/>
      <c r="H387" s="116"/>
      <c r="I387" s="26"/>
      <c r="J387" s="40"/>
      <c r="K387" s="51"/>
      <c r="M387" s="23"/>
    </row>
    <row r="388" spans="1:13" ht="12" customHeight="1" x14ac:dyDescent="0.2">
      <c r="D388" s="19"/>
      <c r="E388" s="20"/>
      <c r="F388" s="21"/>
    </row>
    <row r="389" spans="1:13" ht="25.5" customHeight="1" x14ac:dyDescent="0.25">
      <c r="D389" s="37" t="s">
        <v>23</v>
      </c>
      <c r="E389" s="34"/>
      <c r="F389" s="22"/>
      <c r="G389" s="35"/>
      <c r="H389" s="38">
        <f>SUM(H9,H211)</f>
        <v>0</v>
      </c>
      <c r="J389" s="48" t="s">
        <v>46</v>
      </c>
    </row>
    <row r="391" spans="1:13" ht="12" customHeight="1" x14ac:dyDescent="0.25">
      <c r="E391" s="33"/>
    </row>
    <row r="392" spans="1:13" ht="12" customHeight="1" x14ac:dyDescent="0.25">
      <c r="E392" s="33"/>
    </row>
  </sheetData>
  <autoFilter ref="A7:K389" xr:uid="{00000000-0009-0000-0000-000002000000}"/>
  <mergeCells count="1">
    <mergeCell ref="A1:H1"/>
  </mergeCells>
  <phoneticPr fontId="40" type="noConversion"/>
  <printOptions horizontalCentered="1"/>
  <pageMargins left="0.59055118110236227" right="0.39370078740157483" top="0.59055118110236227" bottom="0.39370078740157483" header="0" footer="0.11811023622047245"/>
  <pageSetup paperSize="9" scale="86" fitToHeight="0" orientation="portrait" horizontalDpi="4294967295" verticalDpi="4294967295" r:id="rId1"/>
  <headerFooter alignWithMargins="0">
    <oddFooter>&amp;C&amp;8&amp;P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SO 01-E1.1,2-U2</vt:lpstr>
      <vt:lpstr>'SO 01-E1.1,2-U2'!Názvy_tlače</vt:lpstr>
      <vt:lpstr>'SO 01-E1.1,2-U2'!Oblasť_tlače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Tataiova</dc:creator>
  <cp:lastModifiedBy>Mgr. Renata Gregušová</cp:lastModifiedBy>
  <cp:lastPrinted>2021-05-19T11:28:46Z</cp:lastPrinted>
  <dcterms:created xsi:type="dcterms:W3CDTF">2013-09-06T18:24:40Z</dcterms:created>
  <dcterms:modified xsi:type="dcterms:W3CDTF">2022-04-26T05:14:40Z</dcterms:modified>
</cp:coreProperties>
</file>